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เเบบ OIT\O 8\"/>
    </mc:Choice>
  </mc:AlternateContent>
  <bookViews>
    <workbookView xWindow="0" yWindow="0" windowWidth="20490" windowHeight="7215" tabRatio="839" firstSheet="13" activeTab="13"/>
  </bookViews>
  <sheets>
    <sheet name="1.ปก" sheetId="122" state="hidden" r:id="rId1"/>
    <sheet name="2.1สารบัญ" sheetId="123" state="hidden" r:id="rId2"/>
    <sheet name="สารบัญของอีกอัน" sheetId="135" state="hidden" r:id="rId3"/>
    <sheet name="3.คั่นหน้า 1" sheetId="124" state="hidden" r:id="rId4"/>
    <sheet name="4.กราฟแยกงบ  " sheetId="125" state="hidden" r:id="rId5"/>
    <sheet name="5.กราฟภาพรวม  " sheetId="126" state="hidden" r:id="rId6"/>
    <sheet name="6.กราฟรายจ่ายลงทุน " sheetId="127" state="hidden" r:id="rId7"/>
    <sheet name="7.สรุปภาพรวม" sheetId="152" state="hidden" r:id="rId8"/>
    <sheet name="8.คั่นหน้า 2" sheetId="129" state="hidden" r:id="rId9"/>
    <sheet name="พี่จิจัดสรรงบดำเนินงาน " sheetId="132" state="hidden" r:id="rId10"/>
    <sheet name="ผลผลิต (vlookup)" sheetId="154" state="hidden" r:id="rId11"/>
    <sheet name="10.คั่นหน้า3" sheetId="130" state="hidden" r:id="rId12"/>
    <sheet name="11.สรุปรายกรม" sheetId="131" state="hidden" r:id="rId13"/>
    <sheet name="3.ยุโรป" sheetId="139" r:id="rId14"/>
  </sheets>
  <externalReferences>
    <externalReference r:id="rId15"/>
    <externalReference r:id="rId16"/>
  </externalReferences>
  <definedNames>
    <definedName name="_xlnm._FilterDatabase" localSheetId="10" hidden="1">'ผลผลิต (vlookup)'!$A$5:$AE$938</definedName>
    <definedName name="_xlnm._FilterDatabase" localSheetId="9" hidden="1">'พี่จิจัดสรรงบดำเนินงาน '!$7:$486</definedName>
    <definedName name="ahk" localSheetId="10">#REF!,#REF!</definedName>
    <definedName name="ahk">#REF!,#REF!</definedName>
    <definedName name="d" localSheetId="10">#REF!,#REF!</definedName>
    <definedName name="d">#REF!,#REF!</definedName>
    <definedName name="final" localSheetId="10">#REF!,#REF!</definedName>
    <definedName name="final">#REF!,#REF!</definedName>
    <definedName name="invest" localSheetId="10">#REF!,#REF!</definedName>
    <definedName name="invest">#REF!,#REF!</definedName>
    <definedName name="invest_1000up" localSheetId="10">#REF!,#REF!</definedName>
    <definedName name="invest_1000up">#REF!,#REF!</definedName>
    <definedName name="_xlnm.Print_Area" localSheetId="11">'10.คั่นหน้า3'!$A$1:$I$27</definedName>
    <definedName name="_xlnm.Print_Area" localSheetId="12">'11.สรุปรายกรม'!$A$1:$G$230</definedName>
    <definedName name="_xlnm.Print_Area" localSheetId="3">'3.คั่นหน้า 1'!$A$1:$J$26</definedName>
    <definedName name="_xlnm.Print_Area" localSheetId="13">'3.ยุโรป'!$A$1:$E$43</definedName>
    <definedName name="_xlnm.Print_Area" localSheetId="4">'4.กราฟแยกงบ  '!$A$1:$M$35</definedName>
    <definedName name="_xlnm.Print_Area" localSheetId="5">'5.กราฟภาพรวม  '!$A$1:$L$31</definedName>
    <definedName name="_xlnm.Print_Area" localSheetId="6">'6.กราฟรายจ่ายลงทุน '!$A$1:$L$31</definedName>
    <definedName name="_xlnm.Print_Area" localSheetId="7">'7.สรุปภาพรวม'!$A$1:$G$33</definedName>
    <definedName name="_xlnm.Print_Area" localSheetId="8">'8.คั่นหน้า 2'!$A$1:$I$27</definedName>
    <definedName name="_xlnm.Print_Area" localSheetId="10">'ผลผลิต (vlookup)'!$A$1:$AB$937</definedName>
    <definedName name="_xlnm.Print_Area" localSheetId="9">'พี่จิจัดสรรงบดำเนินงาน '!$A$1:$AH$959</definedName>
    <definedName name="_xlnm.Print_Titles" localSheetId="13">'3.ยุโรป'!$1:$4</definedName>
    <definedName name="_xlnm.Print_Titles" localSheetId="10">'ผลผลิต (vlookup)'!$5:$6</definedName>
    <definedName name="_xlnm.Print_Titles" localSheetId="9">'พี่จิจัดสรรงบดำเนินงาน '!$5:$6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s" localSheetId="10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10">#REF!,#REF!</definedName>
    <definedName name="sss">#REF!,#REF!</definedName>
    <definedName name="ssss" localSheetId="10">#REF!,#REF!</definedName>
    <definedName name="ssss">#REF!,#REF!</definedName>
    <definedName name="ssssss" localSheetId="10">#REF!,#REF!</definedName>
    <definedName name="ssssss">#REF!,#REF!</definedName>
    <definedName name="sum" localSheetId="10">#REF!</definedName>
    <definedName name="sum">#REF!</definedName>
    <definedName name="sum_1000up" localSheetId="10">#REF!,#REF!</definedName>
    <definedName name="sum_1000up">#REF!,#REF!</definedName>
    <definedName name="งบลงทุนเหลือจ่าย" localSheetId="10">#REF!,#REF!</definedName>
    <definedName name="งบลงทุนเหลือจ่าย">#REF!,#REF!</definedName>
    <definedName name="ฟ้า" localSheetId="10">#REF!</definedName>
    <definedName name="ฟ้า">#REF!</definedName>
    <definedName name="ฟ้า2" localSheetId="10">#REF!,#REF!</definedName>
    <definedName name="ฟ้า2">#REF!,#REF!</definedName>
    <definedName name="ฟ้า3" localSheetId="10">#REF!,#REF!</definedName>
    <definedName name="ฟ้า3">#REF!,#REF!</definedName>
  </definedNames>
  <calcPr calcId="162913"/>
</workbook>
</file>

<file path=xl/calcChain.xml><?xml version="1.0" encoding="utf-8"?>
<calcChain xmlns="http://schemas.openxmlformats.org/spreadsheetml/2006/main">
  <c r="S293" i="154" l="1"/>
  <c r="S467" i="154" l="1"/>
  <c r="S223" i="154"/>
  <c r="Q223" i="154"/>
  <c r="S237" i="154"/>
  <c r="S309" i="154" l="1"/>
  <c r="S310" i="154"/>
  <c r="S327" i="154"/>
  <c r="S326" i="154"/>
  <c r="S307" i="154"/>
  <c r="S285" i="154"/>
  <c r="S299" i="154"/>
  <c r="S277" i="154"/>
  <c r="S318" i="154"/>
  <c r="S298" i="154"/>
  <c r="S276" i="154"/>
  <c r="S317" i="154"/>
  <c r="S297" i="154"/>
  <c r="S275" i="154"/>
  <c r="S316" i="154"/>
  <c r="S296" i="154"/>
  <c r="S274" i="154"/>
  <c r="S315" i="154"/>
  <c r="S295" i="154"/>
  <c r="S190" i="154"/>
  <c r="S429" i="154" l="1"/>
  <c r="S410" i="154" l="1"/>
  <c r="S471" i="154"/>
  <c r="S475" i="154" l="1"/>
  <c r="S474" i="154"/>
  <c r="S473" i="154"/>
  <c r="S330" i="154"/>
  <c r="S74" i="154" l="1"/>
  <c r="S907" i="154"/>
  <c r="S41" i="154"/>
  <c r="S40" i="154"/>
  <c r="S39" i="154"/>
  <c r="S38" i="154"/>
  <c r="S37" i="154"/>
  <c r="S63" i="154"/>
  <c r="S61" i="154"/>
  <c r="S28" i="154"/>
  <c r="S27" i="154"/>
  <c r="S90" i="154"/>
  <c r="S91" i="154"/>
  <c r="S444" i="154" l="1"/>
  <c r="S446" i="154"/>
  <c r="S414" i="154" l="1"/>
  <c r="S417" i="154"/>
  <c r="S418" i="154"/>
  <c r="S421" i="154"/>
  <c r="S422" i="154"/>
  <c r="S425" i="154"/>
  <c r="S426" i="154"/>
  <c r="S424" i="154"/>
  <c r="S420" i="154"/>
  <c r="S416" i="154"/>
  <c r="S412" i="154"/>
  <c r="S174" i="154" l="1"/>
  <c r="S173" i="154"/>
  <c r="S148" i="154"/>
  <c r="S147" i="154"/>
  <c r="S146" i="154"/>
  <c r="S139" i="154"/>
  <c r="T37" i="154" l="1"/>
  <c r="S36" i="154"/>
  <c r="S53" i="154"/>
  <c r="S51" i="154"/>
  <c r="S50" i="154"/>
  <c r="S49" i="154"/>
  <c r="S48" i="154"/>
  <c r="S47" i="154"/>
  <c r="S401" i="154" l="1"/>
  <c r="S383" i="154"/>
  <c r="S372" i="154"/>
  <c r="S364" i="154"/>
  <c r="S358" i="154"/>
  <c r="S357" i="154"/>
  <c r="S356" i="154"/>
  <c r="S355" i="154"/>
  <c r="S354" i="154"/>
  <c r="S352" i="154"/>
  <c r="S351" i="154"/>
  <c r="S350" i="154"/>
  <c r="S349" i="154"/>
  <c r="S348" i="154"/>
  <c r="S347" i="154"/>
  <c r="S346" i="154"/>
  <c r="S344" i="154"/>
  <c r="S340" i="154"/>
  <c r="S342" i="154"/>
  <c r="S341" i="154"/>
  <c r="S339" i="154"/>
  <c r="S338" i="154"/>
  <c r="S335" i="154"/>
  <c r="S334" i="154"/>
  <c r="S333" i="154"/>
  <c r="S332" i="154"/>
  <c r="S108" i="154" l="1"/>
  <c r="S85" i="154"/>
  <c r="S934" i="154"/>
  <c r="S932" i="154"/>
  <c r="S906" i="154"/>
  <c r="S931" i="154" l="1"/>
  <c r="S921" i="154"/>
  <c r="S919" i="154"/>
  <c r="S928" i="154"/>
  <c r="S925" i="154"/>
  <c r="S904" i="154" l="1"/>
  <c r="S898" i="154"/>
  <c r="S894" i="154"/>
  <c r="S897" i="154"/>
  <c r="S896" i="154"/>
  <c r="S893" i="154"/>
  <c r="S892" i="154"/>
  <c r="S929" i="154" l="1"/>
  <c r="S911" i="154"/>
  <c r="S910" i="154"/>
  <c r="S909" i="154" s="1"/>
  <c r="S935" i="154"/>
  <c r="S933" i="154" s="1"/>
  <c r="AI937" i="154"/>
  <c r="AJ937" i="154" s="1"/>
  <c r="T937" i="154"/>
  <c r="V937" i="154" s="1"/>
  <c r="V936" i="154" s="1"/>
  <c r="AI936" i="154"/>
  <c r="W936" i="154"/>
  <c r="T936" i="154"/>
  <c r="S936" i="154"/>
  <c r="R936" i="154"/>
  <c r="Q936" i="154"/>
  <c r="P936" i="154"/>
  <c r="O936" i="154"/>
  <c r="N936" i="154"/>
  <c r="M936" i="154"/>
  <c r="J936" i="154"/>
  <c r="H936" i="154"/>
  <c r="G936" i="154"/>
  <c r="F936" i="154"/>
  <c r="E936" i="154"/>
  <c r="D936" i="154"/>
  <c r="AI935" i="154"/>
  <c r="AJ935" i="154" s="1"/>
  <c r="T935" i="154"/>
  <c r="X935" i="154" s="1"/>
  <c r="AI934" i="154"/>
  <c r="AJ934" i="154" s="1"/>
  <c r="T934" i="154"/>
  <c r="U934" i="154" s="1"/>
  <c r="AI933" i="154"/>
  <c r="W933" i="154"/>
  <c r="R933" i="154"/>
  <c r="Q933" i="154"/>
  <c r="P933" i="154"/>
  <c r="O933" i="154"/>
  <c r="N933" i="154"/>
  <c r="M933" i="154"/>
  <c r="J933" i="154"/>
  <c r="H933" i="154"/>
  <c r="G933" i="154"/>
  <c r="F933" i="154"/>
  <c r="E933" i="154"/>
  <c r="E932" i="154" s="1"/>
  <c r="D933" i="154"/>
  <c r="AI932" i="154"/>
  <c r="AI931" i="154"/>
  <c r="AJ931" i="154" s="1"/>
  <c r="T931" i="154"/>
  <c r="U931" i="154" s="1"/>
  <c r="AA931" i="154" s="1"/>
  <c r="AI930" i="154"/>
  <c r="AJ930" i="154" s="1"/>
  <c r="T930" i="154"/>
  <c r="X930" i="154" s="1"/>
  <c r="AI929" i="154"/>
  <c r="AJ929" i="154" s="1"/>
  <c r="T929" i="154"/>
  <c r="X929" i="154" s="1"/>
  <c r="AI928" i="154"/>
  <c r="AJ928" i="154" s="1"/>
  <c r="T928" i="154"/>
  <c r="AI927" i="154"/>
  <c r="W927" i="154"/>
  <c r="S927" i="154"/>
  <c r="R927" i="154"/>
  <c r="Q927" i="154"/>
  <c r="P927" i="154"/>
  <c r="O927" i="154"/>
  <c r="N927" i="154"/>
  <c r="M927" i="154"/>
  <c r="J927" i="154"/>
  <c r="H927" i="154"/>
  <c r="G927" i="154"/>
  <c r="F927" i="154"/>
  <c r="E927" i="154"/>
  <c r="D927" i="154"/>
  <c r="AI926" i="154"/>
  <c r="AJ926" i="154" s="1"/>
  <c r="T926" i="154"/>
  <c r="X926" i="154" s="1"/>
  <c r="AI925" i="154"/>
  <c r="AJ925" i="154" s="1"/>
  <c r="T925" i="154"/>
  <c r="X925" i="154" s="1"/>
  <c r="AI924" i="154"/>
  <c r="W924" i="154"/>
  <c r="S924" i="154"/>
  <c r="R924" i="154"/>
  <c r="Q924" i="154"/>
  <c r="P924" i="154"/>
  <c r="O924" i="154"/>
  <c r="N924" i="154"/>
  <c r="M924" i="154"/>
  <c r="J924" i="154"/>
  <c r="H924" i="154"/>
  <c r="G924" i="154"/>
  <c r="F924" i="154"/>
  <c r="E924" i="154"/>
  <c r="D924" i="154"/>
  <c r="AI923" i="154"/>
  <c r="AJ923" i="154" s="1"/>
  <c r="T923" i="154"/>
  <c r="Z923" i="154" s="1"/>
  <c r="AB923" i="154" s="1"/>
  <c r="AI922" i="154"/>
  <c r="AJ922" i="154" s="1"/>
  <c r="V922" i="154"/>
  <c r="T922" i="154"/>
  <c r="X922" i="154" s="1"/>
  <c r="AI921" i="154"/>
  <c r="AJ921" i="154" s="1"/>
  <c r="W921" i="154"/>
  <c r="W918" i="154" s="1"/>
  <c r="R921" i="154"/>
  <c r="T921" i="154" s="1"/>
  <c r="Q921" i="154"/>
  <c r="Q918" i="154" s="1"/>
  <c r="P921" i="154"/>
  <c r="P918" i="154" s="1"/>
  <c r="O921" i="154"/>
  <c r="O918" i="154" s="1"/>
  <c r="N921" i="154"/>
  <c r="N918" i="154" s="1"/>
  <c r="M921" i="154"/>
  <c r="M918" i="154" s="1"/>
  <c r="J921" i="154"/>
  <c r="J918" i="154" s="1"/>
  <c r="AI920" i="154"/>
  <c r="AJ920" i="154" s="1"/>
  <c r="T920" i="154"/>
  <c r="U920" i="154" s="1"/>
  <c r="AI919" i="154"/>
  <c r="AJ919" i="154" s="1"/>
  <c r="T919" i="154"/>
  <c r="Z919" i="154" s="1"/>
  <c r="AB919" i="154" s="1"/>
  <c r="AI918" i="154"/>
  <c r="S918" i="154"/>
  <c r="H918" i="154"/>
  <c r="G918" i="154"/>
  <c r="G917" i="154" s="1"/>
  <c r="F918" i="154"/>
  <c r="E918" i="154"/>
  <c r="D918" i="154"/>
  <c r="AI917" i="154"/>
  <c r="S917" i="154"/>
  <c r="S916" i="154" s="1"/>
  <c r="AI916" i="154"/>
  <c r="AI915" i="154"/>
  <c r="AJ915" i="154" s="1"/>
  <c r="T915" i="154"/>
  <c r="U915" i="154" s="1"/>
  <c r="AI914" i="154"/>
  <c r="W914" i="154"/>
  <c r="W913" i="154" s="1"/>
  <c r="S914" i="154"/>
  <c r="R914" i="154"/>
  <c r="R913" i="154" s="1"/>
  <c r="Q914" i="154"/>
  <c r="Q913" i="154" s="1"/>
  <c r="P914" i="154"/>
  <c r="P913" i="154" s="1"/>
  <c r="O914" i="154"/>
  <c r="O913" i="154" s="1"/>
  <c r="N914" i="154"/>
  <c r="N913" i="154" s="1"/>
  <c r="M914" i="154"/>
  <c r="M913" i="154" s="1"/>
  <c r="J914" i="154"/>
  <c r="J913" i="154" s="1"/>
  <c r="H914" i="154"/>
  <c r="H913" i="154" s="1"/>
  <c r="F914" i="154"/>
  <c r="F913" i="154" s="1"/>
  <c r="E914" i="154"/>
  <c r="E913" i="154" s="1"/>
  <c r="D914" i="154"/>
  <c r="D913" i="154" s="1"/>
  <c r="AI913" i="154"/>
  <c r="S913" i="154"/>
  <c r="G913" i="154"/>
  <c r="AI912" i="154"/>
  <c r="AJ912" i="154" s="1"/>
  <c r="T912" i="154"/>
  <c r="AI911" i="154"/>
  <c r="AJ911" i="154" s="1"/>
  <c r="AI910" i="154"/>
  <c r="W910" i="154"/>
  <c r="W909" i="154" s="1"/>
  <c r="W908" i="154" s="1"/>
  <c r="R910" i="154"/>
  <c r="R909" i="154" s="1"/>
  <c r="R908" i="154" s="1"/>
  <c r="Q910" i="154"/>
  <c r="Q909" i="154" s="1"/>
  <c r="Q908" i="154" s="1"/>
  <c r="P910" i="154"/>
  <c r="P909" i="154" s="1"/>
  <c r="P908" i="154" s="1"/>
  <c r="O910" i="154"/>
  <c r="O909" i="154" s="1"/>
  <c r="O908" i="154" s="1"/>
  <c r="N910" i="154"/>
  <c r="M910" i="154"/>
  <c r="M909" i="154" s="1"/>
  <c r="M908" i="154" s="1"/>
  <c r="J910" i="154"/>
  <c r="J909" i="154" s="1"/>
  <c r="J908" i="154" s="1"/>
  <c r="H910" i="154"/>
  <c r="H909" i="154" s="1"/>
  <c r="H908" i="154" s="1"/>
  <c r="F910" i="154"/>
  <c r="F909" i="154" s="1"/>
  <c r="F908" i="154" s="1"/>
  <c r="E910" i="154"/>
  <c r="E909" i="154" s="1"/>
  <c r="E908" i="154" s="1"/>
  <c r="D910" i="154"/>
  <c r="D909" i="154" s="1"/>
  <c r="D908" i="154" s="1"/>
  <c r="AI909" i="154"/>
  <c r="AI908" i="154"/>
  <c r="S908" i="154"/>
  <c r="G908" i="154"/>
  <c r="AI907" i="154"/>
  <c r="AJ907" i="154" s="1"/>
  <c r="T907" i="154"/>
  <c r="V907" i="154" s="1"/>
  <c r="AI906" i="154"/>
  <c r="AJ906" i="154" s="1"/>
  <c r="W906" i="154"/>
  <c r="R906" i="154"/>
  <c r="Q906" i="154"/>
  <c r="P906" i="154"/>
  <c r="O906" i="154"/>
  <c r="N906" i="154"/>
  <c r="M906" i="154"/>
  <c r="J906" i="154"/>
  <c r="H906" i="154"/>
  <c r="G906" i="154"/>
  <c r="F906" i="154"/>
  <c r="E906" i="154"/>
  <c r="D906" i="154"/>
  <c r="AI905" i="154"/>
  <c r="AJ905" i="154" s="1"/>
  <c r="T905" i="154"/>
  <c r="U905" i="154" s="1"/>
  <c r="AD905" i="154" s="1"/>
  <c r="AI904" i="154"/>
  <c r="AJ904" i="154" s="1"/>
  <c r="T904" i="154"/>
  <c r="Z904" i="154" s="1"/>
  <c r="AB904" i="154" s="1"/>
  <c r="AI903" i="154"/>
  <c r="AJ903" i="154" s="1"/>
  <c r="T903" i="154"/>
  <c r="V903" i="154" s="1"/>
  <c r="AI902" i="154"/>
  <c r="AJ902" i="154" s="1"/>
  <c r="T902" i="154"/>
  <c r="V902" i="154" s="1"/>
  <c r="AI901" i="154"/>
  <c r="AJ901" i="154" s="1"/>
  <c r="T901" i="154"/>
  <c r="V901" i="154" s="1"/>
  <c r="AI900" i="154"/>
  <c r="AJ900" i="154" s="1"/>
  <c r="T900" i="154"/>
  <c r="Z900" i="154" s="1"/>
  <c r="AB900" i="154" s="1"/>
  <c r="AI899" i="154"/>
  <c r="W899" i="154"/>
  <c r="W895" i="154" s="1"/>
  <c r="S899" i="154"/>
  <c r="S895" i="154" s="1"/>
  <c r="R899" i="154"/>
  <c r="Q899" i="154"/>
  <c r="Q895" i="154" s="1"/>
  <c r="P899" i="154"/>
  <c r="P895" i="154" s="1"/>
  <c r="O899" i="154"/>
  <c r="O895" i="154" s="1"/>
  <c r="N899" i="154"/>
  <c r="N895" i="154" s="1"/>
  <c r="M899" i="154"/>
  <c r="M895" i="154" s="1"/>
  <c r="J899" i="154"/>
  <c r="J895" i="154" s="1"/>
  <c r="H899" i="154"/>
  <c r="H895" i="154" s="1"/>
  <c r="G899" i="154"/>
  <c r="F899" i="154"/>
  <c r="F895" i="154" s="1"/>
  <c r="E899" i="154"/>
  <c r="E895" i="154" s="1"/>
  <c r="D899" i="154"/>
  <c r="D895" i="154" s="1"/>
  <c r="AI898" i="154"/>
  <c r="AJ898" i="154" s="1"/>
  <c r="T898" i="154"/>
  <c r="X898" i="154" s="1"/>
  <c r="G898" i="154"/>
  <c r="AI897" i="154"/>
  <c r="AJ897" i="154" s="1"/>
  <c r="T897" i="154"/>
  <c r="X897" i="154" s="1"/>
  <c r="G897" i="154"/>
  <c r="AI896" i="154"/>
  <c r="AJ896" i="154" s="1"/>
  <c r="T896" i="154"/>
  <c r="X896" i="154" s="1"/>
  <c r="G896" i="154"/>
  <c r="AI895" i="154"/>
  <c r="AI894" i="154"/>
  <c r="AJ894" i="154" s="1"/>
  <c r="T894" i="154"/>
  <c r="U894" i="154" s="1"/>
  <c r="AD894" i="154" s="1"/>
  <c r="G894" i="154"/>
  <c r="G893" i="154" s="1"/>
  <c r="AI893" i="154"/>
  <c r="AJ893" i="154" s="1"/>
  <c r="W893" i="154"/>
  <c r="R893" i="154"/>
  <c r="Q893" i="154"/>
  <c r="Q892" i="154" s="1"/>
  <c r="Q891" i="154" s="1"/>
  <c r="P893" i="154"/>
  <c r="O893" i="154"/>
  <c r="N893" i="154"/>
  <c r="M893" i="154"/>
  <c r="J893" i="154"/>
  <c r="H893" i="154"/>
  <c r="F893" i="154"/>
  <c r="E893" i="154"/>
  <c r="D893" i="154"/>
  <c r="AI892" i="154"/>
  <c r="AI891" i="154"/>
  <c r="S891" i="154"/>
  <c r="AI890" i="154"/>
  <c r="AI889" i="154"/>
  <c r="AI888" i="154"/>
  <c r="AI887" i="154"/>
  <c r="AJ887" i="154" s="1"/>
  <c r="AD887" i="154"/>
  <c r="V887" i="154"/>
  <c r="AI886" i="154"/>
  <c r="AJ886" i="154" s="1"/>
  <c r="AD886" i="154"/>
  <c r="V886" i="154"/>
  <c r="AI885" i="154"/>
  <c r="AJ885" i="154" s="1"/>
  <c r="AD885" i="154"/>
  <c r="V885" i="154"/>
  <c r="AI884" i="154"/>
  <c r="AJ884" i="154" s="1"/>
  <c r="AD884" i="154"/>
  <c r="V884" i="154"/>
  <c r="AI883" i="154"/>
  <c r="AJ883" i="154" s="1"/>
  <c r="AD883" i="154"/>
  <c r="V883" i="154"/>
  <c r="AI882" i="154"/>
  <c r="AJ882" i="154" s="1"/>
  <c r="AD882" i="154"/>
  <c r="V882" i="154"/>
  <c r="AI881" i="154"/>
  <c r="AJ881" i="154" s="1"/>
  <c r="AD881" i="154"/>
  <c r="V881" i="154"/>
  <c r="AI880" i="154"/>
  <c r="AB880" i="154"/>
  <c r="AA880" i="154"/>
  <c r="Z880" i="154"/>
  <c r="Y880" i="154"/>
  <c r="X880" i="154"/>
  <c r="W880" i="154"/>
  <c r="U880" i="154"/>
  <c r="T880" i="154"/>
  <c r="S880" i="154"/>
  <c r="R880" i="154"/>
  <c r="Q880" i="154"/>
  <c r="P880" i="154"/>
  <c r="O880" i="154"/>
  <c r="N880" i="154"/>
  <c r="M880" i="154"/>
  <c r="J880" i="154"/>
  <c r="AI879" i="154"/>
  <c r="AJ879" i="154" s="1"/>
  <c r="AD879" i="154"/>
  <c r="V879" i="154"/>
  <c r="AI878" i="154"/>
  <c r="AJ878" i="154" s="1"/>
  <c r="AD878" i="154"/>
  <c r="V878" i="154"/>
  <c r="AI877" i="154"/>
  <c r="AJ877" i="154" s="1"/>
  <c r="AD877" i="154"/>
  <c r="V877" i="154"/>
  <c r="AI876" i="154"/>
  <c r="AJ876" i="154" s="1"/>
  <c r="AD876" i="154"/>
  <c r="V876" i="154"/>
  <c r="AI875" i="154"/>
  <c r="AJ875" i="154" s="1"/>
  <c r="AD875" i="154"/>
  <c r="V875" i="154"/>
  <c r="AI874" i="154"/>
  <c r="AJ874" i="154" s="1"/>
  <c r="AD874" i="154"/>
  <c r="V874" i="154"/>
  <c r="AI873" i="154"/>
  <c r="AJ873" i="154" s="1"/>
  <c r="AD873" i="154"/>
  <c r="V873" i="154"/>
  <c r="AI872" i="154"/>
  <c r="AJ872" i="154" s="1"/>
  <c r="AD872" i="154"/>
  <c r="V872" i="154"/>
  <c r="AI871" i="154"/>
  <c r="AJ871" i="154" s="1"/>
  <c r="AD871" i="154"/>
  <c r="V871" i="154"/>
  <c r="AI870" i="154"/>
  <c r="AJ870" i="154" s="1"/>
  <c r="AD870" i="154"/>
  <c r="V870" i="154"/>
  <c r="AI869" i="154"/>
  <c r="AJ869" i="154" s="1"/>
  <c r="AD869" i="154"/>
  <c r="V869" i="154"/>
  <c r="AI868" i="154"/>
  <c r="AJ868" i="154" s="1"/>
  <c r="AB868" i="154"/>
  <c r="AA868" i="154"/>
  <c r="Z868" i="154"/>
  <c r="Y868" i="154"/>
  <c r="X868" i="154"/>
  <c r="W868" i="154"/>
  <c r="U868" i="154"/>
  <c r="T868" i="154"/>
  <c r="S868" i="154"/>
  <c r="R868" i="154"/>
  <c r="Q868" i="154"/>
  <c r="P868" i="154"/>
  <c r="O868" i="154"/>
  <c r="N868" i="154"/>
  <c r="M868" i="154"/>
  <c r="J868" i="154"/>
  <c r="J867" i="154" s="1"/>
  <c r="J866" i="154" s="1"/>
  <c r="AI867" i="154"/>
  <c r="AI866" i="154"/>
  <c r="AI865" i="154"/>
  <c r="AJ865" i="154" s="1"/>
  <c r="AD865" i="154"/>
  <c r="V865" i="154"/>
  <c r="AI864" i="154"/>
  <c r="AJ864" i="154" s="1"/>
  <c r="AD864" i="154"/>
  <c r="V864" i="154"/>
  <c r="AI863" i="154"/>
  <c r="AJ863" i="154" s="1"/>
  <c r="AD863" i="154"/>
  <c r="V863" i="154"/>
  <c r="AI862" i="154"/>
  <c r="AJ862" i="154" s="1"/>
  <c r="AD862" i="154"/>
  <c r="V862" i="154"/>
  <c r="AI861" i="154"/>
  <c r="AB861" i="154"/>
  <c r="AB860" i="154" s="1"/>
  <c r="AA861" i="154"/>
  <c r="AA860" i="154" s="1"/>
  <c r="Z861" i="154"/>
  <c r="Z860" i="154" s="1"/>
  <c r="Y861" i="154"/>
  <c r="Y860" i="154" s="1"/>
  <c r="X861" i="154"/>
  <c r="X860" i="154" s="1"/>
  <c r="W861" i="154"/>
  <c r="W860" i="154" s="1"/>
  <c r="U861" i="154"/>
  <c r="U860" i="154" s="1"/>
  <c r="T861" i="154"/>
  <c r="T860" i="154" s="1"/>
  <c r="S861" i="154"/>
  <c r="S860" i="154" s="1"/>
  <c r="R861" i="154"/>
  <c r="R860" i="154" s="1"/>
  <c r="Q861" i="154"/>
  <c r="P861" i="154"/>
  <c r="P860" i="154" s="1"/>
  <c r="O861" i="154"/>
  <c r="O860" i="154" s="1"/>
  <c r="N861" i="154"/>
  <c r="M861" i="154"/>
  <c r="M860" i="154" s="1"/>
  <c r="AI860" i="154"/>
  <c r="Q860" i="154"/>
  <c r="AI859" i="154"/>
  <c r="AJ859" i="154" s="1"/>
  <c r="AD859" i="154"/>
  <c r="V859" i="154"/>
  <c r="AI858" i="154"/>
  <c r="AJ858" i="154" s="1"/>
  <c r="AD858" i="154"/>
  <c r="V858" i="154"/>
  <c r="AI857" i="154"/>
  <c r="AJ857" i="154" s="1"/>
  <c r="AD857" i="154"/>
  <c r="V857" i="154"/>
  <c r="AI856" i="154"/>
  <c r="AB856" i="154"/>
  <c r="AB855" i="154" s="1"/>
  <c r="AA856" i="154"/>
  <c r="AA855" i="154" s="1"/>
  <c r="Z856" i="154"/>
  <c r="Z855" i="154" s="1"/>
  <c r="Y856" i="154"/>
  <c r="Y855" i="154" s="1"/>
  <c r="X856" i="154"/>
  <c r="X855" i="154" s="1"/>
  <c r="W856" i="154"/>
  <c r="W855" i="154" s="1"/>
  <c r="U856" i="154"/>
  <c r="U855" i="154" s="1"/>
  <c r="T856" i="154"/>
  <c r="T855" i="154" s="1"/>
  <c r="S856" i="154"/>
  <c r="S855" i="154" s="1"/>
  <c r="R856" i="154"/>
  <c r="R855" i="154" s="1"/>
  <c r="Q856" i="154"/>
  <c r="Q855" i="154" s="1"/>
  <c r="P856" i="154"/>
  <c r="P855" i="154" s="1"/>
  <c r="O856" i="154"/>
  <c r="O855" i="154" s="1"/>
  <c r="N856" i="154"/>
  <c r="M856" i="154"/>
  <c r="M855" i="154" s="1"/>
  <c r="AI855" i="154"/>
  <c r="AI854" i="154"/>
  <c r="AJ854" i="154" s="1"/>
  <c r="AD854" i="154"/>
  <c r="V854" i="154"/>
  <c r="AI853" i="154"/>
  <c r="AJ853" i="154" s="1"/>
  <c r="AD853" i="154"/>
  <c r="V853" i="154"/>
  <c r="AI852" i="154"/>
  <c r="AJ852" i="154" s="1"/>
  <c r="AD852" i="154"/>
  <c r="V852" i="154"/>
  <c r="AI851" i="154"/>
  <c r="AJ851" i="154" s="1"/>
  <c r="AD851" i="154"/>
  <c r="V851" i="154"/>
  <c r="AI850" i="154"/>
  <c r="AJ850" i="154" s="1"/>
  <c r="AD850" i="154"/>
  <c r="V850" i="154"/>
  <c r="AI849" i="154"/>
  <c r="AJ849" i="154" s="1"/>
  <c r="AD849" i="154"/>
  <c r="V849" i="154"/>
  <c r="AI848" i="154"/>
  <c r="AJ848" i="154" s="1"/>
  <c r="AD848" i="154"/>
  <c r="V848" i="154"/>
  <c r="AI847" i="154"/>
  <c r="AJ847" i="154" s="1"/>
  <c r="AD847" i="154"/>
  <c r="V847" i="154"/>
  <c r="AI846" i="154"/>
  <c r="AJ846" i="154" s="1"/>
  <c r="AD846" i="154"/>
  <c r="V846" i="154"/>
  <c r="AI845" i="154"/>
  <c r="AJ845" i="154" s="1"/>
  <c r="AD845" i="154"/>
  <c r="V845" i="154"/>
  <c r="AI844" i="154"/>
  <c r="AJ844" i="154" s="1"/>
  <c r="AD844" i="154"/>
  <c r="V844" i="154"/>
  <c r="AI843" i="154"/>
  <c r="AB843" i="154"/>
  <c r="AB842" i="154" s="1"/>
  <c r="AA843" i="154"/>
  <c r="AA842" i="154" s="1"/>
  <c r="Z843" i="154"/>
  <c r="Z842" i="154" s="1"/>
  <c r="Y843" i="154"/>
  <c r="Y842" i="154" s="1"/>
  <c r="X843" i="154"/>
  <c r="X842" i="154" s="1"/>
  <c r="W843" i="154"/>
  <c r="W842" i="154" s="1"/>
  <c r="U843" i="154"/>
  <c r="T843" i="154"/>
  <c r="S843" i="154"/>
  <c r="S842" i="154" s="1"/>
  <c r="R843" i="154"/>
  <c r="R842" i="154" s="1"/>
  <c r="Q843" i="154"/>
  <c r="Q842" i="154" s="1"/>
  <c r="P843" i="154"/>
  <c r="P842" i="154" s="1"/>
  <c r="O843" i="154"/>
  <c r="O842" i="154" s="1"/>
  <c r="N843" i="154"/>
  <c r="M843" i="154"/>
  <c r="M842" i="154" s="1"/>
  <c r="AI842" i="154"/>
  <c r="U842" i="154"/>
  <c r="AI841" i="154"/>
  <c r="AJ841" i="154" s="1"/>
  <c r="AD841" i="154"/>
  <c r="V841" i="154"/>
  <c r="AI840" i="154"/>
  <c r="AJ840" i="154" s="1"/>
  <c r="AD840" i="154"/>
  <c r="V840" i="154"/>
  <c r="AI839" i="154"/>
  <c r="AJ839" i="154" s="1"/>
  <c r="AD839" i="154"/>
  <c r="V839" i="154"/>
  <c r="AI838" i="154"/>
  <c r="AJ838" i="154" s="1"/>
  <c r="AD838" i="154"/>
  <c r="V838" i="154"/>
  <c r="AI837" i="154"/>
  <c r="AJ837" i="154" s="1"/>
  <c r="AD837" i="154"/>
  <c r="V837" i="154"/>
  <c r="AI836" i="154"/>
  <c r="AJ836" i="154" s="1"/>
  <c r="AD836" i="154"/>
  <c r="V836" i="154"/>
  <c r="AI835" i="154"/>
  <c r="AJ835" i="154" s="1"/>
  <c r="AD835" i="154"/>
  <c r="V835" i="154"/>
  <c r="AI834" i="154"/>
  <c r="AJ834" i="154" s="1"/>
  <c r="AD834" i="154"/>
  <c r="V834" i="154"/>
  <c r="AI833" i="154"/>
  <c r="AJ833" i="154" s="1"/>
  <c r="AD833" i="154"/>
  <c r="V833" i="154"/>
  <c r="AI832" i="154"/>
  <c r="AJ832" i="154" s="1"/>
  <c r="AD832" i="154"/>
  <c r="V832" i="154"/>
  <c r="AI831" i="154"/>
  <c r="AB831" i="154"/>
  <c r="AB830" i="154" s="1"/>
  <c r="AA831" i="154"/>
  <c r="AA830" i="154" s="1"/>
  <c r="Z831" i="154"/>
  <c r="Z830" i="154" s="1"/>
  <c r="Y831" i="154"/>
  <c r="Y830" i="154" s="1"/>
  <c r="X831" i="154"/>
  <c r="X830" i="154" s="1"/>
  <c r="W831" i="154"/>
  <c r="W830" i="154" s="1"/>
  <c r="U831" i="154"/>
  <c r="U830" i="154" s="1"/>
  <c r="T831" i="154"/>
  <c r="T830" i="154" s="1"/>
  <c r="S831" i="154"/>
  <c r="S830" i="154" s="1"/>
  <c r="R831" i="154"/>
  <c r="R830" i="154" s="1"/>
  <c r="Q831" i="154"/>
  <c r="Q830" i="154" s="1"/>
  <c r="P831" i="154"/>
  <c r="P830" i="154" s="1"/>
  <c r="O831" i="154"/>
  <c r="O830" i="154" s="1"/>
  <c r="N831" i="154"/>
  <c r="N830" i="154" s="1"/>
  <c r="M831" i="154"/>
  <c r="M830" i="154" s="1"/>
  <c r="AI830" i="154"/>
  <c r="AI829" i="154"/>
  <c r="AJ829" i="154" s="1"/>
  <c r="AD829" i="154"/>
  <c r="V829" i="154"/>
  <c r="AI828" i="154"/>
  <c r="AJ828" i="154" s="1"/>
  <c r="AD828" i="154"/>
  <c r="V828" i="154"/>
  <c r="AI827" i="154"/>
  <c r="AJ827" i="154" s="1"/>
  <c r="AD827" i="154"/>
  <c r="V827" i="154"/>
  <c r="AI826" i="154"/>
  <c r="AJ826" i="154" s="1"/>
  <c r="AD826" i="154"/>
  <c r="V826" i="154"/>
  <c r="AI825" i="154"/>
  <c r="AJ825" i="154" s="1"/>
  <c r="AD825" i="154"/>
  <c r="V825" i="154"/>
  <c r="AI824" i="154"/>
  <c r="AJ824" i="154" s="1"/>
  <c r="AD824" i="154"/>
  <c r="V824" i="154"/>
  <c r="AI823" i="154"/>
  <c r="AJ823" i="154" s="1"/>
  <c r="AD823" i="154"/>
  <c r="V823" i="154"/>
  <c r="AI822" i="154"/>
  <c r="AJ822" i="154" s="1"/>
  <c r="AD822" i="154"/>
  <c r="V822" i="154"/>
  <c r="AI821" i="154"/>
  <c r="AJ821" i="154" s="1"/>
  <c r="AD821" i="154"/>
  <c r="V821" i="154"/>
  <c r="AI820" i="154"/>
  <c r="AJ820" i="154" s="1"/>
  <c r="AD820" i="154"/>
  <c r="V820" i="154"/>
  <c r="AI819" i="154"/>
  <c r="AB819" i="154"/>
  <c r="AB818" i="154" s="1"/>
  <c r="AA819" i="154"/>
  <c r="AA818" i="154" s="1"/>
  <c r="Z819" i="154"/>
  <c r="Z818" i="154" s="1"/>
  <c r="Y819" i="154"/>
  <c r="Y818" i="154" s="1"/>
  <c r="X819" i="154"/>
  <c r="X818" i="154" s="1"/>
  <c r="W819" i="154"/>
  <c r="W818" i="154" s="1"/>
  <c r="U819" i="154"/>
  <c r="U818" i="154" s="1"/>
  <c r="T819" i="154"/>
  <c r="T818" i="154" s="1"/>
  <c r="S819" i="154"/>
  <c r="S818" i="154" s="1"/>
  <c r="R819" i="154"/>
  <c r="R818" i="154" s="1"/>
  <c r="Q819" i="154"/>
  <c r="Q818" i="154" s="1"/>
  <c r="P819" i="154"/>
  <c r="P818" i="154" s="1"/>
  <c r="O819" i="154"/>
  <c r="O818" i="154" s="1"/>
  <c r="N819" i="154"/>
  <c r="N818" i="154" s="1"/>
  <c r="M819" i="154"/>
  <c r="M818" i="154" s="1"/>
  <c r="AI818" i="154"/>
  <c r="AI817" i="154"/>
  <c r="AJ817" i="154" s="1"/>
  <c r="AD817" i="154"/>
  <c r="V817" i="154"/>
  <c r="AI816" i="154"/>
  <c r="AJ816" i="154" s="1"/>
  <c r="AD816" i="154"/>
  <c r="V816" i="154"/>
  <c r="AI815" i="154"/>
  <c r="AB815" i="154"/>
  <c r="AA815" i="154"/>
  <c r="Z815" i="154"/>
  <c r="Y815" i="154"/>
  <c r="X815" i="154"/>
  <c r="W815" i="154"/>
  <c r="U815" i="154"/>
  <c r="T815" i="154"/>
  <c r="S815" i="154"/>
  <c r="R815" i="154"/>
  <c r="Q815" i="154"/>
  <c r="P815" i="154"/>
  <c r="O815" i="154"/>
  <c r="N815" i="154"/>
  <c r="M815" i="154"/>
  <c r="J815" i="154"/>
  <c r="AI814" i="154"/>
  <c r="AJ814" i="154" s="1"/>
  <c r="AD814" i="154"/>
  <c r="V814" i="154"/>
  <c r="AI813" i="154"/>
  <c r="AJ813" i="154" s="1"/>
  <c r="AD813" i="154"/>
  <c r="V813" i="154"/>
  <c r="AI812" i="154"/>
  <c r="AJ812" i="154" s="1"/>
  <c r="AD812" i="154"/>
  <c r="V812" i="154"/>
  <c r="AI811" i="154"/>
  <c r="AJ811" i="154" s="1"/>
  <c r="AD811" i="154"/>
  <c r="V811" i="154"/>
  <c r="AI810" i="154"/>
  <c r="AJ810" i="154" s="1"/>
  <c r="AD810" i="154"/>
  <c r="V810" i="154"/>
  <c r="AI809" i="154"/>
  <c r="AJ809" i="154" s="1"/>
  <c r="AD809" i="154"/>
  <c r="V809" i="154"/>
  <c r="AI808" i="154"/>
  <c r="AJ808" i="154" s="1"/>
  <c r="AD808" i="154"/>
  <c r="V808" i="154"/>
  <c r="AI807" i="154"/>
  <c r="AJ807" i="154" s="1"/>
  <c r="AD807" i="154"/>
  <c r="V807" i="154"/>
  <c r="AI806" i="154"/>
  <c r="AJ806" i="154" s="1"/>
  <c r="AD806" i="154"/>
  <c r="V806" i="154"/>
  <c r="AI805" i="154"/>
  <c r="AJ805" i="154" s="1"/>
  <c r="AD805" i="154"/>
  <c r="V805" i="154"/>
  <c r="AI804" i="154"/>
  <c r="AJ804" i="154" s="1"/>
  <c r="AD804" i="154"/>
  <c r="V804" i="154"/>
  <c r="AI803" i="154"/>
  <c r="AJ803" i="154" s="1"/>
  <c r="AD803" i="154"/>
  <c r="V803" i="154"/>
  <c r="AI802" i="154"/>
  <c r="AJ802" i="154" s="1"/>
  <c r="AD802" i="154"/>
  <c r="V802" i="154"/>
  <c r="AI801" i="154"/>
  <c r="AJ801" i="154" s="1"/>
  <c r="AD801" i="154"/>
  <c r="V801" i="154"/>
  <c r="AI800" i="154"/>
  <c r="AJ800" i="154" s="1"/>
  <c r="AD800" i="154"/>
  <c r="V800" i="154"/>
  <c r="AI799" i="154"/>
  <c r="AJ799" i="154" s="1"/>
  <c r="AD799" i="154"/>
  <c r="V799" i="154"/>
  <c r="AI798" i="154"/>
  <c r="AJ798" i="154" s="1"/>
  <c r="AD798" i="154"/>
  <c r="V798" i="154"/>
  <c r="AI797" i="154"/>
  <c r="AJ797" i="154" s="1"/>
  <c r="AD797" i="154"/>
  <c r="V797" i="154"/>
  <c r="AI796" i="154"/>
  <c r="AJ796" i="154" s="1"/>
  <c r="AD796" i="154"/>
  <c r="V796" i="154"/>
  <c r="AI795" i="154"/>
  <c r="AJ795" i="154" s="1"/>
  <c r="AD795" i="154"/>
  <c r="V795" i="154"/>
  <c r="AI794" i="154"/>
  <c r="AJ794" i="154" s="1"/>
  <c r="AD794" i="154"/>
  <c r="V794" i="154"/>
  <c r="AI793" i="154"/>
  <c r="AJ793" i="154" s="1"/>
  <c r="AD793" i="154"/>
  <c r="V793" i="154"/>
  <c r="AI792" i="154"/>
  <c r="AJ792" i="154" s="1"/>
  <c r="AD792" i="154"/>
  <c r="V792" i="154"/>
  <c r="AI791" i="154"/>
  <c r="AJ791" i="154" s="1"/>
  <c r="AD791" i="154"/>
  <c r="V791" i="154"/>
  <c r="AI790" i="154"/>
  <c r="AJ790" i="154" s="1"/>
  <c r="AD790" i="154"/>
  <c r="V790" i="154"/>
  <c r="AI789" i="154"/>
  <c r="AJ789" i="154" s="1"/>
  <c r="AD789" i="154"/>
  <c r="V789" i="154"/>
  <c r="AI788" i="154"/>
  <c r="AJ788" i="154" s="1"/>
  <c r="AD788" i="154"/>
  <c r="V788" i="154"/>
  <c r="AI787" i="154"/>
  <c r="AJ787" i="154" s="1"/>
  <c r="AD787" i="154"/>
  <c r="V787" i="154"/>
  <c r="AI786" i="154"/>
  <c r="AJ786" i="154" s="1"/>
  <c r="AD786" i="154"/>
  <c r="V786" i="154"/>
  <c r="AI785" i="154"/>
  <c r="AJ785" i="154" s="1"/>
  <c r="AD785" i="154"/>
  <c r="V785" i="154"/>
  <c r="AI784" i="154"/>
  <c r="AJ784" i="154" s="1"/>
  <c r="AD784" i="154"/>
  <c r="V784" i="154"/>
  <c r="AI783" i="154"/>
  <c r="AJ783" i="154" s="1"/>
  <c r="AD783" i="154"/>
  <c r="V783" i="154"/>
  <c r="AI782" i="154"/>
  <c r="AJ782" i="154" s="1"/>
  <c r="AD782" i="154"/>
  <c r="V782" i="154"/>
  <c r="AI781" i="154"/>
  <c r="AJ781" i="154" s="1"/>
  <c r="AB781" i="154"/>
  <c r="AA781" i="154"/>
  <c r="AA780" i="154" s="1"/>
  <c r="Z781" i="154"/>
  <c r="Y781" i="154"/>
  <c r="X781" i="154"/>
  <c r="W781" i="154"/>
  <c r="U781" i="154"/>
  <c r="T781" i="154"/>
  <c r="S781" i="154"/>
  <c r="R781" i="154"/>
  <c r="Q781" i="154"/>
  <c r="P781" i="154"/>
  <c r="O781" i="154"/>
  <c r="N781" i="154"/>
  <c r="M781" i="154"/>
  <c r="AI780" i="154"/>
  <c r="AI779" i="154"/>
  <c r="AJ779" i="154" s="1"/>
  <c r="AD779" i="154"/>
  <c r="V779" i="154"/>
  <c r="AI778" i="154"/>
  <c r="AJ778" i="154" s="1"/>
  <c r="AD778" i="154"/>
  <c r="V778" i="154"/>
  <c r="AI777" i="154"/>
  <c r="AJ777" i="154" s="1"/>
  <c r="AD777" i="154"/>
  <c r="V777" i="154"/>
  <c r="AI776" i="154"/>
  <c r="AJ776" i="154" s="1"/>
  <c r="AD776" i="154"/>
  <c r="V776" i="154"/>
  <c r="AI775" i="154"/>
  <c r="AJ775" i="154" s="1"/>
  <c r="AD775" i="154"/>
  <c r="V775" i="154"/>
  <c r="AI774" i="154"/>
  <c r="AJ774" i="154" s="1"/>
  <c r="AD774" i="154"/>
  <c r="V774" i="154"/>
  <c r="AI773" i="154"/>
  <c r="AJ773" i="154" s="1"/>
  <c r="AD773" i="154"/>
  <c r="V773" i="154"/>
  <c r="AI772" i="154"/>
  <c r="AJ772" i="154" s="1"/>
  <c r="AD772" i="154"/>
  <c r="V772" i="154"/>
  <c r="AI771" i="154"/>
  <c r="AJ771" i="154" s="1"/>
  <c r="AD771" i="154"/>
  <c r="V771" i="154"/>
  <c r="AI770" i="154"/>
  <c r="AJ770" i="154" s="1"/>
  <c r="AD770" i="154"/>
  <c r="V770" i="154"/>
  <c r="AI769" i="154"/>
  <c r="AJ769" i="154" s="1"/>
  <c r="AD769" i="154"/>
  <c r="V769" i="154"/>
  <c r="AI768" i="154"/>
  <c r="AJ768" i="154" s="1"/>
  <c r="AD768" i="154"/>
  <c r="V768" i="154"/>
  <c r="AI767" i="154"/>
  <c r="AJ767" i="154" s="1"/>
  <c r="AD767" i="154"/>
  <c r="V767" i="154"/>
  <c r="AI766" i="154"/>
  <c r="AJ766" i="154" s="1"/>
  <c r="AD766" i="154"/>
  <c r="V766" i="154"/>
  <c r="AI765" i="154"/>
  <c r="AJ765" i="154" s="1"/>
  <c r="AD765" i="154"/>
  <c r="V765" i="154"/>
  <c r="AI764" i="154"/>
  <c r="AJ764" i="154" s="1"/>
  <c r="AD764" i="154"/>
  <c r="V764" i="154"/>
  <c r="AI763" i="154"/>
  <c r="AJ763" i="154" s="1"/>
  <c r="AD763" i="154"/>
  <c r="V763" i="154"/>
  <c r="AI762" i="154"/>
  <c r="AJ762" i="154" s="1"/>
  <c r="AD762" i="154"/>
  <c r="V762" i="154"/>
  <c r="AI761" i="154"/>
  <c r="AJ761" i="154" s="1"/>
  <c r="AD761" i="154"/>
  <c r="V761" i="154"/>
  <c r="AI760" i="154"/>
  <c r="AJ760" i="154" s="1"/>
  <c r="AD760" i="154"/>
  <c r="V760" i="154"/>
  <c r="AI759" i="154"/>
  <c r="AJ759" i="154" s="1"/>
  <c r="AD759" i="154"/>
  <c r="V759" i="154"/>
  <c r="AI758" i="154"/>
  <c r="AJ758" i="154" s="1"/>
  <c r="AD758" i="154"/>
  <c r="V758" i="154"/>
  <c r="AI757" i="154"/>
  <c r="AJ757" i="154" s="1"/>
  <c r="AD757" i="154"/>
  <c r="V757" i="154"/>
  <c r="AI756" i="154"/>
  <c r="AJ756" i="154" s="1"/>
  <c r="AD756" i="154"/>
  <c r="V756" i="154"/>
  <c r="AI755" i="154"/>
  <c r="AJ755" i="154" s="1"/>
  <c r="AD755" i="154"/>
  <c r="V755" i="154"/>
  <c r="AI754" i="154"/>
  <c r="AJ754" i="154" s="1"/>
  <c r="AD754" i="154"/>
  <c r="V754" i="154"/>
  <c r="AI753" i="154"/>
  <c r="AJ753" i="154" s="1"/>
  <c r="AD753" i="154"/>
  <c r="V753" i="154"/>
  <c r="AI752" i="154"/>
  <c r="AJ752" i="154" s="1"/>
  <c r="AD752" i="154"/>
  <c r="V752" i="154"/>
  <c r="AI751" i="154"/>
  <c r="AJ751" i="154" s="1"/>
  <c r="AD751" i="154"/>
  <c r="V751" i="154"/>
  <c r="AI750" i="154"/>
  <c r="AJ750" i="154" s="1"/>
  <c r="AD750" i="154"/>
  <c r="V750" i="154"/>
  <c r="AI749" i="154"/>
  <c r="AJ749" i="154" s="1"/>
  <c r="AD749" i="154"/>
  <c r="V749" i="154"/>
  <c r="AI748" i="154"/>
  <c r="AJ748" i="154" s="1"/>
  <c r="AD748" i="154"/>
  <c r="V748" i="154"/>
  <c r="AI747" i="154"/>
  <c r="AJ747" i="154" s="1"/>
  <c r="AD747" i="154"/>
  <c r="V747" i="154"/>
  <c r="AI746" i="154"/>
  <c r="AJ746" i="154" s="1"/>
  <c r="AD746" i="154"/>
  <c r="V746" i="154"/>
  <c r="AI745" i="154"/>
  <c r="AJ745" i="154" s="1"/>
  <c r="AD745" i="154"/>
  <c r="V745" i="154"/>
  <c r="AI744" i="154"/>
  <c r="AJ744" i="154" s="1"/>
  <c r="AD744" i="154"/>
  <c r="V744" i="154"/>
  <c r="AI743" i="154"/>
  <c r="AJ743" i="154" s="1"/>
  <c r="AD743" i="154"/>
  <c r="V743" i="154"/>
  <c r="AI742" i="154"/>
  <c r="AJ742" i="154" s="1"/>
  <c r="AD742" i="154"/>
  <c r="V742" i="154"/>
  <c r="AI741" i="154"/>
  <c r="AJ741" i="154" s="1"/>
  <c r="AD741" i="154"/>
  <c r="V741" i="154"/>
  <c r="AI740" i="154"/>
  <c r="AJ740" i="154" s="1"/>
  <c r="AD740" i="154"/>
  <c r="V740" i="154"/>
  <c r="AI739" i="154"/>
  <c r="AJ739" i="154" s="1"/>
  <c r="AD739" i="154"/>
  <c r="V739" i="154"/>
  <c r="AI738" i="154"/>
  <c r="AJ738" i="154" s="1"/>
  <c r="AD738" i="154"/>
  <c r="V738" i="154"/>
  <c r="AI737" i="154"/>
  <c r="AJ737" i="154" s="1"/>
  <c r="AD737" i="154"/>
  <c r="V737" i="154"/>
  <c r="AI736" i="154"/>
  <c r="AJ736" i="154" s="1"/>
  <c r="AD736" i="154"/>
  <c r="V736" i="154"/>
  <c r="AI735" i="154"/>
  <c r="AJ735" i="154" s="1"/>
  <c r="AD735" i="154"/>
  <c r="V735" i="154"/>
  <c r="AI734" i="154"/>
  <c r="AJ734" i="154" s="1"/>
  <c r="AD734" i="154"/>
  <c r="V734" i="154"/>
  <c r="AI733" i="154"/>
  <c r="AJ733" i="154" s="1"/>
  <c r="AD733" i="154"/>
  <c r="V733" i="154"/>
  <c r="AI732" i="154"/>
  <c r="AJ732" i="154" s="1"/>
  <c r="AD732" i="154"/>
  <c r="V732" i="154"/>
  <c r="AI731" i="154"/>
  <c r="AJ731" i="154" s="1"/>
  <c r="AD731" i="154"/>
  <c r="V731" i="154"/>
  <c r="AI730" i="154"/>
  <c r="AJ730" i="154" s="1"/>
  <c r="AD730" i="154"/>
  <c r="V730" i="154"/>
  <c r="AI729" i="154"/>
  <c r="AB729" i="154"/>
  <c r="AB728" i="154" s="1"/>
  <c r="AA729" i="154"/>
  <c r="AA728" i="154" s="1"/>
  <c r="Z729" i="154"/>
  <c r="Z728" i="154" s="1"/>
  <c r="Y729" i="154"/>
  <c r="Y728" i="154" s="1"/>
  <c r="X729" i="154"/>
  <c r="X728" i="154" s="1"/>
  <c r="W729" i="154"/>
  <c r="W728" i="154" s="1"/>
  <c r="U729" i="154"/>
  <c r="U728" i="154" s="1"/>
  <c r="T729" i="154"/>
  <c r="S729" i="154"/>
  <c r="R729" i="154"/>
  <c r="R728" i="154" s="1"/>
  <c r="Q729" i="154"/>
  <c r="Q728" i="154" s="1"/>
  <c r="P729" i="154"/>
  <c r="P728" i="154" s="1"/>
  <c r="O729" i="154"/>
  <c r="N729" i="154"/>
  <c r="N728" i="154" s="1"/>
  <c r="M729" i="154"/>
  <c r="M728" i="154" s="1"/>
  <c r="AI728" i="154"/>
  <c r="S728" i="154"/>
  <c r="AI727" i="154"/>
  <c r="J727" i="154"/>
  <c r="AI726" i="154"/>
  <c r="AI725" i="154"/>
  <c r="H725" i="154"/>
  <c r="H724" i="154" s="1"/>
  <c r="H723" i="154" s="1"/>
  <c r="E725" i="154"/>
  <c r="E724" i="154" s="1"/>
  <c r="E723" i="154" s="1"/>
  <c r="AI724" i="154"/>
  <c r="AI723" i="154"/>
  <c r="AI722" i="154"/>
  <c r="AJ722" i="154" s="1"/>
  <c r="T722" i="154"/>
  <c r="Z722" i="154" s="1"/>
  <c r="AB722" i="154" s="1"/>
  <c r="AI721" i="154"/>
  <c r="AJ721" i="154" s="1"/>
  <c r="T721" i="154"/>
  <c r="V721" i="154" s="1"/>
  <c r="AI720" i="154"/>
  <c r="AJ720" i="154" s="1"/>
  <c r="T720" i="154"/>
  <c r="U720" i="154" s="1"/>
  <c r="AI719" i="154"/>
  <c r="S719" i="154"/>
  <c r="T719" i="154" s="1"/>
  <c r="X719" i="154" s="1"/>
  <c r="AI718" i="154"/>
  <c r="S718" i="154"/>
  <c r="AI717" i="154"/>
  <c r="AJ717" i="154" s="1"/>
  <c r="T717" i="154"/>
  <c r="X717" i="154" s="1"/>
  <c r="AI716" i="154"/>
  <c r="S716" i="154"/>
  <c r="T716" i="154" s="1"/>
  <c r="V716" i="154" s="1"/>
  <c r="AI715" i="154"/>
  <c r="W715" i="154"/>
  <c r="R715" i="154"/>
  <c r="Q715" i="154"/>
  <c r="P715" i="154"/>
  <c r="O715" i="154"/>
  <c r="N715" i="154"/>
  <c r="M715" i="154"/>
  <c r="J715" i="154"/>
  <c r="H715" i="154"/>
  <c r="E715" i="154"/>
  <c r="D715" i="154"/>
  <c r="AI714" i="154"/>
  <c r="AJ714" i="154" s="1"/>
  <c r="T714" i="154"/>
  <c r="X714" i="154" s="1"/>
  <c r="AI713" i="154"/>
  <c r="AJ713" i="154" s="1"/>
  <c r="T713" i="154"/>
  <c r="Z713" i="154" s="1"/>
  <c r="AB713" i="154" s="1"/>
  <c r="AI712" i="154"/>
  <c r="AJ712" i="154" s="1"/>
  <c r="T712" i="154"/>
  <c r="X712" i="154" s="1"/>
  <c r="AI711" i="154"/>
  <c r="W711" i="154"/>
  <c r="S711" i="154"/>
  <c r="R711" i="154"/>
  <c r="Q711" i="154"/>
  <c r="P711" i="154"/>
  <c r="O711" i="154"/>
  <c r="N711" i="154"/>
  <c r="M711" i="154"/>
  <c r="J711" i="154"/>
  <c r="H711" i="154"/>
  <c r="E711" i="154"/>
  <c r="D711" i="154"/>
  <c r="AI710" i="154"/>
  <c r="AJ710" i="154" s="1"/>
  <c r="T710" i="154"/>
  <c r="AI709" i="154"/>
  <c r="W709" i="154"/>
  <c r="W708" i="154" s="1"/>
  <c r="S709" i="154"/>
  <c r="S708" i="154" s="1"/>
  <c r="R709" i="154"/>
  <c r="R708" i="154" s="1"/>
  <c r="Q709" i="154"/>
  <c r="Q708" i="154" s="1"/>
  <c r="P709" i="154"/>
  <c r="P708" i="154" s="1"/>
  <c r="O709" i="154"/>
  <c r="O708" i="154" s="1"/>
  <c r="N709" i="154"/>
  <c r="M709" i="154"/>
  <c r="M708" i="154" s="1"/>
  <c r="J709" i="154"/>
  <c r="J708" i="154" s="1"/>
  <c r="AI708" i="154"/>
  <c r="AI707" i="154"/>
  <c r="AJ707" i="154" s="1"/>
  <c r="T707" i="154"/>
  <c r="Z707" i="154" s="1"/>
  <c r="AB707" i="154" s="1"/>
  <c r="AB706" i="154" s="1"/>
  <c r="AI706" i="154"/>
  <c r="W706" i="154"/>
  <c r="S706" i="154"/>
  <c r="R706" i="154"/>
  <c r="Q706" i="154"/>
  <c r="P706" i="154"/>
  <c r="O706" i="154"/>
  <c r="N706" i="154"/>
  <c r="M706" i="154"/>
  <c r="J706" i="154"/>
  <c r="AI705" i="154"/>
  <c r="AJ705" i="154" s="1"/>
  <c r="T705" i="154"/>
  <c r="X705" i="154" s="1"/>
  <c r="AI704" i="154"/>
  <c r="AJ704" i="154" s="1"/>
  <c r="T704" i="154"/>
  <c r="U704" i="154" s="1"/>
  <c r="AA704" i="154" s="1"/>
  <c r="AI703" i="154"/>
  <c r="AJ703" i="154" s="1"/>
  <c r="T703" i="154"/>
  <c r="X703" i="154" s="1"/>
  <c r="AI702" i="154"/>
  <c r="AJ702" i="154" s="1"/>
  <c r="T702" i="154"/>
  <c r="Z702" i="154" s="1"/>
  <c r="AB702" i="154" s="1"/>
  <c r="AI701" i="154"/>
  <c r="AJ701" i="154" s="1"/>
  <c r="T701" i="154"/>
  <c r="X701" i="154" s="1"/>
  <c r="AI700" i="154"/>
  <c r="AJ700" i="154" s="1"/>
  <c r="T700" i="154"/>
  <c r="AI699" i="154"/>
  <c r="AJ699" i="154" s="1"/>
  <c r="T699" i="154"/>
  <c r="X699" i="154" s="1"/>
  <c r="AI698" i="154"/>
  <c r="AJ698" i="154" s="1"/>
  <c r="T698" i="154"/>
  <c r="AI697" i="154"/>
  <c r="AJ697" i="154" s="1"/>
  <c r="T697" i="154"/>
  <c r="U697" i="154" s="1"/>
  <c r="AI696" i="154"/>
  <c r="AJ696" i="154" s="1"/>
  <c r="T696" i="154"/>
  <c r="U696" i="154" s="1"/>
  <c r="AI695" i="154"/>
  <c r="AJ695" i="154" s="1"/>
  <c r="T695" i="154"/>
  <c r="X695" i="154" s="1"/>
  <c r="AI694" i="154"/>
  <c r="W694" i="154"/>
  <c r="S694" i="154"/>
  <c r="R694" i="154"/>
  <c r="Q694" i="154"/>
  <c r="P694" i="154"/>
  <c r="O694" i="154"/>
  <c r="N694" i="154"/>
  <c r="M694" i="154"/>
  <c r="J694" i="154"/>
  <c r="AI693" i="154"/>
  <c r="AI692" i="154"/>
  <c r="AJ692" i="154" s="1"/>
  <c r="AD692" i="154"/>
  <c r="V692" i="154"/>
  <c r="AI691" i="154"/>
  <c r="AB691" i="154"/>
  <c r="AA691" i="154"/>
  <c r="Z691" i="154"/>
  <c r="Y691" i="154"/>
  <c r="X691" i="154"/>
  <c r="W691" i="154"/>
  <c r="U691" i="154"/>
  <c r="T691" i="154"/>
  <c r="S691" i="154"/>
  <c r="R691" i="154"/>
  <c r="Q691" i="154"/>
  <c r="P691" i="154"/>
  <c r="O691" i="154"/>
  <c r="N691" i="154"/>
  <c r="M691" i="154"/>
  <c r="J691" i="154"/>
  <c r="AI690" i="154"/>
  <c r="AJ690" i="154" s="1"/>
  <c r="T690" i="154"/>
  <c r="X690" i="154" s="1"/>
  <c r="AI689" i="154"/>
  <c r="AJ689" i="154" s="1"/>
  <c r="T689" i="154"/>
  <c r="AI688" i="154"/>
  <c r="AJ688" i="154" s="1"/>
  <c r="T688" i="154"/>
  <c r="AI687" i="154"/>
  <c r="AJ687" i="154" s="1"/>
  <c r="T687" i="154"/>
  <c r="V687" i="154" s="1"/>
  <c r="AI686" i="154"/>
  <c r="AJ686" i="154" s="1"/>
  <c r="T686" i="154"/>
  <c r="X686" i="154" s="1"/>
  <c r="AI685" i="154"/>
  <c r="AJ685" i="154" s="1"/>
  <c r="T685" i="154"/>
  <c r="V685" i="154" s="1"/>
  <c r="AI684" i="154"/>
  <c r="AJ684" i="154" s="1"/>
  <c r="T684" i="154"/>
  <c r="X684" i="154" s="1"/>
  <c r="AI683" i="154"/>
  <c r="AJ683" i="154" s="1"/>
  <c r="T683" i="154"/>
  <c r="V683" i="154" s="1"/>
  <c r="AI682" i="154"/>
  <c r="W682" i="154"/>
  <c r="S682" i="154"/>
  <c r="R682" i="154"/>
  <c r="Q682" i="154"/>
  <c r="P682" i="154"/>
  <c r="P681" i="154" s="1"/>
  <c r="O682" i="154"/>
  <c r="N682" i="154"/>
  <c r="M682" i="154"/>
  <c r="J682" i="154"/>
  <c r="AI681" i="154"/>
  <c r="AI680" i="154"/>
  <c r="AJ680" i="154" s="1"/>
  <c r="T680" i="154"/>
  <c r="Z680" i="154" s="1"/>
  <c r="Z679" i="154" s="1"/>
  <c r="Z678" i="154" s="1"/>
  <c r="AI679" i="154"/>
  <c r="W679" i="154"/>
  <c r="W678" i="154" s="1"/>
  <c r="S679" i="154"/>
  <c r="S678" i="154" s="1"/>
  <c r="R679" i="154"/>
  <c r="Q679" i="154"/>
  <c r="Q678" i="154" s="1"/>
  <c r="P679" i="154"/>
  <c r="P678" i="154" s="1"/>
  <c r="O679" i="154"/>
  <c r="O678" i="154" s="1"/>
  <c r="N679" i="154"/>
  <c r="N678" i="154" s="1"/>
  <c r="M679" i="154"/>
  <c r="M678" i="154" s="1"/>
  <c r="J679" i="154"/>
  <c r="J678" i="154" s="1"/>
  <c r="AI678" i="154"/>
  <c r="R678" i="154"/>
  <c r="AI677" i="154"/>
  <c r="AJ677" i="154" s="1"/>
  <c r="T677" i="154"/>
  <c r="AI676" i="154"/>
  <c r="W676" i="154"/>
  <c r="W675" i="154" s="1"/>
  <c r="S676" i="154"/>
  <c r="S675" i="154" s="1"/>
  <c r="R676" i="154"/>
  <c r="R675" i="154" s="1"/>
  <c r="Q676" i="154"/>
  <c r="Q675" i="154" s="1"/>
  <c r="P676" i="154"/>
  <c r="P675" i="154" s="1"/>
  <c r="O676" i="154"/>
  <c r="N676" i="154"/>
  <c r="N675" i="154" s="1"/>
  <c r="M676" i="154"/>
  <c r="M675" i="154" s="1"/>
  <c r="J676" i="154"/>
  <c r="J675" i="154" s="1"/>
  <c r="AI675" i="154"/>
  <c r="AI674" i="154"/>
  <c r="AJ674" i="154" s="1"/>
  <c r="T674" i="154"/>
  <c r="T673" i="154" s="1"/>
  <c r="AI673" i="154"/>
  <c r="AJ673" i="154" s="1"/>
  <c r="W673" i="154"/>
  <c r="W672" i="154" s="1"/>
  <c r="S673" i="154"/>
  <c r="S672" i="154" s="1"/>
  <c r="R673" i="154"/>
  <c r="R672" i="154" s="1"/>
  <c r="Q673" i="154"/>
  <c r="Q672" i="154" s="1"/>
  <c r="P673" i="154"/>
  <c r="P672" i="154" s="1"/>
  <c r="O673" i="154"/>
  <c r="O672" i="154" s="1"/>
  <c r="N673" i="154"/>
  <c r="M673" i="154"/>
  <c r="M672" i="154" s="1"/>
  <c r="J673" i="154"/>
  <c r="J672" i="154" s="1"/>
  <c r="AI672" i="154"/>
  <c r="AI671" i="154"/>
  <c r="AJ671" i="154" s="1"/>
  <c r="T671" i="154"/>
  <c r="V671" i="154" s="1"/>
  <c r="AI670" i="154"/>
  <c r="W670" i="154"/>
  <c r="W669" i="154" s="1"/>
  <c r="S670" i="154"/>
  <c r="S669" i="154" s="1"/>
  <c r="R670" i="154"/>
  <c r="R669" i="154" s="1"/>
  <c r="Q670" i="154"/>
  <c r="Q669" i="154" s="1"/>
  <c r="P670" i="154"/>
  <c r="P669" i="154" s="1"/>
  <c r="O670" i="154"/>
  <c r="N670" i="154"/>
  <c r="N669" i="154" s="1"/>
  <c r="M670" i="154"/>
  <c r="M669" i="154" s="1"/>
  <c r="J670" i="154"/>
  <c r="J669" i="154" s="1"/>
  <c r="AI669" i="154"/>
  <c r="AI668" i="154"/>
  <c r="AJ668" i="154" s="1"/>
  <c r="AD668" i="154"/>
  <c r="V668" i="154"/>
  <c r="AI667" i="154"/>
  <c r="AJ667" i="154" s="1"/>
  <c r="AD667" i="154"/>
  <c r="V667" i="154"/>
  <c r="AI666" i="154"/>
  <c r="AJ666" i="154" s="1"/>
  <c r="AD666" i="154"/>
  <c r="V666" i="154"/>
  <c r="AI665" i="154"/>
  <c r="AJ665" i="154" s="1"/>
  <c r="AD665" i="154"/>
  <c r="V665" i="154"/>
  <c r="AI664" i="154"/>
  <c r="AJ664" i="154" s="1"/>
  <c r="AD664" i="154"/>
  <c r="V664" i="154"/>
  <c r="AI663" i="154"/>
  <c r="AI662" i="154"/>
  <c r="AJ662" i="154" s="1"/>
  <c r="T662" i="154"/>
  <c r="AI661" i="154"/>
  <c r="AJ661" i="154" s="1"/>
  <c r="T661" i="154"/>
  <c r="AI660" i="154"/>
  <c r="W660" i="154"/>
  <c r="W659" i="154" s="1"/>
  <c r="S660" i="154"/>
  <c r="R660" i="154"/>
  <c r="R659" i="154" s="1"/>
  <c r="Q660" i="154"/>
  <c r="Q659" i="154" s="1"/>
  <c r="P660" i="154"/>
  <c r="P659" i="154" s="1"/>
  <c r="O660" i="154"/>
  <c r="O659" i="154" s="1"/>
  <c r="N660" i="154"/>
  <c r="N659" i="154" s="1"/>
  <c r="M660" i="154"/>
  <c r="M659" i="154" s="1"/>
  <c r="AI659" i="154"/>
  <c r="AI658" i="154"/>
  <c r="AJ658" i="154" s="1"/>
  <c r="AD658" i="154"/>
  <c r="V658" i="154"/>
  <c r="AI657" i="154"/>
  <c r="AJ657" i="154" s="1"/>
  <c r="AD657" i="154"/>
  <c r="V657" i="154"/>
  <c r="AI656" i="154"/>
  <c r="AJ656" i="154" s="1"/>
  <c r="AD656" i="154"/>
  <c r="V656" i="154"/>
  <c r="AI655" i="154"/>
  <c r="AJ655" i="154" s="1"/>
  <c r="AD655" i="154"/>
  <c r="V655" i="154"/>
  <c r="AI654" i="154"/>
  <c r="AJ654" i="154" s="1"/>
  <c r="T654" i="154"/>
  <c r="T653" i="154" s="1"/>
  <c r="AI653" i="154"/>
  <c r="W653" i="154"/>
  <c r="S653" i="154"/>
  <c r="R653" i="154"/>
  <c r="Q653" i="154"/>
  <c r="P653" i="154"/>
  <c r="O653" i="154"/>
  <c r="N653" i="154"/>
  <c r="M653" i="154"/>
  <c r="AI652" i="154"/>
  <c r="AJ652" i="154" s="1"/>
  <c r="T652" i="154"/>
  <c r="Z652" i="154" s="1"/>
  <c r="AI651" i="154"/>
  <c r="W651" i="154"/>
  <c r="S651" i="154"/>
  <c r="R651" i="154"/>
  <c r="Q651" i="154"/>
  <c r="P651" i="154"/>
  <c r="O651" i="154"/>
  <c r="N651" i="154"/>
  <c r="M651" i="154"/>
  <c r="AI650" i="154"/>
  <c r="Q650" i="154"/>
  <c r="AI649" i="154"/>
  <c r="AJ649" i="154" s="1"/>
  <c r="T649" i="154"/>
  <c r="X649" i="154" s="1"/>
  <c r="AI648" i="154"/>
  <c r="AJ648" i="154" s="1"/>
  <c r="T648" i="154"/>
  <c r="AI647" i="154"/>
  <c r="AJ647" i="154" s="1"/>
  <c r="T647" i="154"/>
  <c r="U647" i="154" s="1"/>
  <c r="AI646" i="154"/>
  <c r="AJ646" i="154" s="1"/>
  <c r="T646" i="154"/>
  <c r="AI645" i="154"/>
  <c r="AJ645" i="154" s="1"/>
  <c r="T645" i="154"/>
  <c r="AI644" i="154"/>
  <c r="AJ644" i="154" s="1"/>
  <c r="T644" i="154"/>
  <c r="U644" i="154" s="1"/>
  <c r="AI643" i="154"/>
  <c r="AJ643" i="154" s="1"/>
  <c r="T643" i="154"/>
  <c r="Z643" i="154" s="1"/>
  <c r="AB643" i="154" s="1"/>
  <c r="AI642" i="154"/>
  <c r="W642" i="154"/>
  <c r="W641" i="154" s="1"/>
  <c r="S642" i="154"/>
  <c r="S641" i="154" s="1"/>
  <c r="R642" i="154"/>
  <c r="R641" i="154" s="1"/>
  <c r="Q642" i="154"/>
  <c r="Q641" i="154" s="1"/>
  <c r="P642" i="154"/>
  <c r="P641" i="154" s="1"/>
  <c r="O642" i="154"/>
  <c r="O641" i="154" s="1"/>
  <c r="N642" i="154"/>
  <c r="N641" i="154" s="1"/>
  <c r="M642" i="154"/>
  <c r="M641" i="154" s="1"/>
  <c r="AI641" i="154"/>
  <c r="AI640" i="154"/>
  <c r="AJ640" i="154" s="1"/>
  <c r="T640" i="154"/>
  <c r="Z640" i="154" s="1"/>
  <c r="AB640" i="154" s="1"/>
  <c r="AI639" i="154"/>
  <c r="AJ639" i="154" s="1"/>
  <c r="T639" i="154"/>
  <c r="Z639" i="154" s="1"/>
  <c r="AB639" i="154" s="1"/>
  <c r="AI638" i="154"/>
  <c r="AJ638" i="154" s="1"/>
  <c r="T638" i="154"/>
  <c r="X638" i="154" s="1"/>
  <c r="AI637" i="154"/>
  <c r="AJ637" i="154" s="1"/>
  <c r="T637" i="154"/>
  <c r="X637" i="154" s="1"/>
  <c r="AI636" i="154"/>
  <c r="AJ636" i="154" s="1"/>
  <c r="T636" i="154"/>
  <c r="X636" i="154" s="1"/>
  <c r="AI635" i="154"/>
  <c r="AJ635" i="154" s="1"/>
  <c r="T635" i="154"/>
  <c r="U635" i="154" s="1"/>
  <c r="Y635" i="154" s="1"/>
  <c r="AI634" i="154"/>
  <c r="AJ634" i="154" s="1"/>
  <c r="T634" i="154"/>
  <c r="AI633" i="154"/>
  <c r="AJ633" i="154" s="1"/>
  <c r="T633" i="154"/>
  <c r="V633" i="154" s="1"/>
  <c r="AI632" i="154"/>
  <c r="AJ632" i="154" s="1"/>
  <c r="T632" i="154"/>
  <c r="AI631" i="154"/>
  <c r="AJ631" i="154" s="1"/>
  <c r="T631" i="154"/>
  <c r="X631" i="154" s="1"/>
  <c r="AI630" i="154"/>
  <c r="AJ630" i="154" s="1"/>
  <c r="T630" i="154"/>
  <c r="X630" i="154" s="1"/>
  <c r="AI629" i="154"/>
  <c r="AJ629" i="154" s="1"/>
  <c r="T629" i="154"/>
  <c r="U629" i="154" s="1"/>
  <c r="AA629" i="154" s="1"/>
  <c r="AI628" i="154"/>
  <c r="AJ628" i="154" s="1"/>
  <c r="T628" i="154"/>
  <c r="AI627" i="154"/>
  <c r="AJ627" i="154" s="1"/>
  <c r="T627" i="154"/>
  <c r="Z627" i="154" s="1"/>
  <c r="AB627" i="154" s="1"/>
  <c r="AI626" i="154"/>
  <c r="AJ626" i="154" s="1"/>
  <c r="T626" i="154"/>
  <c r="U626" i="154" s="1"/>
  <c r="AI625" i="154"/>
  <c r="AJ625" i="154" s="1"/>
  <c r="T625" i="154"/>
  <c r="AI624" i="154"/>
  <c r="AJ624" i="154" s="1"/>
  <c r="T624" i="154"/>
  <c r="V624" i="154" s="1"/>
  <c r="AI623" i="154"/>
  <c r="AJ623" i="154" s="1"/>
  <c r="T623" i="154"/>
  <c r="Z623" i="154" s="1"/>
  <c r="AB623" i="154" s="1"/>
  <c r="AI622" i="154"/>
  <c r="AJ622" i="154" s="1"/>
  <c r="T622" i="154"/>
  <c r="X622" i="154" s="1"/>
  <c r="AI621" i="154"/>
  <c r="AJ621" i="154" s="1"/>
  <c r="T621" i="154"/>
  <c r="AI620" i="154"/>
  <c r="AJ620" i="154" s="1"/>
  <c r="T620" i="154"/>
  <c r="AI619" i="154"/>
  <c r="AJ619" i="154" s="1"/>
  <c r="T619" i="154"/>
  <c r="V619" i="154" s="1"/>
  <c r="AI618" i="154"/>
  <c r="W618" i="154"/>
  <c r="W617" i="154" s="1"/>
  <c r="S618" i="154"/>
  <c r="S617" i="154" s="1"/>
  <c r="R618" i="154"/>
  <c r="R617" i="154" s="1"/>
  <c r="Q618" i="154"/>
  <c r="Q617" i="154" s="1"/>
  <c r="P618" i="154"/>
  <c r="P617" i="154" s="1"/>
  <c r="O618" i="154"/>
  <c r="O617" i="154" s="1"/>
  <c r="N618" i="154"/>
  <c r="N617" i="154" s="1"/>
  <c r="M618" i="154"/>
  <c r="M617" i="154" s="1"/>
  <c r="AI617" i="154"/>
  <c r="AI616" i="154"/>
  <c r="AJ616" i="154" s="1"/>
  <c r="AD616" i="154"/>
  <c r="V616" i="154"/>
  <c r="AI615" i="154"/>
  <c r="AB615" i="154"/>
  <c r="AA615" i="154"/>
  <c r="Z615" i="154"/>
  <c r="Y615" i="154"/>
  <c r="X615" i="154"/>
  <c r="W615" i="154"/>
  <c r="U615" i="154"/>
  <c r="T615" i="154"/>
  <c r="S615" i="154"/>
  <c r="R615" i="154"/>
  <c r="Q615" i="154"/>
  <c r="P615" i="154"/>
  <c r="O615" i="154"/>
  <c r="N615" i="154"/>
  <c r="M615" i="154"/>
  <c r="E615" i="154"/>
  <c r="AI614" i="154"/>
  <c r="AJ614" i="154" s="1"/>
  <c r="T614" i="154"/>
  <c r="Z614" i="154" s="1"/>
  <c r="AB614" i="154" s="1"/>
  <c r="AI613" i="154"/>
  <c r="AJ613" i="154" s="1"/>
  <c r="T613" i="154"/>
  <c r="AI612" i="154"/>
  <c r="AJ612" i="154" s="1"/>
  <c r="T612" i="154"/>
  <c r="U612" i="154" s="1"/>
  <c r="Y612" i="154" s="1"/>
  <c r="AI611" i="154"/>
  <c r="AJ611" i="154" s="1"/>
  <c r="T611" i="154"/>
  <c r="X611" i="154" s="1"/>
  <c r="AI610" i="154"/>
  <c r="AJ610" i="154" s="1"/>
  <c r="T610" i="154"/>
  <c r="Z610" i="154" s="1"/>
  <c r="AB610" i="154" s="1"/>
  <c r="AI609" i="154"/>
  <c r="AJ609" i="154" s="1"/>
  <c r="T609" i="154"/>
  <c r="AI608" i="154"/>
  <c r="AJ608" i="154" s="1"/>
  <c r="T608" i="154"/>
  <c r="AI607" i="154"/>
  <c r="AJ607" i="154" s="1"/>
  <c r="T607" i="154"/>
  <c r="X607" i="154" s="1"/>
  <c r="AI606" i="154"/>
  <c r="AJ606" i="154" s="1"/>
  <c r="T606" i="154"/>
  <c r="X606" i="154" s="1"/>
  <c r="AI605" i="154"/>
  <c r="AJ605" i="154" s="1"/>
  <c r="T605" i="154"/>
  <c r="Z605" i="154" s="1"/>
  <c r="AB605" i="154" s="1"/>
  <c r="AI604" i="154"/>
  <c r="AJ604" i="154" s="1"/>
  <c r="T604" i="154"/>
  <c r="X604" i="154" s="1"/>
  <c r="AI603" i="154"/>
  <c r="AJ603" i="154" s="1"/>
  <c r="T603" i="154"/>
  <c r="Z603" i="154" s="1"/>
  <c r="AB603" i="154" s="1"/>
  <c r="AI602" i="154"/>
  <c r="AJ602" i="154" s="1"/>
  <c r="T602" i="154"/>
  <c r="AI601" i="154"/>
  <c r="AJ601" i="154" s="1"/>
  <c r="T601" i="154"/>
  <c r="V601" i="154" s="1"/>
  <c r="AI600" i="154"/>
  <c r="AJ600" i="154" s="1"/>
  <c r="T600" i="154"/>
  <c r="V600" i="154" s="1"/>
  <c r="AI599" i="154"/>
  <c r="AJ599" i="154" s="1"/>
  <c r="T599" i="154"/>
  <c r="X599" i="154" s="1"/>
  <c r="AI598" i="154"/>
  <c r="AJ598" i="154" s="1"/>
  <c r="T598" i="154"/>
  <c r="Z598" i="154" s="1"/>
  <c r="AB598" i="154" s="1"/>
  <c r="AI597" i="154"/>
  <c r="AJ597" i="154" s="1"/>
  <c r="T597" i="154"/>
  <c r="Z597" i="154" s="1"/>
  <c r="AB597" i="154" s="1"/>
  <c r="AI596" i="154"/>
  <c r="AJ596" i="154" s="1"/>
  <c r="T596" i="154"/>
  <c r="U596" i="154" s="1"/>
  <c r="AD596" i="154" s="1"/>
  <c r="AI595" i="154"/>
  <c r="AJ595" i="154" s="1"/>
  <c r="T595" i="154"/>
  <c r="AI594" i="154"/>
  <c r="AJ594" i="154" s="1"/>
  <c r="T594" i="154"/>
  <c r="V594" i="154" s="1"/>
  <c r="AI593" i="154"/>
  <c r="AJ593" i="154" s="1"/>
  <c r="T593" i="154"/>
  <c r="V593" i="154" s="1"/>
  <c r="AI592" i="154"/>
  <c r="AJ592" i="154" s="1"/>
  <c r="T592" i="154"/>
  <c r="Z592" i="154" s="1"/>
  <c r="AB592" i="154" s="1"/>
  <c r="AI591" i="154"/>
  <c r="AJ591" i="154" s="1"/>
  <c r="T591" i="154"/>
  <c r="AI590" i="154"/>
  <c r="AJ590" i="154" s="1"/>
  <c r="T590" i="154"/>
  <c r="AI589" i="154"/>
  <c r="AJ589" i="154" s="1"/>
  <c r="T589" i="154"/>
  <c r="AI588" i="154"/>
  <c r="AJ588" i="154" s="1"/>
  <c r="T588" i="154"/>
  <c r="AI587" i="154"/>
  <c r="AJ587" i="154" s="1"/>
  <c r="T587" i="154"/>
  <c r="Z587" i="154" s="1"/>
  <c r="AB587" i="154" s="1"/>
  <c r="AI586" i="154"/>
  <c r="AJ586" i="154" s="1"/>
  <c r="T586" i="154"/>
  <c r="AI585" i="154"/>
  <c r="AJ585" i="154" s="1"/>
  <c r="T585" i="154"/>
  <c r="X585" i="154" s="1"/>
  <c r="AI584" i="154"/>
  <c r="AJ584" i="154" s="1"/>
  <c r="T584" i="154"/>
  <c r="Z584" i="154" s="1"/>
  <c r="AB584" i="154" s="1"/>
  <c r="AI583" i="154"/>
  <c r="AJ583" i="154" s="1"/>
  <c r="T583" i="154"/>
  <c r="AI582" i="154"/>
  <c r="AJ582" i="154" s="1"/>
  <c r="T582" i="154"/>
  <c r="U582" i="154" s="1"/>
  <c r="AI581" i="154"/>
  <c r="AJ581" i="154" s="1"/>
  <c r="T581" i="154"/>
  <c r="U581" i="154" s="1"/>
  <c r="AD581" i="154" s="1"/>
  <c r="AI580" i="154"/>
  <c r="AJ580" i="154" s="1"/>
  <c r="T580" i="154"/>
  <c r="AI579" i="154"/>
  <c r="AJ579" i="154" s="1"/>
  <c r="T579" i="154"/>
  <c r="AI578" i="154"/>
  <c r="AJ578" i="154" s="1"/>
  <c r="AA578" i="154"/>
  <c r="T578" i="154"/>
  <c r="U578" i="154" s="1"/>
  <c r="AD578" i="154" s="1"/>
  <c r="AI577" i="154"/>
  <c r="AJ577" i="154" s="1"/>
  <c r="T577" i="154"/>
  <c r="U577" i="154" s="1"/>
  <c r="AI576" i="154"/>
  <c r="AJ576" i="154" s="1"/>
  <c r="T576" i="154"/>
  <c r="Z576" i="154" s="1"/>
  <c r="AB576" i="154" s="1"/>
  <c r="AI575" i="154"/>
  <c r="AJ575" i="154" s="1"/>
  <c r="T575" i="154"/>
  <c r="Z575" i="154" s="1"/>
  <c r="AB575" i="154" s="1"/>
  <c r="AI574" i="154"/>
  <c r="AJ574" i="154" s="1"/>
  <c r="T574" i="154"/>
  <c r="Z574" i="154" s="1"/>
  <c r="AB574" i="154" s="1"/>
  <c r="AI573" i="154"/>
  <c r="AJ573" i="154" s="1"/>
  <c r="V573" i="154"/>
  <c r="T573" i="154"/>
  <c r="Z573" i="154" s="1"/>
  <c r="AB573" i="154" s="1"/>
  <c r="AI572" i="154"/>
  <c r="AJ572" i="154" s="1"/>
  <c r="T572" i="154"/>
  <c r="AI571" i="154"/>
  <c r="AJ571" i="154" s="1"/>
  <c r="T571" i="154"/>
  <c r="AI570" i="154"/>
  <c r="AJ570" i="154" s="1"/>
  <c r="T570" i="154"/>
  <c r="Z570" i="154" s="1"/>
  <c r="AB570" i="154" s="1"/>
  <c r="AI569" i="154"/>
  <c r="AJ569" i="154" s="1"/>
  <c r="T569" i="154"/>
  <c r="AI568" i="154"/>
  <c r="AJ568" i="154" s="1"/>
  <c r="T568" i="154"/>
  <c r="Z568" i="154" s="1"/>
  <c r="AB568" i="154" s="1"/>
  <c r="AI567" i="154"/>
  <c r="AJ567" i="154" s="1"/>
  <c r="T567" i="154"/>
  <c r="V567" i="154" s="1"/>
  <c r="AI566" i="154"/>
  <c r="AJ566" i="154" s="1"/>
  <c r="T566" i="154"/>
  <c r="U566" i="154" s="1"/>
  <c r="AI565" i="154"/>
  <c r="AJ565" i="154" s="1"/>
  <c r="T565" i="154"/>
  <c r="AI564" i="154"/>
  <c r="AJ564" i="154" s="1"/>
  <c r="T564" i="154"/>
  <c r="AI563" i="154"/>
  <c r="AJ563" i="154" s="1"/>
  <c r="T563" i="154"/>
  <c r="X563" i="154" s="1"/>
  <c r="AI562" i="154"/>
  <c r="AJ562" i="154" s="1"/>
  <c r="T562" i="154"/>
  <c r="U562" i="154" s="1"/>
  <c r="AD562" i="154" s="1"/>
  <c r="AI561" i="154"/>
  <c r="AJ561" i="154" s="1"/>
  <c r="T561" i="154"/>
  <c r="X561" i="154" s="1"/>
  <c r="AI560" i="154"/>
  <c r="AJ560" i="154" s="1"/>
  <c r="T560" i="154"/>
  <c r="AI559" i="154"/>
  <c r="AJ559" i="154" s="1"/>
  <c r="T559" i="154"/>
  <c r="AI558" i="154"/>
  <c r="AJ558" i="154" s="1"/>
  <c r="T558" i="154"/>
  <c r="X558" i="154" s="1"/>
  <c r="AI557" i="154"/>
  <c r="AJ557" i="154" s="1"/>
  <c r="T557" i="154"/>
  <c r="AI556" i="154"/>
  <c r="AJ556" i="154" s="1"/>
  <c r="T556" i="154"/>
  <c r="AI555" i="154"/>
  <c r="AJ555" i="154" s="1"/>
  <c r="T555" i="154"/>
  <c r="AI554" i="154"/>
  <c r="AJ554" i="154" s="1"/>
  <c r="T554" i="154"/>
  <c r="AI553" i="154"/>
  <c r="AJ553" i="154" s="1"/>
  <c r="T553" i="154"/>
  <c r="Z553" i="154" s="1"/>
  <c r="AB553" i="154" s="1"/>
  <c r="AI552" i="154"/>
  <c r="AJ552" i="154" s="1"/>
  <c r="T552" i="154"/>
  <c r="AI551" i="154"/>
  <c r="AJ551" i="154" s="1"/>
  <c r="T551" i="154"/>
  <c r="AI550" i="154"/>
  <c r="AJ550" i="154" s="1"/>
  <c r="T550" i="154"/>
  <c r="V550" i="154" s="1"/>
  <c r="AI549" i="154"/>
  <c r="AJ549" i="154" s="1"/>
  <c r="T549" i="154"/>
  <c r="V549" i="154" s="1"/>
  <c r="AI548" i="154"/>
  <c r="AJ548" i="154" s="1"/>
  <c r="T548" i="154"/>
  <c r="AI547" i="154"/>
  <c r="AJ547" i="154" s="1"/>
  <c r="T547" i="154"/>
  <c r="AI546" i="154"/>
  <c r="AJ546" i="154" s="1"/>
  <c r="T546" i="154"/>
  <c r="AI545" i="154"/>
  <c r="AJ545" i="154" s="1"/>
  <c r="T545" i="154"/>
  <c r="AI544" i="154"/>
  <c r="AJ544" i="154" s="1"/>
  <c r="T544" i="154"/>
  <c r="AI543" i="154"/>
  <c r="AJ543" i="154" s="1"/>
  <c r="T543" i="154"/>
  <c r="X543" i="154" s="1"/>
  <c r="AI542" i="154"/>
  <c r="AJ542" i="154" s="1"/>
  <c r="T542" i="154"/>
  <c r="AI541" i="154"/>
  <c r="AJ541" i="154" s="1"/>
  <c r="T541" i="154"/>
  <c r="AI540" i="154"/>
  <c r="AJ540" i="154" s="1"/>
  <c r="T540" i="154"/>
  <c r="Z540" i="154" s="1"/>
  <c r="AB540" i="154" s="1"/>
  <c r="AI539" i="154"/>
  <c r="AJ539" i="154" s="1"/>
  <c r="T539" i="154"/>
  <c r="AI538" i="154"/>
  <c r="AJ538" i="154" s="1"/>
  <c r="T538" i="154"/>
  <c r="U538" i="154" s="1"/>
  <c r="AD538" i="154" s="1"/>
  <c r="AI537" i="154"/>
  <c r="W537" i="154"/>
  <c r="S537" i="154"/>
  <c r="R537" i="154"/>
  <c r="Q537" i="154"/>
  <c r="P537" i="154"/>
  <c r="O537" i="154"/>
  <c r="N537" i="154"/>
  <c r="M537" i="154"/>
  <c r="E537" i="154"/>
  <c r="AI536" i="154"/>
  <c r="AI535" i="154"/>
  <c r="AJ535" i="154" s="1"/>
  <c r="T535" i="154"/>
  <c r="Z535" i="154" s="1"/>
  <c r="AB535" i="154" s="1"/>
  <c r="AI534" i="154"/>
  <c r="AJ534" i="154" s="1"/>
  <c r="T534" i="154"/>
  <c r="AI533" i="154"/>
  <c r="AJ533" i="154" s="1"/>
  <c r="T533" i="154"/>
  <c r="V533" i="154" s="1"/>
  <c r="AI532" i="154"/>
  <c r="AJ532" i="154" s="1"/>
  <c r="T532" i="154"/>
  <c r="U532" i="154" s="1"/>
  <c r="Y532" i="154" s="1"/>
  <c r="AI531" i="154"/>
  <c r="AJ531" i="154" s="1"/>
  <c r="T531" i="154"/>
  <c r="AI530" i="154"/>
  <c r="AJ530" i="154" s="1"/>
  <c r="T530" i="154"/>
  <c r="AI529" i="154"/>
  <c r="AJ529" i="154" s="1"/>
  <c r="T529" i="154"/>
  <c r="X529" i="154" s="1"/>
  <c r="AI528" i="154"/>
  <c r="AJ528" i="154" s="1"/>
  <c r="T528" i="154"/>
  <c r="U528" i="154" s="1"/>
  <c r="AD528" i="154" s="1"/>
  <c r="AI527" i="154"/>
  <c r="AJ527" i="154" s="1"/>
  <c r="T527" i="154"/>
  <c r="X527" i="154" s="1"/>
  <c r="AI526" i="154"/>
  <c r="AJ526" i="154" s="1"/>
  <c r="T526" i="154"/>
  <c r="AI525" i="154"/>
  <c r="AJ525" i="154" s="1"/>
  <c r="T525" i="154"/>
  <c r="U525" i="154" s="1"/>
  <c r="AD525" i="154" s="1"/>
  <c r="AI524" i="154"/>
  <c r="AJ524" i="154" s="1"/>
  <c r="T524" i="154"/>
  <c r="AI523" i="154"/>
  <c r="AJ523" i="154" s="1"/>
  <c r="T523" i="154"/>
  <c r="X523" i="154" s="1"/>
  <c r="AI522" i="154"/>
  <c r="AJ522" i="154" s="1"/>
  <c r="T522" i="154"/>
  <c r="AI521" i="154"/>
  <c r="AJ521" i="154" s="1"/>
  <c r="T521" i="154"/>
  <c r="X521" i="154" s="1"/>
  <c r="AI520" i="154"/>
  <c r="AJ520" i="154" s="1"/>
  <c r="T520" i="154"/>
  <c r="AI519" i="154"/>
  <c r="AJ519" i="154" s="1"/>
  <c r="T519" i="154"/>
  <c r="U519" i="154" s="1"/>
  <c r="AI518" i="154"/>
  <c r="AJ518" i="154" s="1"/>
  <c r="T518" i="154"/>
  <c r="AI517" i="154"/>
  <c r="AJ517" i="154" s="1"/>
  <c r="T517" i="154"/>
  <c r="X517" i="154" s="1"/>
  <c r="AI516" i="154"/>
  <c r="AJ516" i="154" s="1"/>
  <c r="T516" i="154"/>
  <c r="AI515" i="154"/>
  <c r="AJ515" i="154" s="1"/>
  <c r="T515" i="154"/>
  <c r="X515" i="154" s="1"/>
  <c r="AI514" i="154"/>
  <c r="AJ514" i="154" s="1"/>
  <c r="T514" i="154"/>
  <c r="Z514" i="154" s="1"/>
  <c r="AB514" i="154" s="1"/>
  <c r="AI513" i="154"/>
  <c r="AJ513" i="154" s="1"/>
  <c r="T513" i="154"/>
  <c r="X513" i="154" s="1"/>
  <c r="AI512" i="154"/>
  <c r="AJ512" i="154" s="1"/>
  <c r="T512" i="154"/>
  <c r="AI511" i="154"/>
  <c r="AJ511" i="154" s="1"/>
  <c r="T511" i="154"/>
  <c r="AI510" i="154"/>
  <c r="AJ510" i="154" s="1"/>
  <c r="T510" i="154"/>
  <c r="AI509" i="154"/>
  <c r="AJ509" i="154" s="1"/>
  <c r="T509" i="154"/>
  <c r="AI508" i="154"/>
  <c r="AJ508" i="154" s="1"/>
  <c r="T508" i="154"/>
  <c r="U508" i="154" s="1"/>
  <c r="AA508" i="154" s="1"/>
  <c r="AI507" i="154"/>
  <c r="AJ507" i="154" s="1"/>
  <c r="T507" i="154"/>
  <c r="AI506" i="154"/>
  <c r="AJ506" i="154" s="1"/>
  <c r="T506" i="154"/>
  <c r="Z506" i="154" s="1"/>
  <c r="AB506" i="154" s="1"/>
  <c r="AI505" i="154"/>
  <c r="AJ505" i="154" s="1"/>
  <c r="T505" i="154"/>
  <c r="X505" i="154" s="1"/>
  <c r="AI504" i="154"/>
  <c r="AJ504" i="154" s="1"/>
  <c r="T504" i="154"/>
  <c r="Z504" i="154" s="1"/>
  <c r="AB504" i="154" s="1"/>
  <c r="AI503" i="154"/>
  <c r="AJ503" i="154" s="1"/>
  <c r="T503" i="154"/>
  <c r="U503" i="154" s="1"/>
  <c r="AI502" i="154"/>
  <c r="AJ502" i="154" s="1"/>
  <c r="T502" i="154"/>
  <c r="AI501" i="154"/>
  <c r="AJ501" i="154" s="1"/>
  <c r="T501" i="154"/>
  <c r="AI500" i="154"/>
  <c r="AJ500" i="154" s="1"/>
  <c r="T500" i="154"/>
  <c r="AI499" i="154"/>
  <c r="AJ499" i="154" s="1"/>
  <c r="T499" i="154"/>
  <c r="X499" i="154" s="1"/>
  <c r="AI498" i="154"/>
  <c r="AJ498" i="154" s="1"/>
  <c r="T498" i="154"/>
  <c r="U498" i="154" s="1"/>
  <c r="AA498" i="154" s="1"/>
  <c r="AI497" i="154"/>
  <c r="AJ497" i="154" s="1"/>
  <c r="T497" i="154"/>
  <c r="V497" i="154" s="1"/>
  <c r="AI496" i="154"/>
  <c r="AJ496" i="154" s="1"/>
  <c r="T496" i="154"/>
  <c r="Z496" i="154" s="1"/>
  <c r="AB496" i="154" s="1"/>
  <c r="AI495" i="154"/>
  <c r="AJ495" i="154" s="1"/>
  <c r="T495" i="154"/>
  <c r="V495" i="154" s="1"/>
  <c r="AI494" i="154"/>
  <c r="AJ494" i="154" s="1"/>
  <c r="T494" i="154"/>
  <c r="X494" i="154" s="1"/>
  <c r="AI493" i="154"/>
  <c r="AJ493" i="154" s="1"/>
  <c r="U493" i="154"/>
  <c r="AD493" i="154" s="1"/>
  <c r="T493" i="154"/>
  <c r="AI492" i="154"/>
  <c r="AJ492" i="154" s="1"/>
  <c r="T492" i="154"/>
  <c r="Z492" i="154" s="1"/>
  <c r="AB492" i="154" s="1"/>
  <c r="AI491" i="154"/>
  <c r="AJ491" i="154" s="1"/>
  <c r="T491" i="154"/>
  <c r="U491" i="154" s="1"/>
  <c r="AI490" i="154"/>
  <c r="AJ490" i="154" s="1"/>
  <c r="T490" i="154"/>
  <c r="U490" i="154" s="1"/>
  <c r="Y490" i="154" s="1"/>
  <c r="AI489" i="154"/>
  <c r="AJ489" i="154" s="1"/>
  <c r="T489" i="154"/>
  <c r="Z489" i="154" s="1"/>
  <c r="AB489" i="154" s="1"/>
  <c r="AI488" i="154"/>
  <c r="AJ488" i="154" s="1"/>
  <c r="T488" i="154"/>
  <c r="AI487" i="154"/>
  <c r="AJ487" i="154" s="1"/>
  <c r="T487" i="154"/>
  <c r="V487" i="154" s="1"/>
  <c r="AI486" i="154"/>
  <c r="AJ486" i="154" s="1"/>
  <c r="T486" i="154"/>
  <c r="Z486" i="154" s="1"/>
  <c r="AB486" i="154" s="1"/>
  <c r="AI485" i="154"/>
  <c r="W485" i="154"/>
  <c r="W484" i="154" s="1"/>
  <c r="S485" i="154"/>
  <c r="S484" i="154" s="1"/>
  <c r="R485" i="154"/>
  <c r="R484" i="154" s="1"/>
  <c r="Q485" i="154"/>
  <c r="Q484" i="154" s="1"/>
  <c r="P485" i="154"/>
  <c r="P484" i="154" s="1"/>
  <c r="O485" i="154"/>
  <c r="O484" i="154" s="1"/>
  <c r="N485" i="154"/>
  <c r="N484" i="154" s="1"/>
  <c r="M485" i="154"/>
  <c r="M484" i="154" s="1"/>
  <c r="E485" i="154"/>
  <c r="E484" i="154" s="1"/>
  <c r="AI484" i="154"/>
  <c r="AI483" i="154"/>
  <c r="J483" i="154"/>
  <c r="AI482" i="154"/>
  <c r="H482" i="154"/>
  <c r="H481" i="154" s="1"/>
  <c r="E482" i="154"/>
  <c r="E481" i="154" s="1"/>
  <c r="AI481" i="154"/>
  <c r="AI480" i="154"/>
  <c r="AJ480" i="154" s="1"/>
  <c r="T480" i="154"/>
  <c r="E480" i="154"/>
  <c r="AI479" i="154"/>
  <c r="AJ479" i="154" s="1"/>
  <c r="T479" i="154"/>
  <c r="Z479" i="154" s="1"/>
  <c r="AB479" i="154" s="1"/>
  <c r="E479" i="154"/>
  <c r="AI478" i="154"/>
  <c r="AJ478" i="154" s="1"/>
  <c r="T478" i="154"/>
  <c r="U478" i="154" s="1"/>
  <c r="E478" i="154"/>
  <c r="AI477" i="154"/>
  <c r="AJ477" i="154" s="1"/>
  <c r="T477" i="154"/>
  <c r="Z477" i="154" s="1"/>
  <c r="E477" i="154"/>
  <c r="AI476" i="154"/>
  <c r="W476" i="154"/>
  <c r="S476" i="154"/>
  <c r="R476" i="154"/>
  <c r="Q476" i="154"/>
  <c r="P476" i="154"/>
  <c r="O476" i="154"/>
  <c r="N476" i="154"/>
  <c r="M476" i="154"/>
  <c r="J476" i="154"/>
  <c r="H476" i="154"/>
  <c r="D476" i="154"/>
  <c r="AI475" i="154"/>
  <c r="AJ475" i="154" s="1"/>
  <c r="T475" i="154"/>
  <c r="Z475" i="154" s="1"/>
  <c r="AB475" i="154" s="1"/>
  <c r="E475" i="154"/>
  <c r="D475" i="154"/>
  <c r="AI474" i="154"/>
  <c r="AJ474" i="154" s="1"/>
  <c r="T474" i="154"/>
  <c r="U474" i="154" s="1"/>
  <c r="E474" i="154"/>
  <c r="AI473" i="154"/>
  <c r="AJ473" i="154" s="1"/>
  <c r="T473" i="154"/>
  <c r="E473" i="154"/>
  <c r="AI472" i="154"/>
  <c r="W472" i="154"/>
  <c r="S472" i="154"/>
  <c r="R472" i="154"/>
  <c r="Q472" i="154"/>
  <c r="P472" i="154"/>
  <c r="O472" i="154"/>
  <c r="N472" i="154"/>
  <c r="M472" i="154"/>
  <c r="J472" i="154"/>
  <c r="H472" i="154"/>
  <c r="D472" i="154"/>
  <c r="AI471" i="154"/>
  <c r="AJ471" i="154" s="1"/>
  <c r="T471" i="154"/>
  <c r="AI470" i="154"/>
  <c r="AJ470" i="154" s="1"/>
  <c r="X470" i="154"/>
  <c r="U470" i="154"/>
  <c r="T470" i="154"/>
  <c r="AI469" i="154"/>
  <c r="AJ469" i="154" s="1"/>
  <c r="T469" i="154"/>
  <c r="U469" i="154" s="1"/>
  <c r="AI468" i="154"/>
  <c r="AJ468" i="154" s="1"/>
  <c r="T468" i="154"/>
  <c r="Z468" i="154" s="1"/>
  <c r="AI467" i="154"/>
  <c r="W467" i="154"/>
  <c r="W462" i="154" s="1"/>
  <c r="S462" i="154"/>
  <c r="R467" i="154"/>
  <c r="Q467" i="154"/>
  <c r="Q462" i="154" s="1"/>
  <c r="P467" i="154"/>
  <c r="P462" i="154" s="1"/>
  <c r="O467" i="154"/>
  <c r="O462" i="154" s="1"/>
  <c r="N467" i="154"/>
  <c r="N462" i="154" s="1"/>
  <c r="M467" i="154"/>
  <c r="M462" i="154" s="1"/>
  <c r="J467" i="154"/>
  <c r="J462" i="154" s="1"/>
  <c r="H467" i="154"/>
  <c r="H462" i="154" s="1"/>
  <c r="E467" i="154"/>
  <c r="D467" i="154"/>
  <c r="AI466" i="154"/>
  <c r="AJ466" i="154" s="1"/>
  <c r="T466" i="154"/>
  <c r="U466" i="154" s="1"/>
  <c r="AA466" i="154" s="1"/>
  <c r="D466" i="154"/>
  <c r="AI465" i="154"/>
  <c r="AJ465" i="154" s="1"/>
  <c r="T465" i="154"/>
  <c r="E465" i="154"/>
  <c r="AI464" i="154"/>
  <c r="AJ464" i="154" s="1"/>
  <c r="T464" i="154"/>
  <c r="E464" i="154"/>
  <c r="AI463" i="154"/>
  <c r="AJ463" i="154" s="1"/>
  <c r="T463" i="154"/>
  <c r="V463" i="154" s="1"/>
  <c r="E463" i="154"/>
  <c r="AI462" i="154"/>
  <c r="AI461" i="154"/>
  <c r="AI460" i="154"/>
  <c r="AI459" i="154"/>
  <c r="AI458" i="154"/>
  <c r="AJ458" i="154" s="1"/>
  <c r="T458" i="154"/>
  <c r="Z458" i="154" s="1"/>
  <c r="AB458" i="154" s="1"/>
  <c r="AI457" i="154"/>
  <c r="AJ457" i="154" s="1"/>
  <c r="T457" i="154"/>
  <c r="AI456" i="154"/>
  <c r="AJ456" i="154" s="1"/>
  <c r="T456" i="154"/>
  <c r="V456" i="154" s="1"/>
  <c r="AI455" i="154"/>
  <c r="S455" i="154"/>
  <c r="T455" i="154" s="1"/>
  <c r="AI454" i="154"/>
  <c r="AJ454" i="154" s="1"/>
  <c r="T454" i="154"/>
  <c r="AI453" i="154"/>
  <c r="AJ453" i="154" s="1"/>
  <c r="T453" i="154"/>
  <c r="Z453" i="154" s="1"/>
  <c r="AB453" i="154" s="1"/>
  <c r="AI452" i="154"/>
  <c r="AJ452" i="154" s="1"/>
  <c r="T452" i="154"/>
  <c r="AI451" i="154"/>
  <c r="S451" i="154"/>
  <c r="AI450" i="154"/>
  <c r="AJ450" i="154" s="1"/>
  <c r="T450" i="154"/>
  <c r="V450" i="154" s="1"/>
  <c r="AI449" i="154"/>
  <c r="AJ449" i="154" s="1"/>
  <c r="T449" i="154"/>
  <c r="AI448" i="154"/>
  <c r="AJ448" i="154" s="1"/>
  <c r="T448" i="154"/>
  <c r="AI447" i="154"/>
  <c r="AJ447" i="154" s="1"/>
  <c r="T447" i="154"/>
  <c r="V447" i="154" s="1"/>
  <c r="E447" i="154"/>
  <c r="E445" i="154" s="1"/>
  <c r="D447" i="154"/>
  <c r="AI446" i="154"/>
  <c r="AJ446" i="154" s="1"/>
  <c r="T446" i="154"/>
  <c r="D446" i="154"/>
  <c r="AI445" i="154"/>
  <c r="W445" i="154"/>
  <c r="S445" i="154"/>
  <c r="R445" i="154"/>
  <c r="Q445" i="154"/>
  <c r="Q432" i="154" s="1"/>
  <c r="P445" i="154"/>
  <c r="O445" i="154"/>
  <c r="N445" i="154"/>
  <c r="M445" i="154"/>
  <c r="J445" i="154"/>
  <c r="H445" i="154"/>
  <c r="AI444" i="154"/>
  <c r="AJ444" i="154" s="1"/>
  <c r="T444" i="154"/>
  <c r="O444" i="154"/>
  <c r="AI443" i="154"/>
  <c r="AJ443" i="154" s="1"/>
  <c r="T443" i="154"/>
  <c r="V443" i="154" s="1"/>
  <c r="AI442" i="154"/>
  <c r="AJ442" i="154" s="1"/>
  <c r="T442" i="154"/>
  <c r="AI441" i="154"/>
  <c r="AJ441" i="154" s="1"/>
  <c r="T441" i="154"/>
  <c r="O441" i="154"/>
  <c r="AI440" i="154"/>
  <c r="AJ440" i="154" s="1"/>
  <c r="T440" i="154"/>
  <c r="X440" i="154" s="1"/>
  <c r="AI439" i="154"/>
  <c r="AJ439" i="154" s="1"/>
  <c r="T439" i="154"/>
  <c r="Z439" i="154" s="1"/>
  <c r="AB439" i="154" s="1"/>
  <c r="AI438" i="154"/>
  <c r="AJ438" i="154" s="1"/>
  <c r="T438" i="154"/>
  <c r="V438" i="154" s="1"/>
  <c r="AI437" i="154"/>
  <c r="AJ437" i="154" s="1"/>
  <c r="T437" i="154"/>
  <c r="AI436" i="154"/>
  <c r="AJ436" i="154" s="1"/>
  <c r="T436" i="154"/>
  <c r="Z436" i="154" s="1"/>
  <c r="AB436" i="154" s="1"/>
  <c r="AI435" i="154"/>
  <c r="AJ435" i="154" s="1"/>
  <c r="T435" i="154"/>
  <c r="Z435" i="154" s="1"/>
  <c r="AB435" i="154" s="1"/>
  <c r="AI434" i="154"/>
  <c r="AJ434" i="154" s="1"/>
  <c r="T434" i="154"/>
  <c r="Z434" i="154" s="1"/>
  <c r="AI433" i="154"/>
  <c r="W433" i="154"/>
  <c r="W432" i="154" s="1"/>
  <c r="S433" i="154"/>
  <c r="R433" i="154"/>
  <c r="P433" i="154"/>
  <c r="N433" i="154"/>
  <c r="M433" i="154"/>
  <c r="J433" i="154"/>
  <c r="H433" i="154"/>
  <c r="E433" i="154"/>
  <c r="D433" i="154"/>
  <c r="AI432" i="154"/>
  <c r="AI431" i="154"/>
  <c r="AJ431" i="154" s="1"/>
  <c r="R431" i="154"/>
  <c r="R430" i="154" s="1"/>
  <c r="AI430" i="154"/>
  <c r="W430" i="154"/>
  <c r="S430" i="154"/>
  <c r="Q430" i="154"/>
  <c r="P430" i="154"/>
  <c r="O430" i="154"/>
  <c r="N430" i="154"/>
  <c r="M430" i="154"/>
  <c r="J430" i="154"/>
  <c r="E430" i="154"/>
  <c r="D430" i="154"/>
  <c r="AI429" i="154"/>
  <c r="AJ429" i="154" s="1"/>
  <c r="T429" i="154"/>
  <c r="AI428" i="154"/>
  <c r="AJ428" i="154" s="1"/>
  <c r="T428" i="154"/>
  <c r="V428" i="154" s="1"/>
  <c r="E428" i="154"/>
  <c r="E427" i="154" s="1"/>
  <c r="AI427" i="154"/>
  <c r="W427" i="154"/>
  <c r="S427" i="154"/>
  <c r="R427" i="154"/>
  <c r="Q427" i="154"/>
  <c r="P427" i="154"/>
  <c r="O427" i="154"/>
  <c r="N427" i="154"/>
  <c r="M427" i="154"/>
  <c r="J427" i="154"/>
  <c r="H427" i="154"/>
  <c r="D427" i="154"/>
  <c r="AI426" i="154"/>
  <c r="AJ426" i="154" s="1"/>
  <c r="T426" i="154"/>
  <c r="E426" i="154"/>
  <c r="E423" i="154" s="1"/>
  <c r="AI425" i="154"/>
  <c r="AJ425" i="154" s="1"/>
  <c r="T425" i="154"/>
  <c r="AI424" i="154"/>
  <c r="AJ424" i="154" s="1"/>
  <c r="T424" i="154"/>
  <c r="AI423" i="154"/>
  <c r="W423" i="154"/>
  <c r="S423" i="154"/>
  <c r="R423" i="154"/>
  <c r="Q423" i="154"/>
  <c r="P423" i="154"/>
  <c r="O423" i="154"/>
  <c r="N423" i="154"/>
  <c r="M423" i="154"/>
  <c r="J423" i="154"/>
  <c r="H423" i="154"/>
  <c r="D423" i="154"/>
  <c r="AI422" i="154"/>
  <c r="AJ422" i="154" s="1"/>
  <c r="T422" i="154"/>
  <c r="AI421" i="154"/>
  <c r="AJ421" i="154" s="1"/>
  <c r="T421" i="154"/>
  <c r="Z421" i="154" s="1"/>
  <c r="AB421" i="154" s="1"/>
  <c r="AI420" i="154"/>
  <c r="AJ420" i="154" s="1"/>
  <c r="T420" i="154"/>
  <c r="AI419" i="154"/>
  <c r="W419" i="154"/>
  <c r="S419" i="154"/>
  <c r="R419" i="154"/>
  <c r="Q419" i="154"/>
  <c r="P419" i="154"/>
  <c r="O419" i="154"/>
  <c r="N419" i="154"/>
  <c r="M419" i="154"/>
  <c r="J419" i="154"/>
  <c r="H419" i="154"/>
  <c r="E419" i="154"/>
  <c r="D419" i="154"/>
  <c r="AI418" i="154"/>
  <c r="AJ418" i="154" s="1"/>
  <c r="T418" i="154"/>
  <c r="U418" i="154" s="1"/>
  <c r="AI417" i="154"/>
  <c r="AJ417" i="154" s="1"/>
  <c r="T417" i="154"/>
  <c r="AI416" i="154"/>
  <c r="AJ416" i="154" s="1"/>
  <c r="T416" i="154"/>
  <c r="X416" i="154" s="1"/>
  <c r="AI415" i="154"/>
  <c r="W415" i="154"/>
  <c r="S415" i="154"/>
  <c r="R415" i="154"/>
  <c r="Q415" i="154"/>
  <c r="P415" i="154"/>
  <c r="O415" i="154"/>
  <c r="N415" i="154"/>
  <c r="M415" i="154"/>
  <c r="J415" i="154"/>
  <c r="H415" i="154"/>
  <c r="E415" i="154"/>
  <c r="D415" i="154"/>
  <c r="AI414" i="154"/>
  <c r="AJ414" i="154" s="1"/>
  <c r="T414" i="154"/>
  <c r="U414" i="154" s="1"/>
  <c r="E414" i="154"/>
  <c r="E411" i="154" s="1"/>
  <c r="D414" i="154"/>
  <c r="D411" i="154" s="1"/>
  <c r="AI413" i="154"/>
  <c r="AJ413" i="154" s="1"/>
  <c r="T413" i="154"/>
  <c r="V413" i="154" s="1"/>
  <c r="AI412" i="154"/>
  <c r="AJ412" i="154" s="1"/>
  <c r="T412" i="154"/>
  <c r="U412" i="154" s="1"/>
  <c r="E412" i="154"/>
  <c r="AI411" i="154"/>
  <c r="W411" i="154"/>
  <c r="S411" i="154"/>
  <c r="R411" i="154"/>
  <c r="Q411" i="154"/>
  <c r="P411" i="154"/>
  <c r="O411" i="154"/>
  <c r="N411" i="154"/>
  <c r="M411" i="154"/>
  <c r="J411" i="154"/>
  <c r="H411" i="154"/>
  <c r="AI410" i="154"/>
  <c r="Q410" i="154"/>
  <c r="AI409" i="154"/>
  <c r="AJ409" i="154" s="1"/>
  <c r="T409" i="154"/>
  <c r="AI408" i="154"/>
  <c r="AJ408" i="154" s="1"/>
  <c r="T408" i="154"/>
  <c r="AI407" i="154"/>
  <c r="AJ407" i="154" s="1"/>
  <c r="T407" i="154"/>
  <c r="AI406" i="154"/>
  <c r="W406" i="154"/>
  <c r="S406" i="154"/>
  <c r="R406" i="154"/>
  <c r="Q406" i="154"/>
  <c r="P406" i="154"/>
  <c r="O406" i="154"/>
  <c r="N406" i="154"/>
  <c r="M406" i="154"/>
  <c r="J406" i="154"/>
  <c r="AI405" i="154"/>
  <c r="AJ405" i="154" s="1"/>
  <c r="T405" i="154"/>
  <c r="AI404" i="154"/>
  <c r="AJ404" i="154" s="1"/>
  <c r="T404" i="154"/>
  <c r="Z404" i="154" s="1"/>
  <c r="AB404" i="154" s="1"/>
  <c r="AI403" i="154"/>
  <c r="AJ403" i="154" s="1"/>
  <c r="T403" i="154"/>
  <c r="U403" i="154" s="1"/>
  <c r="AI402" i="154"/>
  <c r="W402" i="154"/>
  <c r="S402" i="154"/>
  <c r="R402" i="154"/>
  <c r="Q402" i="154"/>
  <c r="P402" i="154"/>
  <c r="O402" i="154"/>
  <c r="N402" i="154"/>
  <c r="M402" i="154"/>
  <c r="J402" i="154"/>
  <c r="E402" i="154"/>
  <c r="D402" i="154"/>
  <c r="AI401" i="154"/>
  <c r="AJ401" i="154" s="1"/>
  <c r="T401" i="154"/>
  <c r="AI400" i="154"/>
  <c r="AJ400" i="154" s="1"/>
  <c r="T400" i="154"/>
  <c r="Z400" i="154" s="1"/>
  <c r="AB400" i="154" s="1"/>
  <c r="AI399" i="154"/>
  <c r="AJ399" i="154" s="1"/>
  <c r="T399" i="154"/>
  <c r="AI398" i="154"/>
  <c r="AJ398" i="154" s="1"/>
  <c r="T398" i="154"/>
  <c r="AI397" i="154"/>
  <c r="AJ397" i="154" s="1"/>
  <c r="T397" i="154"/>
  <c r="V397" i="154" s="1"/>
  <c r="AI396" i="154"/>
  <c r="AJ396" i="154" s="1"/>
  <c r="T396" i="154"/>
  <c r="AI395" i="154"/>
  <c r="AJ395" i="154" s="1"/>
  <c r="T395" i="154"/>
  <c r="U395" i="154" s="1"/>
  <c r="AD395" i="154" s="1"/>
  <c r="AI394" i="154"/>
  <c r="AJ394" i="154" s="1"/>
  <c r="T394" i="154"/>
  <c r="U394" i="154" s="1"/>
  <c r="AD394" i="154" s="1"/>
  <c r="AI393" i="154"/>
  <c r="AJ393" i="154" s="1"/>
  <c r="T393" i="154"/>
  <c r="AI392" i="154"/>
  <c r="AJ392" i="154" s="1"/>
  <c r="T392" i="154"/>
  <c r="Z392" i="154" s="1"/>
  <c r="AB392" i="154" s="1"/>
  <c r="AI391" i="154"/>
  <c r="AJ391" i="154" s="1"/>
  <c r="T391" i="154"/>
  <c r="AI390" i="154"/>
  <c r="AJ390" i="154" s="1"/>
  <c r="T390" i="154"/>
  <c r="AI389" i="154"/>
  <c r="AJ389" i="154" s="1"/>
  <c r="T389" i="154"/>
  <c r="AI388" i="154"/>
  <c r="W388" i="154"/>
  <c r="S388" i="154"/>
  <c r="R388" i="154"/>
  <c r="Q388" i="154"/>
  <c r="P388" i="154"/>
  <c r="O388" i="154"/>
  <c r="N388" i="154"/>
  <c r="M388" i="154"/>
  <c r="J388" i="154"/>
  <c r="H388" i="154"/>
  <c r="E388" i="154"/>
  <c r="D388" i="154"/>
  <c r="AI387" i="154"/>
  <c r="AJ387" i="154" s="1"/>
  <c r="T387" i="154"/>
  <c r="U387" i="154" s="1"/>
  <c r="AD387" i="154" s="1"/>
  <c r="AI386" i="154"/>
  <c r="AJ386" i="154" s="1"/>
  <c r="T386" i="154"/>
  <c r="AI385" i="154"/>
  <c r="AJ385" i="154" s="1"/>
  <c r="T385" i="154"/>
  <c r="Z385" i="154" s="1"/>
  <c r="AB385" i="154" s="1"/>
  <c r="AI384" i="154"/>
  <c r="W384" i="154"/>
  <c r="S384" i="154"/>
  <c r="R384" i="154"/>
  <c r="Q384" i="154"/>
  <c r="P384" i="154"/>
  <c r="O384" i="154"/>
  <c r="N384" i="154"/>
  <c r="M384" i="154"/>
  <c r="J384" i="154"/>
  <c r="H384" i="154"/>
  <c r="E384" i="154"/>
  <c r="D384" i="154"/>
  <c r="AI383" i="154"/>
  <c r="AJ383" i="154" s="1"/>
  <c r="T383" i="154"/>
  <c r="AI382" i="154"/>
  <c r="AJ382" i="154" s="1"/>
  <c r="T382" i="154"/>
  <c r="AI381" i="154"/>
  <c r="AJ381" i="154" s="1"/>
  <c r="T381" i="154"/>
  <c r="Z381" i="154" s="1"/>
  <c r="AB381" i="154" s="1"/>
  <c r="AI380" i="154"/>
  <c r="AJ380" i="154" s="1"/>
  <c r="T380" i="154"/>
  <c r="X380" i="154" s="1"/>
  <c r="AI379" i="154"/>
  <c r="AJ379" i="154" s="1"/>
  <c r="T379" i="154"/>
  <c r="U379" i="154" s="1"/>
  <c r="AI378" i="154"/>
  <c r="AJ378" i="154" s="1"/>
  <c r="T378" i="154"/>
  <c r="Z378" i="154" s="1"/>
  <c r="AB378" i="154" s="1"/>
  <c r="AI377" i="154"/>
  <c r="AJ377" i="154" s="1"/>
  <c r="T377" i="154"/>
  <c r="V377" i="154" s="1"/>
  <c r="AI376" i="154"/>
  <c r="AJ376" i="154" s="1"/>
  <c r="T376" i="154"/>
  <c r="AI375" i="154"/>
  <c r="AJ375" i="154" s="1"/>
  <c r="T375" i="154"/>
  <c r="U375" i="154" s="1"/>
  <c r="Y375" i="154" s="1"/>
  <c r="AI374" i="154"/>
  <c r="AJ374" i="154" s="1"/>
  <c r="T374" i="154"/>
  <c r="AI373" i="154"/>
  <c r="W373" i="154"/>
  <c r="S373" i="154"/>
  <c r="R373" i="154"/>
  <c r="Q373" i="154"/>
  <c r="P373" i="154"/>
  <c r="O373" i="154"/>
  <c r="N373" i="154"/>
  <c r="M373" i="154"/>
  <c r="J373" i="154"/>
  <c r="H373" i="154"/>
  <c r="E373" i="154"/>
  <c r="D373" i="154"/>
  <c r="AI372" i="154"/>
  <c r="AJ372" i="154" s="1"/>
  <c r="T372" i="154"/>
  <c r="AI371" i="154"/>
  <c r="AJ371" i="154" s="1"/>
  <c r="T371" i="154"/>
  <c r="U371" i="154" s="1"/>
  <c r="Y371" i="154" s="1"/>
  <c r="AI370" i="154"/>
  <c r="AJ370" i="154" s="1"/>
  <c r="T370" i="154"/>
  <c r="AI369" i="154"/>
  <c r="AJ369" i="154" s="1"/>
  <c r="T369" i="154"/>
  <c r="U369" i="154" s="1"/>
  <c r="AI368" i="154"/>
  <c r="AJ368" i="154" s="1"/>
  <c r="T368" i="154"/>
  <c r="Z368" i="154" s="1"/>
  <c r="AB368" i="154" s="1"/>
  <c r="AI367" i="154"/>
  <c r="AJ367" i="154" s="1"/>
  <c r="T367" i="154"/>
  <c r="U367" i="154" s="1"/>
  <c r="AI366" i="154"/>
  <c r="AJ366" i="154" s="1"/>
  <c r="T366" i="154"/>
  <c r="AI365" i="154"/>
  <c r="AJ365" i="154" s="1"/>
  <c r="T365" i="154"/>
  <c r="V365" i="154" s="1"/>
  <c r="AI364" i="154"/>
  <c r="AJ364" i="154" s="1"/>
  <c r="T364" i="154"/>
  <c r="AI363" i="154"/>
  <c r="AJ363" i="154" s="1"/>
  <c r="T363" i="154"/>
  <c r="Z363" i="154" s="1"/>
  <c r="AB363" i="154" s="1"/>
  <c r="AI362" i="154"/>
  <c r="AJ362" i="154" s="1"/>
  <c r="T362" i="154"/>
  <c r="AI361" i="154"/>
  <c r="AJ361" i="154" s="1"/>
  <c r="T361" i="154"/>
  <c r="Z361" i="154" s="1"/>
  <c r="AB361" i="154" s="1"/>
  <c r="AI360" i="154"/>
  <c r="AJ360" i="154" s="1"/>
  <c r="T360" i="154"/>
  <c r="AI359" i="154"/>
  <c r="W359" i="154"/>
  <c r="S359" i="154"/>
  <c r="R359" i="154"/>
  <c r="Q359" i="154"/>
  <c r="P359" i="154"/>
  <c r="O359" i="154"/>
  <c r="N359" i="154"/>
  <c r="M359" i="154"/>
  <c r="J359" i="154"/>
  <c r="I359" i="154"/>
  <c r="H359" i="154"/>
  <c r="G359" i="154"/>
  <c r="F359" i="154"/>
  <c r="E359" i="154"/>
  <c r="D359" i="154"/>
  <c r="AI358" i="154"/>
  <c r="AJ358" i="154" s="1"/>
  <c r="T358" i="154"/>
  <c r="N358" i="154"/>
  <c r="J358" i="154"/>
  <c r="AI357" i="154"/>
  <c r="AJ357" i="154" s="1"/>
  <c r="T357" i="154"/>
  <c r="Z357" i="154" s="1"/>
  <c r="AB357" i="154" s="1"/>
  <c r="AI356" i="154"/>
  <c r="AJ356" i="154" s="1"/>
  <c r="T356" i="154"/>
  <c r="Z356" i="154" s="1"/>
  <c r="AB356" i="154" s="1"/>
  <c r="AI355" i="154"/>
  <c r="AJ355" i="154" s="1"/>
  <c r="T355" i="154"/>
  <c r="V355" i="154" s="1"/>
  <c r="AI354" i="154"/>
  <c r="AJ354" i="154" s="1"/>
  <c r="T354" i="154"/>
  <c r="AI353" i="154"/>
  <c r="AJ353" i="154" s="1"/>
  <c r="T353" i="154"/>
  <c r="AI352" i="154"/>
  <c r="AJ352" i="154" s="1"/>
  <c r="T352" i="154"/>
  <c r="AI351" i="154"/>
  <c r="AJ351" i="154" s="1"/>
  <c r="T351" i="154"/>
  <c r="AI350" i="154"/>
  <c r="AJ350" i="154" s="1"/>
  <c r="T350" i="154"/>
  <c r="X350" i="154" s="1"/>
  <c r="AI349" i="154"/>
  <c r="AJ349" i="154" s="1"/>
  <c r="T349" i="154"/>
  <c r="Z349" i="154" s="1"/>
  <c r="AB349" i="154" s="1"/>
  <c r="AI348" i="154"/>
  <c r="AJ348" i="154" s="1"/>
  <c r="T348" i="154"/>
  <c r="AI347" i="154"/>
  <c r="AJ347" i="154" s="1"/>
  <c r="T347" i="154"/>
  <c r="Z347" i="154" s="1"/>
  <c r="AB347" i="154" s="1"/>
  <c r="AI346" i="154"/>
  <c r="AJ346" i="154" s="1"/>
  <c r="T346" i="154"/>
  <c r="U346" i="154" s="1"/>
  <c r="AI345" i="154"/>
  <c r="W345" i="154"/>
  <c r="S345" i="154"/>
  <c r="R345" i="154"/>
  <c r="Q345" i="154"/>
  <c r="P345" i="154"/>
  <c r="O345" i="154"/>
  <c r="M345" i="154"/>
  <c r="J345" i="154"/>
  <c r="I345" i="154"/>
  <c r="H345" i="154"/>
  <c r="E345" i="154"/>
  <c r="D345" i="154"/>
  <c r="AI344" i="154"/>
  <c r="AJ344" i="154" s="1"/>
  <c r="T344" i="154"/>
  <c r="U344" i="154" s="1"/>
  <c r="AI343" i="154"/>
  <c r="AJ343" i="154" s="1"/>
  <c r="T343" i="154"/>
  <c r="AI342" i="154"/>
  <c r="AJ342" i="154" s="1"/>
  <c r="T342" i="154"/>
  <c r="AI341" i="154"/>
  <c r="AJ341" i="154" s="1"/>
  <c r="T341" i="154"/>
  <c r="X341" i="154" s="1"/>
  <c r="AI340" i="154"/>
  <c r="AJ340" i="154" s="1"/>
  <c r="T340" i="154"/>
  <c r="AI339" i="154"/>
  <c r="AJ339" i="154" s="1"/>
  <c r="T339" i="154"/>
  <c r="U339" i="154" s="1"/>
  <c r="AA339" i="154" s="1"/>
  <c r="AI338" i="154"/>
  <c r="AJ338" i="154" s="1"/>
  <c r="T338" i="154"/>
  <c r="V338" i="154" s="1"/>
  <c r="AI337" i="154"/>
  <c r="AJ337" i="154" s="1"/>
  <c r="T337" i="154"/>
  <c r="AI336" i="154"/>
  <c r="AJ336" i="154" s="1"/>
  <c r="T336" i="154"/>
  <c r="AI335" i="154"/>
  <c r="AJ335" i="154" s="1"/>
  <c r="T335" i="154"/>
  <c r="V335" i="154" s="1"/>
  <c r="AI334" i="154"/>
  <c r="AJ334" i="154" s="1"/>
  <c r="T334" i="154"/>
  <c r="U334" i="154" s="1"/>
  <c r="AA334" i="154" s="1"/>
  <c r="AI333" i="154"/>
  <c r="AJ333" i="154" s="1"/>
  <c r="T333" i="154"/>
  <c r="AI332" i="154"/>
  <c r="AJ332" i="154" s="1"/>
  <c r="T332" i="154"/>
  <c r="Z332" i="154" s="1"/>
  <c r="AB332" i="154" s="1"/>
  <c r="AI331" i="154"/>
  <c r="W331" i="154"/>
  <c r="S331" i="154"/>
  <c r="R331" i="154"/>
  <c r="Q331" i="154"/>
  <c r="P331" i="154"/>
  <c r="O331" i="154"/>
  <c r="N331" i="154"/>
  <c r="M331" i="154"/>
  <c r="J331" i="154"/>
  <c r="H331" i="154"/>
  <c r="E331" i="154"/>
  <c r="D331" i="154"/>
  <c r="AI330" i="154"/>
  <c r="AJ330" i="154" s="1"/>
  <c r="Q330" i="154"/>
  <c r="AI329" i="154"/>
  <c r="AJ329" i="154" s="1"/>
  <c r="T329" i="154"/>
  <c r="Z329" i="154" s="1"/>
  <c r="AI328" i="154"/>
  <c r="AJ328" i="154" s="1"/>
  <c r="T328" i="154"/>
  <c r="Z328" i="154" s="1"/>
  <c r="AB328" i="154" s="1"/>
  <c r="AI327" i="154"/>
  <c r="AJ327" i="154" s="1"/>
  <c r="W327" i="154"/>
  <c r="R327" i="154"/>
  <c r="T327" i="154" s="1"/>
  <c r="Q327" i="154"/>
  <c r="P327" i="154"/>
  <c r="O327" i="154"/>
  <c r="N327" i="154"/>
  <c r="M327" i="154"/>
  <c r="J327" i="154"/>
  <c r="H327" i="154"/>
  <c r="AI326" i="154"/>
  <c r="AJ326" i="154" s="1"/>
  <c r="T326" i="154"/>
  <c r="D326" i="154"/>
  <c r="D314" i="154" s="1"/>
  <c r="AI325" i="154"/>
  <c r="AJ325" i="154" s="1"/>
  <c r="T325" i="154"/>
  <c r="AI324" i="154"/>
  <c r="AJ324" i="154" s="1"/>
  <c r="T324" i="154"/>
  <c r="Z324" i="154" s="1"/>
  <c r="AB324" i="154" s="1"/>
  <c r="AI323" i="154"/>
  <c r="AJ323" i="154" s="1"/>
  <c r="T323" i="154"/>
  <c r="U323" i="154" s="1"/>
  <c r="Y323" i="154" s="1"/>
  <c r="AI322" i="154"/>
  <c r="AJ322" i="154" s="1"/>
  <c r="T322" i="154"/>
  <c r="AI321" i="154"/>
  <c r="AJ321" i="154" s="1"/>
  <c r="T321" i="154"/>
  <c r="U321" i="154" s="1"/>
  <c r="AA321" i="154" s="1"/>
  <c r="AI320" i="154"/>
  <c r="AJ320" i="154" s="1"/>
  <c r="T320" i="154"/>
  <c r="AI319" i="154"/>
  <c r="AJ319" i="154" s="1"/>
  <c r="T319" i="154"/>
  <c r="AI318" i="154"/>
  <c r="AJ318" i="154" s="1"/>
  <c r="T318" i="154"/>
  <c r="X318" i="154" s="1"/>
  <c r="AI317" i="154"/>
  <c r="AJ317" i="154" s="1"/>
  <c r="T317" i="154"/>
  <c r="Z317" i="154" s="1"/>
  <c r="AB317" i="154" s="1"/>
  <c r="AI316" i="154"/>
  <c r="AJ316" i="154" s="1"/>
  <c r="T316" i="154"/>
  <c r="X316" i="154" s="1"/>
  <c r="AI315" i="154"/>
  <c r="AJ315" i="154" s="1"/>
  <c r="T315" i="154"/>
  <c r="Z315" i="154" s="1"/>
  <c r="O315" i="154"/>
  <c r="O314" i="154" s="1"/>
  <c r="AI314" i="154"/>
  <c r="W314" i="154"/>
  <c r="S314" i="154"/>
  <c r="R314" i="154"/>
  <c r="Q314" i="154"/>
  <c r="P314" i="154"/>
  <c r="N314" i="154"/>
  <c r="M314" i="154"/>
  <c r="J314" i="154"/>
  <c r="H314" i="154"/>
  <c r="E314" i="154"/>
  <c r="AI313" i="154"/>
  <c r="AJ313" i="154" s="1"/>
  <c r="T313" i="154"/>
  <c r="X313" i="154" s="1"/>
  <c r="AI312" i="154"/>
  <c r="AJ312" i="154" s="1"/>
  <c r="T312" i="154"/>
  <c r="U312" i="154" s="1"/>
  <c r="AD312" i="154" s="1"/>
  <c r="AI311" i="154"/>
  <c r="AJ311" i="154" s="1"/>
  <c r="T311" i="154"/>
  <c r="X311" i="154" s="1"/>
  <c r="N311" i="154"/>
  <c r="J311" i="154"/>
  <c r="H311" i="154"/>
  <c r="E311" i="154"/>
  <c r="D311" i="154"/>
  <c r="AI310" i="154"/>
  <c r="AJ310" i="154" s="1"/>
  <c r="T310" i="154"/>
  <c r="X310" i="154" s="1"/>
  <c r="AI309" i="154"/>
  <c r="AJ309" i="154" s="1"/>
  <c r="T309" i="154"/>
  <c r="X309" i="154" s="1"/>
  <c r="E309" i="154"/>
  <c r="AI308" i="154"/>
  <c r="AJ308" i="154" s="1"/>
  <c r="T308" i="154"/>
  <c r="Z308" i="154" s="1"/>
  <c r="AB308" i="154" s="1"/>
  <c r="AI307" i="154"/>
  <c r="AJ307" i="154" s="1"/>
  <c r="T307" i="154"/>
  <c r="X307" i="154" s="1"/>
  <c r="O307" i="154"/>
  <c r="O294" i="154" s="1"/>
  <c r="AI306" i="154"/>
  <c r="AJ306" i="154" s="1"/>
  <c r="T306" i="154"/>
  <c r="Z306" i="154" s="1"/>
  <c r="AB306" i="154" s="1"/>
  <c r="AI305" i="154"/>
  <c r="AJ305" i="154" s="1"/>
  <c r="T305" i="154"/>
  <c r="X305" i="154" s="1"/>
  <c r="AI304" i="154"/>
  <c r="AJ304" i="154" s="1"/>
  <c r="T304" i="154"/>
  <c r="X304" i="154" s="1"/>
  <c r="AI303" i="154"/>
  <c r="AJ303" i="154" s="1"/>
  <c r="T303" i="154"/>
  <c r="AI302" i="154"/>
  <c r="AJ302" i="154" s="1"/>
  <c r="T302" i="154"/>
  <c r="AI301" i="154"/>
  <c r="AJ301" i="154" s="1"/>
  <c r="T301" i="154"/>
  <c r="AI300" i="154"/>
  <c r="AJ300" i="154" s="1"/>
  <c r="T300" i="154"/>
  <c r="Z300" i="154" s="1"/>
  <c r="AB300" i="154" s="1"/>
  <c r="AI299" i="154"/>
  <c r="AJ299" i="154" s="1"/>
  <c r="T299" i="154"/>
  <c r="X299" i="154" s="1"/>
  <c r="AI298" i="154"/>
  <c r="AJ298" i="154" s="1"/>
  <c r="T298" i="154"/>
  <c r="Z298" i="154" s="1"/>
  <c r="AB298" i="154" s="1"/>
  <c r="AI297" i="154"/>
  <c r="AJ297" i="154" s="1"/>
  <c r="T297" i="154"/>
  <c r="X297" i="154" s="1"/>
  <c r="AI296" i="154"/>
  <c r="AJ296" i="154" s="1"/>
  <c r="T296" i="154"/>
  <c r="Z296" i="154" s="1"/>
  <c r="AB296" i="154" s="1"/>
  <c r="AI295" i="154"/>
  <c r="AJ295" i="154" s="1"/>
  <c r="T295" i="154"/>
  <c r="Z295" i="154" s="1"/>
  <c r="AI294" i="154"/>
  <c r="W294" i="154"/>
  <c r="S294" i="154"/>
  <c r="R294" i="154"/>
  <c r="Q294" i="154"/>
  <c r="P294" i="154"/>
  <c r="N294" i="154"/>
  <c r="M294" i="154"/>
  <c r="J294" i="154"/>
  <c r="H294" i="154"/>
  <c r="E294" i="154"/>
  <c r="D294" i="154"/>
  <c r="AI293" i="154"/>
  <c r="AJ293" i="154" s="1"/>
  <c r="T293" i="154"/>
  <c r="V293" i="154" s="1"/>
  <c r="AI292" i="154"/>
  <c r="AJ292" i="154" s="1"/>
  <c r="Z292" i="154"/>
  <c r="AB292" i="154" s="1"/>
  <c r="T292" i="154"/>
  <c r="X292" i="154" s="1"/>
  <c r="AI291" i="154"/>
  <c r="AJ291" i="154" s="1"/>
  <c r="T291" i="154"/>
  <c r="U291" i="154" s="1"/>
  <c r="AI290" i="154"/>
  <c r="AJ290" i="154" s="1"/>
  <c r="T290" i="154"/>
  <c r="U290" i="154" s="1"/>
  <c r="AI289" i="154"/>
  <c r="AJ289" i="154" s="1"/>
  <c r="T289" i="154"/>
  <c r="U289" i="154" s="1"/>
  <c r="AI288" i="154"/>
  <c r="AJ288" i="154" s="1"/>
  <c r="T288" i="154"/>
  <c r="Z288" i="154" s="1"/>
  <c r="AB288" i="154" s="1"/>
  <c r="AI287" i="154"/>
  <c r="W287" i="154"/>
  <c r="S287" i="154"/>
  <c r="R287" i="154"/>
  <c r="Q287" i="154"/>
  <c r="P287" i="154"/>
  <c r="O287" i="154"/>
  <c r="N287" i="154"/>
  <c r="M287" i="154"/>
  <c r="J287" i="154"/>
  <c r="E287" i="154"/>
  <c r="D287" i="154"/>
  <c r="AI286" i="154"/>
  <c r="AJ286" i="154" s="1"/>
  <c r="AD286" i="154"/>
  <c r="V286" i="154"/>
  <c r="AI285" i="154"/>
  <c r="AJ285" i="154" s="1"/>
  <c r="T285" i="154"/>
  <c r="D285" i="154"/>
  <c r="D272" i="154" s="1"/>
  <c r="AI284" i="154"/>
  <c r="AJ284" i="154" s="1"/>
  <c r="T284" i="154"/>
  <c r="V284" i="154" s="1"/>
  <c r="J284" i="154"/>
  <c r="J272" i="154" s="1"/>
  <c r="AI283" i="154"/>
  <c r="AJ283" i="154" s="1"/>
  <c r="T283" i="154"/>
  <c r="U283" i="154" s="1"/>
  <c r="AD283" i="154" s="1"/>
  <c r="AI282" i="154"/>
  <c r="AJ282" i="154" s="1"/>
  <c r="T282" i="154"/>
  <c r="U282" i="154" s="1"/>
  <c r="AA282" i="154" s="1"/>
  <c r="AI281" i="154"/>
  <c r="AJ281" i="154" s="1"/>
  <c r="T281" i="154"/>
  <c r="X281" i="154" s="1"/>
  <c r="AI280" i="154"/>
  <c r="AJ280" i="154" s="1"/>
  <c r="T280" i="154"/>
  <c r="X280" i="154" s="1"/>
  <c r="AI279" i="154"/>
  <c r="AJ279" i="154" s="1"/>
  <c r="T279" i="154"/>
  <c r="V279" i="154" s="1"/>
  <c r="AI278" i="154"/>
  <c r="AJ278" i="154" s="1"/>
  <c r="T278" i="154"/>
  <c r="AI277" i="154"/>
  <c r="AJ277" i="154" s="1"/>
  <c r="T277" i="154"/>
  <c r="AI276" i="154"/>
  <c r="AJ276" i="154" s="1"/>
  <c r="T276" i="154"/>
  <c r="V276" i="154" s="1"/>
  <c r="AI275" i="154"/>
  <c r="AJ275" i="154" s="1"/>
  <c r="T275" i="154"/>
  <c r="X275" i="154" s="1"/>
  <c r="AI274" i="154"/>
  <c r="AJ274" i="154" s="1"/>
  <c r="T274" i="154"/>
  <c r="Z274" i="154" s="1"/>
  <c r="AB274" i="154" s="1"/>
  <c r="AI273" i="154"/>
  <c r="AJ273" i="154" s="1"/>
  <c r="T273" i="154"/>
  <c r="X273" i="154" s="1"/>
  <c r="AI272" i="154"/>
  <c r="W272" i="154"/>
  <c r="S272" i="154"/>
  <c r="R272" i="154"/>
  <c r="Q272" i="154"/>
  <c r="P272" i="154"/>
  <c r="O272" i="154"/>
  <c r="N272" i="154"/>
  <c r="M272" i="154"/>
  <c r="H272" i="154"/>
  <c r="E272" i="154"/>
  <c r="AI271" i="154"/>
  <c r="AJ271" i="154" s="1"/>
  <c r="T271" i="154"/>
  <c r="Z271" i="154" s="1"/>
  <c r="N271" i="154"/>
  <c r="J271" i="154"/>
  <c r="AI270" i="154"/>
  <c r="AJ270" i="154" s="1"/>
  <c r="T270" i="154"/>
  <c r="N270" i="154"/>
  <c r="J270" i="154"/>
  <c r="AI269" i="154"/>
  <c r="AJ269" i="154" s="1"/>
  <c r="T269" i="154"/>
  <c r="AI268" i="154"/>
  <c r="AJ268" i="154" s="1"/>
  <c r="T268" i="154"/>
  <c r="V268" i="154" s="1"/>
  <c r="AI267" i="154"/>
  <c r="AJ267" i="154" s="1"/>
  <c r="T267" i="154"/>
  <c r="X267" i="154" s="1"/>
  <c r="AI266" i="154"/>
  <c r="AJ266" i="154" s="1"/>
  <c r="T266" i="154"/>
  <c r="Z266" i="154" s="1"/>
  <c r="AB266" i="154" s="1"/>
  <c r="AI265" i="154"/>
  <c r="AJ265" i="154" s="1"/>
  <c r="T265" i="154"/>
  <c r="X265" i="154" s="1"/>
  <c r="AI264" i="154"/>
  <c r="AJ264" i="154" s="1"/>
  <c r="T264" i="154"/>
  <c r="V264" i="154" s="1"/>
  <c r="AI263" i="154"/>
  <c r="AJ263" i="154" s="1"/>
  <c r="T263" i="154"/>
  <c r="AI262" i="154"/>
  <c r="AJ262" i="154" s="1"/>
  <c r="T262" i="154"/>
  <c r="V262" i="154" s="1"/>
  <c r="AI261" i="154"/>
  <c r="AJ261" i="154" s="1"/>
  <c r="T261" i="154"/>
  <c r="X261" i="154" s="1"/>
  <c r="AI260" i="154"/>
  <c r="AJ260" i="154" s="1"/>
  <c r="T260" i="154"/>
  <c r="V260" i="154" s="1"/>
  <c r="AI259" i="154"/>
  <c r="AJ259" i="154" s="1"/>
  <c r="T259" i="154"/>
  <c r="X259" i="154" s="1"/>
  <c r="AI258" i="154"/>
  <c r="W258" i="154"/>
  <c r="S258" i="154"/>
  <c r="R258" i="154"/>
  <c r="Q258" i="154"/>
  <c r="P258" i="154"/>
  <c r="O258" i="154"/>
  <c r="M258" i="154"/>
  <c r="H258" i="154"/>
  <c r="E258" i="154"/>
  <c r="D258" i="154"/>
  <c r="AI257" i="154"/>
  <c r="AJ257" i="154" s="1"/>
  <c r="T257" i="154"/>
  <c r="AI256" i="154"/>
  <c r="AJ256" i="154" s="1"/>
  <c r="T256" i="154"/>
  <c r="AI255" i="154"/>
  <c r="AJ255" i="154" s="1"/>
  <c r="T255" i="154"/>
  <c r="X255" i="154" s="1"/>
  <c r="AI254" i="154"/>
  <c r="AJ254" i="154" s="1"/>
  <c r="T254" i="154"/>
  <c r="AI253" i="154"/>
  <c r="AJ253" i="154" s="1"/>
  <c r="T253" i="154"/>
  <c r="X253" i="154" s="1"/>
  <c r="AI252" i="154"/>
  <c r="AJ252" i="154" s="1"/>
  <c r="T252" i="154"/>
  <c r="V252" i="154" s="1"/>
  <c r="AI251" i="154"/>
  <c r="AJ251" i="154" s="1"/>
  <c r="T251" i="154"/>
  <c r="AI250" i="154"/>
  <c r="AJ250" i="154" s="1"/>
  <c r="T250" i="154"/>
  <c r="AI249" i="154"/>
  <c r="AJ249" i="154" s="1"/>
  <c r="T249" i="154"/>
  <c r="AI248" i="154"/>
  <c r="AJ248" i="154" s="1"/>
  <c r="T248" i="154"/>
  <c r="AI247" i="154"/>
  <c r="AJ247" i="154" s="1"/>
  <c r="T247" i="154"/>
  <c r="X247" i="154" s="1"/>
  <c r="AI246" i="154"/>
  <c r="AJ246" i="154" s="1"/>
  <c r="T246" i="154"/>
  <c r="V246" i="154" s="1"/>
  <c r="AI245" i="154"/>
  <c r="AJ245" i="154" s="1"/>
  <c r="T245" i="154"/>
  <c r="AI244" i="154"/>
  <c r="W244" i="154"/>
  <c r="S244" i="154"/>
  <c r="R244" i="154"/>
  <c r="Q244" i="154"/>
  <c r="P244" i="154"/>
  <c r="O244" i="154"/>
  <c r="N244" i="154"/>
  <c r="M244" i="154"/>
  <c r="J244" i="154"/>
  <c r="H244" i="154"/>
  <c r="E244" i="154"/>
  <c r="D244" i="154"/>
  <c r="AI243" i="154"/>
  <c r="AJ243" i="154" s="1"/>
  <c r="T243" i="154"/>
  <c r="X243" i="154" s="1"/>
  <c r="AI242" i="154"/>
  <c r="AJ242" i="154" s="1"/>
  <c r="T242" i="154"/>
  <c r="X242" i="154" s="1"/>
  <c r="AI241" i="154"/>
  <c r="AJ241" i="154" s="1"/>
  <c r="T241" i="154"/>
  <c r="X241" i="154" s="1"/>
  <c r="AI240" i="154"/>
  <c r="AJ240" i="154" s="1"/>
  <c r="T240" i="154"/>
  <c r="AI239" i="154"/>
  <c r="AJ239" i="154" s="1"/>
  <c r="T239" i="154"/>
  <c r="AI238" i="154"/>
  <c r="AJ238" i="154" s="1"/>
  <c r="W238" i="154"/>
  <c r="S238" i="154"/>
  <c r="R238" i="154"/>
  <c r="Q238" i="154"/>
  <c r="P238" i="154"/>
  <c r="O238" i="154"/>
  <c r="N238" i="154"/>
  <c r="M238" i="154"/>
  <c r="J238" i="154"/>
  <c r="H238" i="154"/>
  <c r="E238" i="154"/>
  <c r="D238" i="154"/>
  <c r="AI237" i="154"/>
  <c r="AJ237" i="154" s="1"/>
  <c r="T237" i="154"/>
  <c r="AI236" i="154"/>
  <c r="AJ236" i="154" s="1"/>
  <c r="T236" i="154"/>
  <c r="X236" i="154" s="1"/>
  <c r="AI235" i="154"/>
  <c r="AJ235" i="154" s="1"/>
  <c r="T235" i="154"/>
  <c r="V235" i="154" s="1"/>
  <c r="AI234" i="154"/>
  <c r="AJ234" i="154" s="1"/>
  <c r="T234" i="154"/>
  <c r="AI233" i="154"/>
  <c r="AJ233" i="154" s="1"/>
  <c r="T233" i="154"/>
  <c r="Z233" i="154" s="1"/>
  <c r="AB233" i="154" s="1"/>
  <c r="AI232" i="154"/>
  <c r="AJ232" i="154" s="1"/>
  <c r="T232" i="154"/>
  <c r="X232" i="154" s="1"/>
  <c r="AI231" i="154"/>
  <c r="AJ231" i="154" s="1"/>
  <c r="T231" i="154"/>
  <c r="Z231" i="154" s="1"/>
  <c r="AB231" i="154" s="1"/>
  <c r="AI230" i="154"/>
  <c r="AJ230" i="154" s="1"/>
  <c r="T230" i="154"/>
  <c r="AI229" i="154"/>
  <c r="AJ229" i="154" s="1"/>
  <c r="T229" i="154"/>
  <c r="X229" i="154" s="1"/>
  <c r="AI228" i="154"/>
  <c r="AJ228" i="154" s="1"/>
  <c r="T228" i="154"/>
  <c r="V228" i="154" s="1"/>
  <c r="AI227" i="154"/>
  <c r="AJ227" i="154" s="1"/>
  <c r="T227" i="154"/>
  <c r="AI226" i="154"/>
  <c r="AJ226" i="154" s="1"/>
  <c r="T226" i="154"/>
  <c r="AI225" i="154"/>
  <c r="AJ225" i="154" s="1"/>
  <c r="T225" i="154"/>
  <c r="AI224" i="154"/>
  <c r="W224" i="154"/>
  <c r="S224" i="154"/>
  <c r="R224" i="154"/>
  <c r="Q224" i="154"/>
  <c r="P224" i="154"/>
  <c r="O224" i="154"/>
  <c r="N224" i="154"/>
  <c r="M224" i="154"/>
  <c r="J224" i="154"/>
  <c r="H224" i="154"/>
  <c r="E224" i="154"/>
  <c r="D224" i="154"/>
  <c r="AI223" i="154"/>
  <c r="AI222" i="154"/>
  <c r="AJ222" i="154" s="1"/>
  <c r="T222" i="154"/>
  <c r="V222" i="154" s="1"/>
  <c r="AI221" i="154"/>
  <c r="AJ221" i="154" s="1"/>
  <c r="T221" i="154"/>
  <c r="U221" i="154" s="1"/>
  <c r="AA221" i="154" s="1"/>
  <c r="AI220" i="154"/>
  <c r="AJ220" i="154" s="1"/>
  <c r="T220" i="154"/>
  <c r="Z220" i="154" s="1"/>
  <c r="AB220" i="154" s="1"/>
  <c r="AI219" i="154"/>
  <c r="AJ219" i="154" s="1"/>
  <c r="T219" i="154"/>
  <c r="Z219" i="154" s="1"/>
  <c r="AB219" i="154" s="1"/>
  <c r="AI218" i="154"/>
  <c r="AJ218" i="154" s="1"/>
  <c r="T218" i="154"/>
  <c r="X218" i="154" s="1"/>
  <c r="AI217" i="154"/>
  <c r="AJ217" i="154" s="1"/>
  <c r="T217" i="154"/>
  <c r="V217" i="154" s="1"/>
  <c r="AI216" i="154"/>
  <c r="W216" i="154"/>
  <c r="S216" i="154"/>
  <c r="R216" i="154"/>
  <c r="Q216" i="154"/>
  <c r="P216" i="154"/>
  <c r="O216" i="154"/>
  <c r="N216" i="154"/>
  <c r="M216" i="154"/>
  <c r="J216" i="154"/>
  <c r="H216" i="154"/>
  <c r="E216" i="154"/>
  <c r="D216" i="154"/>
  <c r="AI215" i="154"/>
  <c r="AJ215" i="154" s="1"/>
  <c r="T215" i="154"/>
  <c r="X215" i="154" s="1"/>
  <c r="AI214" i="154"/>
  <c r="AJ214" i="154" s="1"/>
  <c r="T214" i="154"/>
  <c r="AI213" i="154"/>
  <c r="AJ213" i="154" s="1"/>
  <c r="T213" i="154"/>
  <c r="Z213" i="154" s="1"/>
  <c r="AB213" i="154" s="1"/>
  <c r="AI212" i="154"/>
  <c r="AJ212" i="154" s="1"/>
  <c r="T212" i="154"/>
  <c r="U212" i="154" s="1"/>
  <c r="AI211" i="154"/>
  <c r="AJ211" i="154" s="1"/>
  <c r="T211" i="154"/>
  <c r="Z211" i="154" s="1"/>
  <c r="AB211" i="154" s="1"/>
  <c r="AI210" i="154"/>
  <c r="AJ210" i="154" s="1"/>
  <c r="T210" i="154"/>
  <c r="V210" i="154" s="1"/>
  <c r="AI209" i="154"/>
  <c r="W209" i="154"/>
  <c r="S209" i="154"/>
  <c r="R209" i="154"/>
  <c r="Q209" i="154"/>
  <c r="P209" i="154"/>
  <c r="O209" i="154"/>
  <c r="N209" i="154"/>
  <c r="M209" i="154"/>
  <c r="J209" i="154"/>
  <c r="H209" i="154"/>
  <c r="E209" i="154"/>
  <c r="D209" i="154"/>
  <c r="AI208" i="154"/>
  <c r="AJ208" i="154" s="1"/>
  <c r="T208" i="154"/>
  <c r="U208" i="154" s="1"/>
  <c r="Y208" i="154" s="1"/>
  <c r="D208" i="154"/>
  <c r="D205" i="154" s="1"/>
  <c r="AI207" i="154"/>
  <c r="AJ207" i="154" s="1"/>
  <c r="T207" i="154"/>
  <c r="Z207" i="154" s="1"/>
  <c r="AB207" i="154" s="1"/>
  <c r="AI206" i="154"/>
  <c r="AJ206" i="154" s="1"/>
  <c r="T206" i="154"/>
  <c r="U206" i="154" s="1"/>
  <c r="AI205" i="154"/>
  <c r="W205" i="154"/>
  <c r="S205" i="154"/>
  <c r="R205" i="154"/>
  <c r="Q205" i="154"/>
  <c r="P205" i="154"/>
  <c r="O205" i="154"/>
  <c r="N205" i="154"/>
  <c r="M205" i="154"/>
  <c r="J205" i="154"/>
  <c r="H205" i="154"/>
  <c r="E205" i="154"/>
  <c r="AI204" i="154"/>
  <c r="AJ204" i="154" s="1"/>
  <c r="T204" i="154"/>
  <c r="D204" i="154"/>
  <c r="D191" i="154" s="1"/>
  <c r="AI203" i="154"/>
  <c r="AJ203" i="154" s="1"/>
  <c r="T203" i="154"/>
  <c r="U203" i="154" s="1"/>
  <c r="AA203" i="154" s="1"/>
  <c r="AI202" i="154"/>
  <c r="AJ202" i="154" s="1"/>
  <c r="T202" i="154"/>
  <c r="AI201" i="154"/>
  <c r="AJ201" i="154" s="1"/>
  <c r="T201" i="154"/>
  <c r="U201" i="154" s="1"/>
  <c r="AI200" i="154"/>
  <c r="AJ200" i="154" s="1"/>
  <c r="T200" i="154"/>
  <c r="V200" i="154" s="1"/>
  <c r="AI199" i="154"/>
  <c r="AJ199" i="154" s="1"/>
  <c r="T199" i="154"/>
  <c r="X199" i="154" s="1"/>
  <c r="AI198" i="154"/>
  <c r="AJ198" i="154" s="1"/>
  <c r="T198" i="154"/>
  <c r="Z198" i="154" s="1"/>
  <c r="AB198" i="154" s="1"/>
  <c r="AI197" i="154"/>
  <c r="AJ197" i="154" s="1"/>
  <c r="T197" i="154"/>
  <c r="AI196" i="154"/>
  <c r="AJ196" i="154" s="1"/>
  <c r="T196" i="154"/>
  <c r="X196" i="154" s="1"/>
  <c r="AI195" i="154"/>
  <c r="AJ195" i="154" s="1"/>
  <c r="T195" i="154"/>
  <c r="AI194" i="154"/>
  <c r="AJ194" i="154" s="1"/>
  <c r="T194" i="154"/>
  <c r="AI193" i="154"/>
  <c r="AJ193" i="154" s="1"/>
  <c r="T193" i="154"/>
  <c r="Z193" i="154" s="1"/>
  <c r="AB193" i="154" s="1"/>
  <c r="AI192" i="154"/>
  <c r="AJ192" i="154" s="1"/>
  <c r="T192" i="154"/>
  <c r="AI191" i="154"/>
  <c r="W191" i="154"/>
  <c r="S191" i="154"/>
  <c r="R191" i="154"/>
  <c r="Q191" i="154"/>
  <c r="P191" i="154"/>
  <c r="O191" i="154"/>
  <c r="N191" i="154"/>
  <c r="M191" i="154"/>
  <c r="J191" i="154"/>
  <c r="E191" i="154"/>
  <c r="AI190" i="154"/>
  <c r="AJ190" i="154" s="1"/>
  <c r="AI189" i="154"/>
  <c r="AI188" i="154"/>
  <c r="AI187" i="154"/>
  <c r="AI186" i="154"/>
  <c r="AJ186" i="154" s="1"/>
  <c r="T186" i="154"/>
  <c r="V186" i="154" s="1"/>
  <c r="AI185" i="154"/>
  <c r="AJ185" i="154" s="1"/>
  <c r="T185" i="154"/>
  <c r="V185" i="154" s="1"/>
  <c r="AI184" i="154"/>
  <c r="AJ184" i="154" s="1"/>
  <c r="T184" i="154"/>
  <c r="AI183" i="154"/>
  <c r="AJ183" i="154" s="1"/>
  <c r="T183" i="154"/>
  <c r="AI182" i="154"/>
  <c r="AJ182" i="154" s="1"/>
  <c r="T182" i="154"/>
  <c r="Z182" i="154" s="1"/>
  <c r="AB182" i="154" s="1"/>
  <c r="M182" i="154"/>
  <c r="M180" i="154" s="1"/>
  <c r="AI181" i="154"/>
  <c r="AJ181" i="154" s="1"/>
  <c r="T181" i="154"/>
  <c r="U181" i="154" s="1"/>
  <c r="Y181" i="154" s="1"/>
  <c r="AI180" i="154"/>
  <c r="W180" i="154"/>
  <c r="S180" i="154"/>
  <c r="R180" i="154"/>
  <c r="Q180" i="154"/>
  <c r="P180" i="154"/>
  <c r="O180" i="154"/>
  <c r="N180" i="154"/>
  <c r="J180" i="154"/>
  <c r="H180" i="154"/>
  <c r="E180" i="154"/>
  <c r="D180" i="154"/>
  <c r="AI179" i="154"/>
  <c r="AJ179" i="154" s="1"/>
  <c r="AD179" i="154"/>
  <c r="T179" i="154"/>
  <c r="U179" i="154" s="1"/>
  <c r="AA179" i="154" s="1"/>
  <c r="AI178" i="154"/>
  <c r="AJ178" i="154" s="1"/>
  <c r="T178" i="154"/>
  <c r="Z178" i="154" s="1"/>
  <c r="AB178" i="154" s="1"/>
  <c r="AI177" i="154"/>
  <c r="W177" i="154"/>
  <c r="S177" i="154"/>
  <c r="R177" i="154"/>
  <c r="Q177" i="154"/>
  <c r="P177" i="154"/>
  <c r="O177" i="154"/>
  <c r="N177" i="154"/>
  <c r="M177" i="154"/>
  <c r="J177" i="154"/>
  <c r="H177" i="154"/>
  <c r="E177" i="154"/>
  <c r="D177" i="154"/>
  <c r="AI176" i="154"/>
  <c r="AJ176" i="154" s="1"/>
  <c r="AD176" i="154"/>
  <c r="V176" i="154"/>
  <c r="AI175" i="154"/>
  <c r="AJ175" i="154" s="1"/>
  <c r="T175" i="154"/>
  <c r="AI174" i="154"/>
  <c r="AJ174" i="154" s="1"/>
  <c r="T174" i="154"/>
  <c r="AI173" i="154"/>
  <c r="AJ173" i="154" s="1"/>
  <c r="T173" i="154"/>
  <c r="Z173" i="154" s="1"/>
  <c r="AB173" i="154" s="1"/>
  <c r="M173" i="154"/>
  <c r="M172" i="154" s="1"/>
  <c r="AI172" i="154"/>
  <c r="W172" i="154"/>
  <c r="S172" i="154"/>
  <c r="R172" i="154"/>
  <c r="Q172" i="154"/>
  <c r="P172" i="154"/>
  <c r="O172" i="154"/>
  <c r="N172" i="154"/>
  <c r="J172" i="154"/>
  <c r="H172" i="154"/>
  <c r="E172" i="154"/>
  <c r="D172" i="154"/>
  <c r="AI171" i="154"/>
  <c r="AI170" i="154"/>
  <c r="AJ170" i="154" s="1"/>
  <c r="T170" i="154"/>
  <c r="AI169" i="154"/>
  <c r="AJ169" i="154" s="1"/>
  <c r="T169" i="154"/>
  <c r="T168" i="154" s="1"/>
  <c r="AI168" i="154"/>
  <c r="W168" i="154"/>
  <c r="S168" i="154"/>
  <c r="R168" i="154"/>
  <c r="Q168" i="154"/>
  <c r="P168" i="154"/>
  <c r="O168" i="154"/>
  <c r="N168" i="154"/>
  <c r="M168" i="154"/>
  <c r="J168" i="154"/>
  <c r="H168" i="154"/>
  <c r="E168" i="154"/>
  <c r="D168" i="154"/>
  <c r="AI167" i="154"/>
  <c r="AI166" i="154"/>
  <c r="AI165" i="154"/>
  <c r="AJ165" i="154" s="1"/>
  <c r="T165" i="154"/>
  <c r="AI164" i="154"/>
  <c r="AJ164" i="154" s="1"/>
  <c r="T164" i="154"/>
  <c r="U164" i="154" s="1"/>
  <c r="AI163" i="154"/>
  <c r="AJ163" i="154" s="1"/>
  <c r="T163" i="154"/>
  <c r="X163" i="154" s="1"/>
  <c r="AI162" i="154"/>
  <c r="AJ162" i="154" s="1"/>
  <c r="T162" i="154"/>
  <c r="X162" i="154" s="1"/>
  <c r="AI161" i="154"/>
  <c r="AJ161" i="154" s="1"/>
  <c r="T161" i="154"/>
  <c r="U161" i="154" s="1"/>
  <c r="AA161" i="154" s="1"/>
  <c r="AI160" i="154"/>
  <c r="AJ160" i="154" s="1"/>
  <c r="T160" i="154"/>
  <c r="Z160" i="154" s="1"/>
  <c r="AB160" i="154" s="1"/>
  <c r="AI159" i="154"/>
  <c r="AJ159" i="154" s="1"/>
  <c r="T159" i="154"/>
  <c r="X159" i="154" s="1"/>
  <c r="AI158" i="154"/>
  <c r="AJ158" i="154" s="1"/>
  <c r="T158" i="154"/>
  <c r="V158" i="154" s="1"/>
  <c r="AI157" i="154"/>
  <c r="AJ157" i="154" s="1"/>
  <c r="T157" i="154"/>
  <c r="U157" i="154" s="1"/>
  <c r="AI156" i="154"/>
  <c r="S156" i="154"/>
  <c r="AI155" i="154"/>
  <c r="AJ155" i="154" s="1"/>
  <c r="T155" i="154"/>
  <c r="AI154" i="154"/>
  <c r="AJ154" i="154" s="1"/>
  <c r="T154" i="154"/>
  <c r="U154" i="154" s="1"/>
  <c r="AI153" i="154"/>
  <c r="S153" i="154"/>
  <c r="T153" i="154" s="1"/>
  <c r="Q153" i="154"/>
  <c r="AI152" i="154"/>
  <c r="AJ152" i="154" s="1"/>
  <c r="T152" i="154"/>
  <c r="AI151" i="154"/>
  <c r="S151" i="154"/>
  <c r="T151" i="154" s="1"/>
  <c r="AI150" i="154"/>
  <c r="S150" i="154"/>
  <c r="T150" i="154" s="1"/>
  <c r="Z150" i="154" s="1"/>
  <c r="AB150" i="154" s="1"/>
  <c r="AI149" i="154"/>
  <c r="S149" i="154"/>
  <c r="T149" i="154" s="1"/>
  <c r="AI148" i="154"/>
  <c r="AJ148" i="154" s="1"/>
  <c r="T148" i="154"/>
  <c r="AI147" i="154"/>
  <c r="T147" i="154"/>
  <c r="AI146" i="154"/>
  <c r="T146" i="154"/>
  <c r="V146" i="154" s="1"/>
  <c r="AI145" i="154"/>
  <c r="W145" i="154"/>
  <c r="S145" i="154"/>
  <c r="R145" i="154"/>
  <c r="Q145" i="154"/>
  <c r="P145" i="154"/>
  <c r="O145" i="154"/>
  <c r="N145" i="154"/>
  <c r="M145" i="154"/>
  <c r="J145" i="154"/>
  <c r="H145" i="154"/>
  <c r="E145" i="154"/>
  <c r="D145" i="154"/>
  <c r="AI144" i="154"/>
  <c r="AJ144" i="154" s="1"/>
  <c r="T144" i="154"/>
  <c r="AI143" i="154"/>
  <c r="W143" i="154"/>
  <c r="S143" i="154"/>
  <c r="R143" i="154"/>
  <c r="Q143" i="154"/>
  <c r="P143" i="154"/>
  <c r="O143" i="154"/>
  <c r="N143" i="154"/>
  <c r="M143" i="154"/>
  <c r="J143" i="154"/>
  <c r="H143" i="154"/>
  <c r="E143" i="154"/>
  <c r="D143" i="154"/>
  <c r="AI142" i="154"/>
  <c r="AI141" i="154"/>
  <c r="AJ141" i="154" s="1"/>
  <c r="T141" i="154"/>
  <c r="AI140" i="154"/>
  <c r="AJ140" i="154" s="1"/>
  <c r="T140" i="154"/>
  <c r="Z140" i="154" s="1"/>
  <c r="AB140" i="154" s="1"/>
  <c r="D140" i="154"/>
  <c r="AI139" i="154"/>
  <c r="AJ139" i="154" s="1"/>
  <c r="T139" i="154"/>
  <c r="U139" i="154" s="1"/>
  <c r="AI138" i="154"/>
  <c r="AJ138" i="154" s="1"/>
  <c r="T138" i="154"/>
  <c r="AI137" i="154"/>
  <c r="AJ137" i="154" s="1"/>
  <c r="T137" i="154"/>
  <c r="D137" i="154"/>
  <c r="AI136" i="154"/>
  <c r="AJ136" i="154" s="1"/>
  <c r="W136" i="154"/>
  <c r="W135" i="154" s="1"/>
  <c r="R136" i="154"/>
  <c r="R135" i="154" s="1"/>
  <c r="Q136" i="154"/>
  <c r="Q135" i="154" s="1"/>
  <c r="P136" i="154"/>
  <c r="P135" i="154" s="1"/>
  <c r="O136" i="154"/>
  <c r="O135" i="154" s="1"/>
  <c r="N136" i="154"/>
  <c r="N135" i="154" s="1"/>
  <c r="M136" i="154"/>
  <c r="M135" i="154" s="1"/>
  <c r="J136" i="154"/>
  <c r="J135" i="154" s="1"/>
  <c r="H136" i="154"/>
  <c r="H135" i="154" s="1"/>
  <c r="E136" i="154"/>
  <c r="E135" i="154" s="1"/>
  <c r="AI135" i="154"/>
  <c r="S135" i="154"/>
  <c r="AI134" i="154"/>
  <c r="AI133" i="154"/>
  <c r="AI132" i="154"/>
  <c r="AJ132" i="154" s="1"/>
  <c r="AD132" i="154"/>
  <c r="V132" i="154"/>
  <c r="AI131" i="154"/>
  <c r="S131" i="154"/>
  <c r="S129" i="154" s="1"/>
  <c r="AI130" i="154"/>
  <c r="AJ130" i="154" s="1"/>
  <c r="AD130" i="154"/>
  <c r="V130" i="154"/>
  <c r="AI129" i="154"/>
  <c r="W129" i="154"/>
  <c r="R129" i="154"/>
  <c r="Q129" i="154"/>
  <c r="P129" i="154"/>
  <c r="O129" i="154"/>
  <c r="N129" i="154"/>
  <c r="M129" i="154"/>
  <c r="J129" i="154"/>
  <c r="H129" i="154"/>
  <c r="E129" i="154"/>
  <c r="D129" i="154"/>
  <c r="AI128" i="154"/>
  <c r="AJ128" i="154" s="1"/>
  <c r="T128" i="154"/>
  <c r="V128" i="154" s="1"/>
  <c r="AI127" i="154"/>
  <c r="S127" i="154"/>
  <c r="T127" i="154" s="1"/>
  <c r="AI126" i="154"/>
  <c r="S126" i="154"/>
  <c r="AI125" i="154"/>
  <c r="S125" i="154"/>
  <c r="T125" i="154" s="1"/>
  <c r="AI124" i="154"/>
  <c r="AJ124" i="154" s="1"/>
  <c r="T124" i="154"/>
  <c r="X124" i="154" s="1"/>
  <c r="AI123" i="154"/>
  <c r="S123" i="154"/>
  <c r="T123" i="154" s="1"/>
  <c r="AI122" i="154"/>
  <c r="S122" i="154"/>
  <c r="T122" i="154" s="1"/>
  <c r="X122" i="154" s="1"/>
  <c r="AI121" i="154"/>
  <c r="S121" i="154"/>
  <c r="T121" i="154" s="1"/>
  <c r="Z121" i="154" s="1"/>
  <c r="AB121" i="154" s="1"/>
  <c r="AI120" i="154"/>
  <c r="S120" i="154"/>
  <c r="T120" i="154" s="1"/>
  <c r="AI119" i="154"/>
  <c r="AJ119" i="154" s="1"/>
  <c r="T119" i="154"/>
  <c r="Z119" i="154" s="1"/>
  <c r="AB119" i="154" s="1"/>
  <c r="AI118" i="154"/>
  <c r="S118" i="154"/>
  <c r="AI117" i="154"/>
  <c r="S117" i="154"/>
  <c r="T117" i="154" s="1"/>
  <c r="X117" i="154" s="1"/>
  <c r="AI116" i="154"/>
  <c r="S116" i="154"/>
  <c r="T116" i="154" s="1"/>
  <c r="AI115" i="154"/>
  <c r="W115" i="154"/>
  <c r="W114" i="154" s="1"/>
  <c r="R115" i="154"/>
  <c r="Q115" i="154"/>
  <c r="P115" i="154"/>
  <c r="O115" i="154"/>
  <c r="N115" i="154"/>
  <c r="N114" i="154" s="1"/>
  <c r="M115" i="154"/>
  <c r="J115" i="154"/>
  <c r="H115" i="154"/>
  <c r="E115" i="154"/>
  <c r="D115" i="154"/>
  <c r="AI114" i="154"/>
  <c r="AI113" i="154"/>
  <c r="S113" i="154"/>
  <c r="AI112" i="154"/>
  <c r="AJ112" i="154" s="1"/>
  <c r="T112" i="154"/>
  <c r="X112" i="154" s="1"/>
  <c r="AI111" i="154"/>
  <c r="AJ111" i="154" s="1"/>
  <c r="T111" i="154"/>
  <c r="AI110" i="154"/>
  <c r="AJ110" i="154" s="1"/>
  <c r="T110" i="154"/>
  <c r="AI109" i="154"/>
  <c r="AJ109" i="154" s="1"/>
  <c r="T109" i="154"/>
  <c r="X109" i="154" s="1"/>
  <c r="AI108" i="154"/>
  <c r="AJ108" i="154" s="1"/>
  <c r="T108" i="154"/>
  <c r="X108" i="154" s="1"/>
  <c r="AI107" i="154"/>
  <c r="W107" i="154"/>
  <c r="S107" i="154"/>
  <c r="R107" i="154"/>
  <c r="Q107" i="154"/>
  <c r="P107" i="154"/>
  <c r="O107" i="154"/>
  <c r="N107" i="154"/>
  <c r="M107" i="154"/>
  <c r="J107" i="154"/>
  <c r="H107" i="154"/>
  <c r="E107" i="154"/>
  <c r="D107" i="154"/>
  <c r="AI106" i="154"/>
  <c r="AJ106" i="154" s="1"/>
  <c r="T106" i="154"/>
  <c r="X106" i="154" s="1"/>
  <c r="AI105" i="154"/>
  <c r="AJ105" i="154" s="1"/>
  <c r="T105" i="154"/>
  <c r="V105" i="154" s="1"/>
  <c r="AI104" i="154"/>
  <c r="AJ104" i="154" s="1"/>
  <c r="T104" i="154"/>
  <c r="X104" i="154" s="1"/>
  <c r="N104" i="154"/>
  <c r="U104" i="154" s="1"/>
  <c r="AA104" i="154" s="1"/>
  <c r="J104" i="154"/>
  <c r="AI103" i="154"/>
  <c r="W103" i="154"/>
  <c r="S103" i="154"/>
  <c r="R103" i="154"/>
  <c r="Q103" i="154"/>
  <c r="P103" i="154"/>
  <c r="O103" i="154"/>
  <c r="M103" i="154"/>
  <c r="AI102" i="154"/>
  <c r="AJ102" i="154" s="1"/>
  <c r="T102" i="154"/>
  <c r="Z102" i="154" s="1"/>
  <c r="AB102" i="154" s="1"/>
  <c r="AI101" i="154"/>
  <c r="AJ101" i="154" s="1"/>
  <c r="T101" i="154"/>
  <c r="N101" i="154"/>
  <c r="J101" i="154"/>
  <c r="H101" i="154"/>
  <c r="G101" i="154"/>
  <c r="F101" i="154"/>
  <c r="F84" i="154" s="1"/>
  <c r="E101" i="154"/>
  <c r="D101" i="154"/>
  <c r="AI100" i="154"/>
  <c r="AJ100" i="154" s="1"/>
  <c r="T100" i="154"/>
  <c r="X100" i="154" s="1"/>
  <c r="AI99" i="154"/>
  <c r="S99" i="154"/>
  <c r="R99" i="154"/>
  <c r="Q99" i="154"/>
  <c r="P99" i="154"/>
  <c r="O99" i="154"/>
  <c r="M99" i="154"/>
  <c r="AI98" i="154"/>
  <c r="AJ98" i="154" s="1"/>
  <c r="T98" i="154"/>
  <c r="V98" i="154" s="1"/>
  <c r="AI97" i="154"/>
  <c r="AJ97" i="154" s="1"/>
  <c r="T97" i="154"/>
  <c r="Z97" i="154" s="1"/>
  <c r="N97" i="154"/>
  <c r="J97" i="154"/>
  <c r="H97" i="154"/>
  <c r="AI96" i="154"/>
  <c r="AJ96" i="154" s="1"/>
  <c r="T96" i="154"/>
  <c r="AI95" i="154"/>
  <c r="S95" i="154"/>
  <c r="T95" i="154" s="1"/>
  <c r="Q95" i="154"/>
  <c r="AI94" i="154"/>
  <c r="AJ94" i="154" s="1"/>
  <c r="T94" i="154"/>
  <c r="X94" i="154" s="1"/>
  <c r="AI93" i="154"/>
  <c r="AJ93" i="154" s="1"/>
  <c r="T93" i="154"/>
  <c r="AI92" i="154"/>
  <c r="S92" i="154"/>
  <c r="T92" i="154" s="1"/>
  <c r="V92" i="154" s="1"/>
  <c r="AI91" i="154"/>
  <c r="AJ91" i="154" s="1"/>
  <c r="T91" i="154"/>
  <c r="Z91" i="154" s="1"/>
  <c r="AB91" i="154" s="1"/>
  <c r="AI90" i="154"/>
  <c r="AJ90" i="154" s="1"/>
  <c r="T90" i="154"/>
  <c r="V90" i="154" s="1"/>
  <c r="J90" i="154"/>
  <c r="J89" i="154" s="1"/>
  <c r="AI89" i="154"/>
  <c r="W89" i="154"/>
  <c r="S89" i="154"/>
  <c r="R89" i="154"/>
  <c r="Q89" i="154"/>
  <c r="P89" i="154"/>
  <c r="O89" i="154"/>
  <c r="N89" i="154"/>
  <c r="M89" i="154"/>
  <c r="H89" i="154"/>
  <c r="G89" i="154"/>
  <c r="F89" i="154"/>
  <c r="E89" i="154"/>
  <c r="D89" i="154"/>
  <c r="AI88" i="154"/>
  <c r="S88" i="154"/>
  <c r="AI87" i="154"/>
  <c r="S87" i="154"/>
  <c r="T87" i="154" s="1"/>
  <c r="Z87" i="154" s="1"/>
  <c r="AB87" i="154" s="1"/>
  <c r="AI86" i="154"/>
  <c r="AJ86" i="154" s="1"/>
  <c r="T86" i="154"/>
  <c r="Z86" i="154" s="1"/>
  <c r="AB86" i="154" s="1"/>
  <c r="AI85" i="154"/>
  <c r="AI84" i="154"/>
  <c r="AI83" i="154"/>
  <c r="AI82" i="154"/>
  <c r="AI81" i="154"/>
  <c r="AJ81" i="154" s="1"/>
  <c r="AD81" i="154"/>
  <c r="V81" i="154"/>
  <c r="AI80" i="154"/>
  <c r="AJ80" i="154" s="1"/>
  <c r="T80" i="154"/>
  <c r="U80" i="154" s="1"/>
  <c r="AD80" i="154" s="1"/>
  <c r="AI79" i="154"/>
  <c r="AJ79" i="154" s="1"/>
  <c r="T79" i="154"/>
  <c r="X79" i="154" s="1"/>
  <c r="AI78" i="154"/>
  <c r="W78" i="154"/>
  <c r="S78" i="154"/>
  <c r="R78" i="154"/>
  <c r="Q78" i="154"/>
  <c r="P78" i="154"/>
  <c r="O78" i="154"/>
  <c r="N78" i="154"/>
  <c r="M78" i="154"/>
  <c r="J78" i="154"/>
  <c r="H78" i="154"/>
  <c r="E78" i="154"/>
  <c r="D78" i="154"/>
  <c r="AI77" i="154"/>
  <c r="AJ77" i="154" s="1"/>
  <c r="T77" i="154"/>
  <c r="Z77" i="154" s="1"/>
  <c r="AB77" i="154" s="1"/>
  <c r="AI76" i="154"/>
  <c r="AJ76" i="154" s="1"/>
  <c r="T76" i="154"/>
  <c r="Z76" i="154" s="1"/>
  <c r="AB76" i="154" s="1"/>
  <c r="AI75" i="154"/>
  <c r="AJ75" i="154" s="1"/>
  <c r="T75" i="154"/>
  <c r="X75" i="154" s="1"/>
  <c r="AI74" i="154"/>
  <c r="AJ74" i="154" s="1"/>
  <c r="W74" i="154"/>
  <c r="W71" i="154" s="1"/>
  <c r="R74" i="154"/>
  <c r="R71" i="154" s="1"/>
  <c r="Q74" i="154"/>
  <c r="Q71" i="154" s="1"/>
  <c r="P74" i="154"/>
  <c r="P71" i="154" s="1"/>
  <c r="O74" i="154"/>
  <c r="N74" i="154"/>
  <c r="N71" i="154" s="1"/>
  <c r="M74" i="154"/>
  <c r="M71" i="154" s="1"/>
  <c r="J74" i="154"/>
  <c r="J71" i="154" s="1"/>
  <c r="H74" i="154"/>
  <c r="H71" i="154" s="1"/>
  <c r="E74" i="154"/>
  <c r="E71" i="154" s="1"/>
  <c r="D74" i="154"/>
  <c r="D71" i="154" s="1"/>
  <c r="AI73" i="154"/>
  <c r="S73" i="154"/>
  <c r="AI72" i="154"/>
  <c r="S72" i="154"/>
  <c r="AI71" i="154"/>
  <c r="AI70" i="154"/>
  <c r="AI69" i="154"/>
  <c r="AJ69" i="154" s="1"/>
  <c r="T69" i="154"/>
  <c r="AI68" i="154"/>
  <c r="AJ68" i="154" s="1"/>
  <c r="T68" i="154"/>
  <c r="Z68" i="154" s="1"/>
  <c r="AB68" i="154" s="1"/>
  <c r="AI67" i="154"/>
  <c r="AJ67" i="154" s="1"/>
  <c r="T67" i="154"/>
  <c r="U67" i="154" s="1"/>
  <c r="AI66" i="154"/>
  <c r="AJ66" i="154" s="1"/>
  <c r="T66" i="154"/>
  <c r="AI65" i="154"/>
  <c r="W65" i="154"/>
  <c r="S65" i="154"/>
  <c r="R65" i="154"/>
  <c r="Q65" i="154"/>
  <c r="P65" i="154"/>
  <c r="O65" i="154"/>
  <c r="N65" i="154"/>
  <c r="M65" i="154"/>
  <c r="J65" i="154"/>
  <c r="H65" i="154"/>
  <c r="E65" i="154"/>
  <c r="D65" i="154"/>
  <c r="AI64" i="154"/>
  <c r="AJ64" i="154" s="1"/>
  <c r="T64" i="154"/>
  <c r="Z64" i="154" s="1"/>
  <c r="AB64" i="154" s="1"/>
  <c r="AI63" i="154"/>
  <c r="AJ63" i="154" s="1"/>
  <c r="T63" i="154"/>
  <c r="Z63" i="154" s="1"/>
  <c r="AB63" i="154" s="1"/>
  <c r="AI62" i="154"/>
  <c r="AJ62" i="154" s="1"/>
  <c r="T62" i="154"/>
  <c r="AI61" i="154"/>
  <c r="AJ61" i="154" s="1"/>
  <c r="T61" i="154"/>
  <c r="Z61" i="154" s="1"/>
  <c r="AB61" i="154" s="1"/>
  <c r="AI60" i="154"/>
  <c r="W60" i="154"/>
  <c r="S60" i="154"/>
  <c r="R60" i="154"/>
  <c r="Q60" i="154"/>
  <c r="P60" i="154"/>
  <c r="O60" i="154"/>
  <c r="N60" i="154"/>
  <c r="M60" i="154"/>
  <c r="J60" i="154"/>
  <c r="H60" i="154"/>
  <c r="E60" i="154"/>
  <c r="D60" i="154"/>
  <c r="AI59" i="154"/>
  <c r="AJ59" i="154" s="1"/>
  <c r="AD59" i="154"/>
  <c r="V59" i="154"/>
  <c r="AI58" i="154"/>
  <c r="AJ58" i="154" s="1"/>
  <c r="AD58" i="154"/>
  <c r="V58" i="154"/>
  <c r="AI57" i="154"/>
  <c r="AJ57" i="154" s="1"/>
  <c r="T57" i="154"/>
  <c r="X57" i="154" s="1"/>
  <c r="X56" i="154" s="1"/>
  <c r="AI56" i="154"/>
  <c r="W56" i="154"/>
  <c r="S56" i="154"/>
  <c r="R56" i="154"/>
  <c r="Q56" i="154"/>
  <c r="P56" i="154"/>
  <c r="O56" i="154"/>
  <c r="N56" i="154"/>
  <c r="M56" i="154"/>
  <c r="J56" i="154"/>
  <c r="H56" i="154"/>
  <c r="E56" i="154"/>
  <c r="D56" i="154"/>
  <c r="AI55" i="154"/>
  <c r="S55" i="154"/>
  <c r="AI54" i="154"/>
  <c r="S54" i="154"/>
  <c r="T54" i="154" s="1"/>
  <c r="Z54" i="154" s="1"/>
  <c r="AB54" i="154" s="1"/>
  <c r="AI53" i="154"/>
  <c r="AJ53" i="154" s="1"/>
  <c r="T53" i="154"/>
  <c r="X53" i="154" s="1"/>
  <c r="AI52" i="154"/>
  <c r="AJ52" i="154" s="1"/>
  <c r="T52" i="154"/>
  <c r="Z52" i="154" s="1"/>
  <c r="AB52" i="154" s="1"/>
  <c r="AI51" i="154"/>
  <c r="AJ51" i="154" s="1"/>
  <c r="T51" i="154"/>
  <c r="U51" i="154" s="1"/>
  <c r="AI50" i="154"/>
  <c r="AJ50" i="154" s="1"/>
  <c r="T50" i="154"/>
  <c r="X50" i="154" s="1"/>
  <c r="AI49" i="154"/>
  <c r="AJ49" i="154" s="1"/>
  <c r="T49" i="154"/>
  <c r="V49" i="154" s="1"/>
  <c r="AI48" i="154"/>
  <c r="AJ48" i="154" s="1"/>
  <c r="T48" i="154"/>
  <c r="V48" i="154" s="1"/>
  <c r="AI47" i="154"/>
  <c r="AJ47" i="154" s="1"/>
  <c r="T47" i="154"/>
  <c r="Z47" i="154" s="1"/>
  <c r="AB47" i="154" s="1"/>
  <c r="AI46" i="154"/>
  <c r="S46" i="154"/>
  <c r="T46" i="154" s="1"/>
  <c r="O46" i="154"/>
  <c r="N46" i="154"/>
  <c r="J46" i="154"/>
  <c r="H46" i="154"/>
  <c r="E46" i="154"/>
  <c r="D46" i="154"/>
  <c r="AI45" i="154"/>
  <c r="S45" i="154"/>
  <c r="T45" i="154" s="1"/>
  <c r="V45" i="154" s="1"/>
  <c r="Q45" i="154"/>
  <c r="AI44" i="154"/>
  <c r="AJ44" i="154" s="1"/>
  <c r="T44" i="154"/>
  <c r="V44" i="154" s="1"/>
  <c r="AI43" i="154"/>
  <c r="AJ43" i="154" s="1"/>
  <c r="T43" i="154"/>
  <c r="V43" i="154" s="1"/>
  <c r="AI42" i="154"/>
  <c r="W42" i="154"/>
  <c r="S42" i="154"/>
  <c r="R42" i="154"/>
  <c r="Q42" i="154"/>
  <c r="P42" i="154"/>
  <c r="O42" i="154"/>
  <c r="N42" i="154"/>
  <c r="M42" i="154"/>
  <c r="J42" i="154"/>
  <c r="H42" i="154"/>
  <c r="E42" i="154"/>
  <c r="D42" i="154"/>
  <c r="AI41" i="154"/>
  <c r="AJ41" i="154" s="1"/>
  <c r="T41" i="154"/>
  <c r="X41" i="154" s="1"/>
  <c r="AI40" i="154"/>
  <c r="AJ40" i="154" s="1"/>
  <c r="T40" i="154"/>
  <c r="V40" i="154" s="1"/>
  <c r="AI39" i="154"/>
  <c r="AJ39" i="154" s="1"/>
  <c r="T39" i="154"/>
  <c r="O39" i="154"/>
  <c r="O36" i="154" s="1"/>
  <c r="AI38" i="154"/>
  <c r="AJ38" i="154" s="1"/>
  <c r="T38" i="154"/>
  <c r="Z38" i="154" s="1"/>
  <c r="AB38" i="154" s="1"/>
  <c r="AI37" i="154"/>
  <c r="AJ37" i="154" s="1"/>
  <c r="V37" i="154"/>
  <c r="U37" i="154"/>
  <c r="AI36" i="154"/>
  <c r="W36" i="154"/>
  <c r="R36" i="154"/>
  <c r="Q36" i="154"/>
  <c r="P36" i="154"/>
  <c r="N36" i="154"/>
  <c r="M36" i="154"/>
  <c r="J36" i="154"/>
  <c r="H36" i="154"/>
  <c r="E36" i="154"/>
  <c r="D36" i="154"/>
  <c r="AI35" i="154"/>
  <c r="S35" i="154"/>
  <c r="AI34" i="154"/>
  <c r="S34" i="154"/>
  <c r="T34" i="154" s="1"/>
  <c r="V34" i="154" s="1"/>
  <c r="AI33" i="154"/>
  <c r="AJ33" i="154" s="1"/>
  <c r="T33" i="154"/>
  <c r="X33" i="154" s="1"/>
  <c r="AI32" i="154"/>
  <c r="AJ32" i="154" s="1"/>
  <c r="T32" i="154"/>
  <c r="Z32" i="154" s="1"/>
  <c r="AB32" i="154" s="1"/>
  <c r="AI31" i="154"/>
  <c r="AJ31" i="154" s="1"/>
  <c r="T31" i="154"/>
  <c r="U31" i="154" s="1"/>
  <c r="AI30" i="154"/>
  <c r="S30" i="154"/>
  <c r="R30" i="154"/>
  <c r="AI29" i="154"/>
  <c r="S29" i="154"/>
  <c r="AI28" i="154"/>
  <c r="AJ28" i="154" s="1"/>
  <c r="T28" i="154"/>
  <c r="Z28" i="154" s="1"/>
  <c r="AB28" i="154" s="1"/>
  <c r="AI27" i="154"/>
  <c r="AJ27" i="154" s="1"/>
  <c r="T27" i="154"/>
  <c r="X27" i="154" s="1"/>
  <c r="AI26" i="154"/>
  <c r="W26" i="154"/>
  <c r="S26" i="154"/>
  <c r="R26" i="154"/>
  <c r="Q26" i="154"/>
  <c r="P26" i="154"/>
  <c r="O26" i="154"/>
  <c r="N26" i="154"/>
  <c r="M26" i="154"/>
  <c r="J26" i="154"/>
  <c r="H26" i="154"/>
  <c r="E26" i="154"/>
  <c r="D26" i="154"/>
  <c r="AI25" i="154"/>
  <c r="G25" i="154"/>
  <c r="F25" i="154"/>
  <c r="AI24" i="154"/>
  <c r="AI23" i="154"/>
  <c r="AI22" i="154"/>
  <c r="AI21" i="154"/>
  <c r="AJ21" i="154" s="1"/>
  <c r="T21" i="154"/>
  <c r="U21" i="154" s="1"/>
  <c r="AI20" i="154"/>
  <c r="AJ20" i="154" s="1"/>
  <c r="T20" i="154"/>
  <c r="X20" i="154" s="1"/>
  <c r="AI19" i="154"/>
  <c r="AJ19" i="154" s="1"/>
  <c r="T19" i="154"/>
  <c r="Z19" i="154" s="1"/>
  <c r="AB19" i="154" s="1"/>
  <c r="AI18" i="154"/>
  <c r="S18" i="154"/>
  <c r="AI17" i="154"/>
  <c r="W17" i="154"/>
  <c r="W16" i="154" s="1"/>
  <c r="W15" i="154" s="1"/>
  <c r="R17" i="154"/>
  <c r="R16" i="154" s="1"/>
  <c r="R15" i="154" s="1"/>
  <c r="Q17" i="154"/>
  <c r="Q16" i="154" s="1"/>
  <c r="Q15" i="154" s="1"/>
  <c r="P17" i="154"/>
  <c r="P16" i="154" s="1"/>
  <c r="P15" i="154" s="1"/>
  <c r="O17" i="154"/>
  <c r="O16" i="154" s="1"/>
  <c r="O15" i="154" s="1"/>
  <c r="N17" i="154"/>
  <c r="N16" i="154" s="1"/>
  <c r="N15" i="154" s="1"/>
  <c r="M17" i="154"/>
  <c r="M16" i="154" s="1"/>
  <c r="M15" i="154" s="1"/>
  <c r="J17" i="154"/>
  <c r="J16" i="154" s="1"/>
  <c r="J15" i="154" s="1"/>
  <c r="H17" i="154"/>
  <c r="H16" i="154" s="1"/>
  <c r="H15" i="154" s="1"/>
  <c r="E17" i="154"/>
  <c r="E16" i="154" s="1"/>
  <c r="E15" i="154" s="1"/>
  <c r="D17" i="154"/>
  <c r="D16" i="154" s="1"/>
  <c r="D15" i="154" s="1"/>
  <c r="AI16" i="154"/>
  <c r="AI15" i="154"/>
  <c r="AI14" i="154"/>
  <c r="S14" i="154"/>
  <c r="S13" i="154" s="1"/>
  <c r="S12" i="154" s="1"/>
  <c r="S11" i="154" s="1"/>
  <c r="W13" i="154"/>
  <c r="W12" i="154" s="1"/>
  <c r="W11" i="154" s="1"/>
  <c r="R13" i="154"/>
  <c r="R12" i="154" s="1"/>
  <c r="R11" i="154" s="1"/>
  <c r="Q13" i="154"/>
  <c r="Q12" i="154" s="1"/>
  <c r="Q11" i="154" s="1"/>
  <c r="P13" i="154"/>
  <c r="P12" i="154" s="1"/>
  <c r="P11" i="154" s="1"/>
  <c r="O13" i="154"/>
  <c r="N13" i="154"/>
  <c r="N12" i="154" s="1"/>
  <c r="M13" i="154"/>
  <c r="M12" i="154" s="1"/>
  <c r="M11" i="154" s="1"/>
  <c r="J13" i="154"/>
  <c r="J12" i="154" s="1"/>
  <c r="J11" i="154" s="1"/>
  <c r="H13" i="154"/>
  <c r="H12" i="154" s="1"/>
  <c r="H11" i="154" s="1"/>
  <c r="E13" i="154"/>
  <c r="E12" i="154" s="1"/>
  <c r="E11" i="154" s="1"/>
  <c r="D13" i="154"/>
  <c r="D12" i="154" s="1"/>
  <c r="D11" i="154" s="1"/>
  <c r="S8" i="154"/>
  <c r="R8" i="154"/>
  <c r="E114" i="154" l="1"/>
  <c r="N142" i="154"/>
  <c r="AJ682" i="154"/>
  <c r="X713" i="154"/>
  <c r="H917" i="154"/>
  <c r="H932" i="154"/>
  <c r="D171" i="154"/>
  <c r="V193" i="154"/>
  <c r="V267" i="154"/>
  <c r="P70" i="154"/>
  <c r="Z181" i="154"/>
  <c r="AB181" i="154" s="1"/>
  <c r="Z578" i="154"/>
  <c r="AB578" i="154" s="1"/>
  <c r="N681" i="154"/>
  <c r="O917" i="154"/>
  <c r="X289" i="154"/>
  <c r="AD490" i="154"/>
  <c r="V592" i="154"/>
  <c r="S650" i="154"/>
  <c r="Z696" i="154"/>
  <c r="AB696" i="154" s="1"/>
  <c r="AJ729" i="154"/>
  <c r="S867" i="154"/>
  <c r="S866" i="154" s="1"/>
  <c r="P892" i="154"/>
  <c r="Q142" i="154"/>
  <c r="X193" i="154"/>
  <c r="W223" i="154"/>
  <c r="Q780" i="154"/>
  <c r="T867" i="154"/>
  <c r="Z567" i="154"/>
  <c r="AB567" i="154" s="1"/>
  <c r="J70" i="154"/>
  <c r="V218" i="154"/>
  <c r="J460" i="154"/>
  <c r="U527" i="154"/>
  <c r="AA527" i="154" s="1"/>
  <c r="P536" i="154"/>
  <c r="U570" i="154"/>
  <c r="U585" i="154"/>
  <c r="V686" i="154"/>
  <c r="V720" i="154"/>
  <c r="S780" i="154"/>
  <c r="Z403" i="154"/>
  <c r="Z527" i="154"/>
  <c r="AB527" i="154" s="1"/>
  <c r="V570" i="154"/>
  <c r="Z585" i="154"/>
  <c r="AB585" i="154" s="1"/>
  <c r="V596" i="154"/>
  <c r="R693" i="154"/>
  <c r="Z720" i="154"/>
  <c r="AB720" i="154" s="1"/>
  <c r="X867" i="154"/>
  <c r="X866" i="154" s="1"/>
  <c r="U921" i="154"/>
  <c r="AD921" i="154" s="1"/>
  <c r="Z930" i="154"/>
  <c r="AB930" i="154" s="1"/>
  <c r="AJ34" i="154"/>
  <c r="N171" i="154"/>
  <c r="D114" i="154"/>
  <c r="R142" i="154"/>
  <c r="J10" i="154"/>
  <c r="X570" i="154"/>
  <c r="X596" i="154"/>
  <c r="W693" i="154"/>
  <c r="W780" i="154"/>
  <c r="AA867" i="154"/>
  <c r="AA866" i="154" s="1"/>
  <c r="Q932" i="154"/>
  <c r="U260" i="154"/>
  <c r="AA260" i="154" s="1"/>
  <c r="V369" i="154"/>
  <c r="Z780" i="154"/>
  <c r="AJ917" i="154"/>
  <c r="W932" i="154"/>
  <c r="AD203" i="154"/>
  <c r="V381" i="154"/>
  <c r="AJ711" i="154"/>
  <c r="N932" i="154"/>
  <c r="X381" i="154"/>
  <c r="M693" i="154"/>
  <c r="U701" i="154"/>
  <c r="AD701" i="154" s="1"/>
  <c r="M917" i="154"/>
  <c r="X923" i="154"/>
  <c r="G932" i="154"/>
  <c r="G916" i="154" s="1"/>
  <c r="Z34" i="154"/>
  <c r="AB34" i="154" s="1"/>
  <c r="U20" i="154"/>
  <c r="AD20" i="154" s="1"/>
  <c r="U242" i="154"/>
  <c r="AA242" i="154" s="1"/>
  <c r="Z375" i="154"/>
  <c r="AB375" i="154" s="1"/>
  <c r="AJ433" i="154"/>
  <c r="U447" i="154"/>
  <c r="U576" i="154"/>
  <c r="AD576" i="154" s="1"/>
  <c r="U603" i="154"/>
  <c r="Y603" i="154" s="1"/>
  <c r="U643" i="154"/>
  <c r="Z124" i="154"/>
  <c r="AB124" i="154" s="1"/>
  <c r="AJ485" i="154"/>
  <c r="Z611" i="154"/>
  <c r="AB611" i="154" s="1"/>
  <c r="X680" i="154"/>
  <c r="X679" i="154" s="1"/>
  <c r="X678" i="154" s="1"/>
  <c r="V504" i="154"/>
  <c r="X629" i="154"/>
  <c r="Q70" i="154"/>
  <c r="AJ150" i="154"/>
  <c r="U486" i="154"/>
  <c r="U492" i="154"/>
  <c r="R536" i="154"/>
  <c r="X635" i="154"/>
  <c r="X644" i="154"/>
  <c r="R70" i="154"/>
  <c r="N70" i="154"/>
  <c r="P84" i="154"/>
  <c r="P83" i="154" s="1"/>
  <c r="H114" i="154"/>
  <c r="AJ126" i="154"/>
  <c r="R190" i="154"/>
  <c r="V289" i="154"/>
  <c r="J330" i="154"/>
  <c r="X361" i="154"/>
  <c r="U499" i="154"/>
  <c r="Z706" i="154"/>
  <c r="R867" i="154"/>
  <c r="R866" i="154" s="1"/>
  <c r="Z686" i="154"/>
  <c r="AB686" i="154" s="1"/>
  <c r="AA727" i="154"/>
  <c r="AA726" i="154" s="1"/>
  <c r="AA725" i="154" s="1"/>
  <c r="AA724" i="154" s="1"/>
  <c r="AA723" i="154" s="1"/>
  <c r="R918" i="154"/>
  <c r="O932" i="154"/>
  <c r="Z704" i="154"/>
  <c r="AB704" i="154" s="1"/>
  <c r="X707" i="154"/>
  <c r="X706" i="154" s="1"/>
  <c r="U867" i="154"/>
  <c r="U866" i="154" s="1"/>
  <c r="U922" i="154"/>
  <c r="AD922" i="154" s="1"/>
  <c r="U443" i="154"/>
  <c r="X538" i="154"/>
  <c r="Z561" i="154"/>
  <c r="AB561" i="154" s="1"/>
  <c r="U600" i="154"/>
  <c r="AD600" i="154" s="1"/>
  <c r="AJ95" i="154"/>
  <c r="AJ145" i="154"/>
  <c r="Z443" i="154"/>
  <c r="AB443" i="154" s="1"/>
  <c r="V466" i="154"/>
  <c r="V528" i="154"/>
  <c r="AA538" i="154"/>
  <c r="U637" i="154"/>
  <c r="T8" i="154"/>
  <c r="V76" i="154"/>
  <c r="AJ153" i="154"/>
  <c r="U198" i="154"/>
  <c r="AD198" i="154" s="1"/>
  <c r="V255" i="154"/>
  <c r="P330" i="154"/>
  <c r="M432" i="154"/>
  <c r="Z515" i="154"/>
  <c r="AB515" i="154" s="1"/>
  <c r="Z528" i="154"/>
  <c r="AB528" i="154" s="1"/>
  <c r="V574" i="154"/>
  <c r="U619" i="154"/>
  <c r="Y619" i="154" s="1"/>
  <c r="Z647" i="154"/>
  <c r="AB647" i="154" s="1"/>
  <c r="X76" i="154"/>
  <c r="P114" i="154"/>
  <c r="X438" i="154"/>
  <c r="Z469" i="154"/>
  <c r="AB469" i="154" s="1"/>
  <c r="V523" i="154"/>
  <c r="AA528" i="154"/>
  <c r="X562" i="154"/>
  <c r="X619" i="154"/>
  <c r="Q25" i="154"/>
  <c r="Q24" i="154" s="1"/>
  <c r="Q23" i="154" s="1"/>
  <c r="E70" i="154"/>
  <c r="U220" i="154"/>
  <c r="AD220" i="154" s="1"/>
  <c r="V328" i="154"/>
  <c r="V403" i="154"/>
  <c r="Z438" i="154"/>
  <c r="AB438" i="154" s="1"/>
  <c r="U633" i="154"/>
  <c r="Y633" i="154" s="1"/>
  <c r="T679" i="154"/>
  <c r="T678" i="154" s="1"/>
  <c r="P693" i="154"/>
  <c r="X722" i="154"/>
  <c r="Y867" i="154"/>
  <c r="Y866" i="154" s="1"/>
  <c r="Z922" i="154"/>
  <c r="V490" i="154"/>
  <c r="Z523" i="154"/>
  <c r="AB523" i="154" s="1"/>
  <c r="R114" i="154"/>
  <c r="AJ122" i="154"/>
  <c r="R134" i="154"/>
  <c r="R133" i="154" s="1"/>
  <c r="V181" i="154"/>
  <c r="U193" i="154"/>
  <c r="Y193" i="154" s="1"/>
  <c r="X328" i="154"/>
  <c r="X403" i="154"/>
  <c r="AA490" i="154"/>
  <c r="E536" i="154"/>
  <c r="U680" i="154"/>
  <c r="AA680" i="154" s="1"/>
  <c r="AA679" i="154" s="1"/>
  <c r="AA678" i="154" s="1"/>
  <c r="F892" i="154"/>
  <c r="F891" i="154" s="1"/>
  <c r="AJ860" i="154"/>
  <c r="AB867" i="154"/>
  <c r="AB866" i="154" s="1"/>
  <c r="Z671" i="154"/>
  <c r="AB680" i="154"/>
  <c r="AB679" i="154" s="1"/>
  <c r="AB678" i="154" s="1"/>
  <c r="AA701" i="154"/>
  <c r="P891" i="154"/>
  <c r="M681" i="154"/>
  <c r="V905" i="154"/>
  <c r="T99" i="154"/>
  <c r="Z212" i="154"/>
  <c r="AB212" i="154" s="1"/>
  <c r="M25" i="154"/>
  <c r="M24" i="154" s="1"/>
  <c r="Z246" i="154"/>
  <c r="AB246" i="154" s="1"/>
  <c r="V253" i="154"/>
  <c r="U327" i="154"/>
  <c r="T467" i="154"/>
  <c r="U467" i="154" s="1"/>
  <c r="H461" i="154"/>
  <c r="Z635" i="154"/>
  <c r="AB635" i="154" s="1"/>
  <c r="W650" i="154"/>
  <c r="O780" i="154"/>
  <c r="AB780" i="154"/>
  <c r="T14" i="154"/>
  <c r="AJ46" i="154"/>
  <c r="X496" i="154"/>
  <c r="Z503" i="154"/>
  <c r="AB503" i="154" s="1"/>
  <c r="AJ113" i="154"/>
  <c r="V261" i="154"/>
  <c r="U428" i="154"/>
  <c r="AJ430" i="154"/>
  <c r="U671" i="154"/>
  <c r="U670" i="154" s="1"/>
  <c r="U669" i="154" s="1"/>
  <c r="AJ694" i="154"/>
  <c r="AJ168" i="154"/>
  <c r="X428" i="154"/>
  <c r="Q536" i="154"/>
  <c r="Q483" i="154" s="1"/>
  <c r="V635" i="154"/>
  <c r="AJ117" i="154"/>
  <c r="U253" i="154"/>
  <c r="AA253" i="154" s="1"/>
  <c r="Z428" i="154"/>
  <c r="X504" i="154"/>
  <c r="Z33" i="154"/>
  <c r="AB33" i="154" s="1"/>
  <c r="W70" i="154"/>
  <c r="O84" i="154"/>
  <c r="O83" i="154" s="1"/>
  <c r="AJ107" i="154"/>
  <c r="Z253" i="154"/>
  <c r="AB253" i="154" s="1"/>
  <c r="E476" i="154"/>
  <c r="W536" i="154"/>
  <c r="AJ653" i="154"/>
  <c r="P780" i="154"/>
  <c r="Q917" i="154"/>
  <c r="X219" i="154"/>
  <c r="Y582" i="154"/>
  <c r="AA582" i="154"/>
  <c r="Z125" i="154"/>
  <c r="AB125" i="154" s="1"/>
  <c r="U125" i="154"/>
  <c r="AA125" i="154" s="1"/>
  <c r="Y566" i="154"/>
  <c r="AA566" i="154"/>
  <c r="V509" i="154"/>
  <c r="U509" i="154"/>
  <c r="Z159" i="154"/>
  <c r="AB159" i="154" s="1"/>
  <c r="U246" i="154"/>
  <c r="AA246" i="154" s="1"/>
  <c r="Z252" i="154"/>
  <c r="AB252" i="154" s="1"/>
  <c r="Y260" i="154"/>
  <c r="V273" i="154"/>
  <c r="Z380" i="154"/>
  <c r="AB380" i="154" s="1"/>
  <c r="Y387" i="154"/>
  <c r="V404" i="154"/>
  <c r="U533" i="154"/>
  <c r="E25" i="154"/>
  <c r="E24" i="154" s="1"/>
  <c r="E23" i="154" s="1"/>
  <c r="AJ60" i="154"/>
  <c r="Z112" i="154"/>
  <c r="AB112" i="154" s="1"/>
  <c r="U160" i="154"/>
  <c r="X160" i="154"/>
  <c r="V160" i="154"/>
  <c r="Q171" i="154"/>
  <c r="Y179" i="154"/>
  <c r="X246" i="154"/>
  <c r="H223" i="154"/>
  <c r="Z369" i="154"/>
  <c r="AB369" i="154" s="1"/>
  <c r="X369" i="154"/>
  <c r="U377" i="154"/>
  <c r="AA377" i="154" s="1"/>
  <c r="Z377" i="154"/>
  <c r="AB377" i="154" s="1"/>
  <c r="X377" i="154"/>
  <c r="Z456" i="154"/>
  <c r="AB456" i="154" s="1"/>
  <c r="R462" i="154"/>
  <c r="Z493" i="154"/>
  <c r="AB493" i="154" s="1"/>
  <c r="X493" i="154"/>
  <c r="V493" i="154"/>
  <c r="X533" i="154"/>
  <c r="O536" i="154"/>
  <c r="U559" i="154"/>
  <c r="V559" i="154"/>
  <c r="Z608" i="154"/>
  <c r="AB608" i="154" s="1"/>
  <c r="U608" i="154"/>
  <c r="E84" i="154"/>
  <c r="E83" i="154" s="1"/>
  <c r="E82" i="154" s="1"/>
  <c r="AJ99" i="154"/>
  <c r="J142" i="154"/>
  <c r="D445" i="154"/>
  <c r="D432" i="154" s="1"/>
  <c r="E462" i="154"/>
  <c r="V470" i="154"/>
  <c r="Z470" i="154"/>
  <c r="AB470" i="154" s="1"/>
  <c r="Y493" i="154"/>
  <c r="Z533" i="154"/>
  <c r="AB533" i="154" s="1"/>
  <c r="Z559" i="154"/>
  <c r="AB559" i="154" s="1"/>
  <c r="U597" i="154"/>
  <c r="V608" i="154"/>
  <c r="Z621" i="154"/>
  <c r="AB621" i="154" s="1"/>
  <c r="U621" i="154"/>
  <c r="AA621" i="154" s="1"/>
  <c r="X633" i="154"/>
  <c r="Z633" i="154"/>
  <c r="AB633" i="154" s="1"/>
  <c r="T709" i="154"/>
  <c r="T708" i="154" s="1"/>
  <c r="X710" i="154"/>
  <c r="X709" i="154" s="1"/>
  <c r="X708" i="154" s="1"/>
  <c r="Y470" i="154"/>
  <c r="AA470" i="154"/>
  <c r="X608" i="154"/>
  <c r="U613" i="154"/>
  <c r="AA613" i="154" s="1"/>
  <c r="Z613" i="154"/>
  <c r="AB613" i="154" s="1"/>
  <c r="V698" i="154"/>
  <c r="U698" i="154"/>
  <c r="Z698" i="154"/>
  <c r="AB698" i="154" s="1"/>
  <c r="X698" i="154"/>
  <c r="J190" i="154"/>
  <c r="V220" i="154"/>
  <c r="X262" i="154"/>
  <c r="V312" i="154"/>
  <c r="AB315" i="154"/>
  <c r="H330" i="154"/>
  <c r="U392" i="154"/>
  <c r="V439" i="154"/>
  <c r="V444" i="154"/>
  <c r="M460" i="154"/>
  <c r="U518" i="154"/>
  <c r="X518" i="154"/>
  <c r="U543" i="154"/>
  <c r="V613" i="154"/>
  <c r="Z20" i="154"/>
  <c r="AB20" i="154" s="1"/>
  <c r="M171" i="154"/>
  <c r="M167" i="154" s="1"/>
  <c r="M166" i="154" s="1"/>
  <c r="X220" i="154"/>
  <c r="Z262" i="154"/>
  <c r="AB262" i="154" s="1"/>
  <c r="X269" i="154"/>
  <c r="Z269" i="154"/>
  <c r="AB269" i="154" s="1"/>
  <c r="U343" i="154"/>
  <c r="Y343" i="154" s="1"/>
  <c r="X343" i="154"/>
  <c r="V343" i="154"/>
  <c r="AJ384" i="154"/>
  <c r="V392" i="154"/>
  <c r="P410" i="154"/>
  <c r="U458" i="154"/>
  <c r="AA458" i="154" s="1"/>
  <c r="X512" i="154"/>
  <c r="U512" i="154"/>
  <c r="AA512" i="154" s="1"/>
  <c r="V543" i="154"/>
  <c r="V609" i="154"/>
  <c r="Z609" i="154"/>
  <c r="AB609" i="154" s="1"/>
  <c r="X613" i="154"/>
  <c r="V622" i="154"/>
  <c r="Z648" i="154"/>
  <c r="AB648" i="154" s="1"/>
  <c r="V648" i="154"/>
  <c r="U158" i="154"/>
  <c r="P10" i="154"/>
  <c r="X31" i="154"/>
  <c r="X158" i="154"/>
  <c r="U269" i="154"/>
  <c r="U378" i="154"/>
  <c r="AD378" i="154" s="1"/>
  <c r="E410" i="154"/>
  <c r="Z512" i="154"/>
  <c r="AB512" i="154" s="1"/>
  <c r="X525" i="154"/>
  <c r="U594" i="154"/>
  <c r="X609" i="154"/>
  <c r="X639" i="154"/>
  <c r="Z31" i="154"/>
  <c r="AB31" i="154" s="1"/>
  <c r="S71" i="154"/>
  <c r="S70" i="154" s="1"/>
  <c r="V124" i="154"/>
  <c r="T131" i="154"/>
  <c r="U140" i="154"/>
  <c r="Z158" i="154"/>
  <c r="AB158" i="154" s="1"/>
  <c r="R223" i="154"/>
  <c r="V269" i="154"/>
  <c r="Z343" i="154"/>
  <c r="AB343" i="154" s="1"/>
  <c r="U361" i="154"/>
  <c r="AA361" i="154" s="1"/>
  <c r="V385" i="154"/>
  <c r="U400" i="154"/>
  <c r="V435" i="154"/>
  <c r="X458" i="154"/>
  <c r="T485" i="154"/>
  <c r="V485" i="154" s="1"/>
  <c r="Z519" i="154"/>
  <c r="AB519" i="154" s="1"/>
  <c r="AA525" i="154"/>
  <c r="AJ642" i="154"/>
  <c r="AJ30" i="154"/>
  <c r="U100" i="154"/>
  <c r="Y100" i="154" s="1"/>
  <c r="AJ65" i="154"/>
  <c r="H84" i="154"/>
  <c r="H83" i="154" s="1"/>
  <c r="H82" i="154" s="1"/>
  <c r="V100" i="154"/>
  <c r="AJ72" i="154"/>
  <c r="V75" i="154"/>
  <c r="J84" i="154"/>
  <c r="J83" i="154" s="1"/>
  <c r="N84" i="154"/>
  <c r="N83" i="154" s="1"/>
  <c r="N82" i="154" s="1"/>
  <c r="U124" i="154"/>
  <c r="AA124" i="154" s="1"/>
  <c r="P142" i="154"/>
  <c r="N190" i="154"/>
  <c r="E223" i="154"/>
  <c r="U435" i="154"/>
  <c r="V458" i="154"/>
  <c r="X464" i="154"/>
  <c r="V464" i="154"/>
  <c r="AJ537" i="154"/>
  <c r="Z543" i="154"/>
  <c r="AB543" i="154" s="1"/>
  <c r="T42" i="154"/>
  <c r="V42" i="154" s="1"/>
  <c r="AJ131" i="154"/>
  <c r="V140" i="154"/>
  <c r="P190" i="154"/>
  <c r="AJ216" i="154"/>
  <c r="V242" i="154"/>
  <c r="Z242" i="154"/>
  <c r="AB242" i="154" s="1"/>
  <c r="V361" i="154"/>
  <c r="Z371" i="154"/>
  <c r="AB371" i="154" s="1"/>
  <c r="X385" i="154"/>
  <c r="V400" i="154"/>
  <c r="X435" i="154"/>
  <c r="E472" i="154"/>
  <c r="Z495" i="154"/>
  <c r="AB495" i="154" s="1"/>
  <c r="U561" i="154"/>
  <c r="AA561" i="154" s="1"/>
  <c r="U567" i="154"/>
  <c r="X567" i="154"/>
  <c r="Z571" i="154"/>
  <c r="AB571" i="154" s="1"/>
  <c r="X571" i="154"/>
  <c r="X623" i="154"/>
  <c r="AJ670" i="154"/>
  <c r="Q190" i="154"/>
  <c r="Q189" i="154" s="1"/>
  <c r="Q188" i="154" s="1"/>
  <c r="Z250" i="154"/>
  <c r="AB250" i="154" s="1"/>
  <c r="V250" i="154"/>
  <c r="Z454" i="154"/>
  <c r="AB454" i="154" s="1"/>
  <c r="X454" i="154"/>
  <c r="U502" i="154"/>
  <c r="X502" i="154"/>
  <c r="V54" i="154"/>
  <c r="U54" i="154"/>
  <c r="AA54" i="154" s="1"/>
  <c r="W142" i="154"/>
  <c r="W134" i="154" s="1"/>
  <c r="W133" i="154" s="1"/>
  <c r="U163" i="154"/>
  <c r="Z217" i="154"/>
  <c r="AB217" i="154" s="1"/>
  <c r="U288" i="154"/>
  <c r="AA288" i="154" s="1"/>
  <c r="U368" i="154"/>
  <c r="Y368" i="154" s="1"/>
  <c r="U454" i="154"/>
  <c r="U550" i="154"/>
  <c r="X557" i="154"/>
  <c r="Z557" i="154"/>
  <c r="AB557" i="154" s="1"/>
  <c r="V589" i="154"/>
  <c r="U589" i="154"/>
  <c r="AD589" i="154" s="1"/>
  <c r="H70" i="154"/>
  <c r="U94" i="154"/>
  <c r="AJ143" i="154"/>
  <c r="U159" i="154"/>
  <c r="Y159" i="154" s="1"/>
  <c r="Z163" i="154"/>
  <c r="AB163" i="154" s="1"/>
  <c r="AJ177" i="154"/>
  <c r="D190" i="154"/>
  <c r="V270" i="154"/>
  <c r="V288" i="154"/>
  <c r="X293" i="154"/>
  <c r="V368" i="154"/>
  <c r="U380" i="154"/>
  <c r="V436" i="154"/>
  <c r="V448" i="154"/>
  <c r="Z448" i="154"/>
  <c r="AB448" i="154" s="1"/>
  <c r="X448" i="154"/>
  <c r="X492" i="154"/>
  <c r="V492" i="154"/>
  <c r="AA532" i="154"/>
  <c r="U557" i="154"/>
  <c r="AD557" i="154" s="1"/>
  <c r="U611" i="154"/>
  <c r="Z624" i="154"/>
  <c r="AB624" i="154" s="1"/>
  <c r="AJ14" i="154"/>
  <c r="AJ54" i="154"/>
  <c r="V94" i="154"/>
  <c r="V159" i="154"/>
  <c r="X288" i="154"/>
  <c r="X368" i="154"/>
  <c r="V380" i="154"/>
  <c r="N432" i="154"/>
  <c r="U448" i="154"/>
  <c r="AD448" i="154" s="1"/>
  <c r="V557" i="154"/>
  <c r="V611" i="154"/>
  <c r="X260" i="154"/>
  <c r="AJ26" i="154"/>
  <c r="V77" i="154"/>
  <c r="Z94" i="154"/>
  <c r="AB94" i="154" s="1"/>
  <c r="O114" i="154"/>
  <c r="J258" i="154"/>
  <c r="U329" i="154"/>
  <c r="AA329" i="154" s="1"/>
  <c r="V387" i="154"/>
  <c r="U44" i="154"/>
  <c r="AA44" i="154" s="1"/>
  <c r="V104" i="154"/>
  <c r="U112" i="154"/>
  <c r="Y112" i="154" s="1"/>
  <c r="D136" i="154"/>
  <c r="D135" i="154" s="1"/>
  <c r="O25" i="154"/>
  <c r="O24" i="154" s="1"/>
  <c r="M70" i="154"/>
  <c r="M23" i="154" s="1"/>
  <c r="X164" i="154"/>
  <c r="Z164" i="154"/>
  <c r="AB164" i="154" s="1"/>
  <c r="V164" i="154"/>
  <c r="U546" i="154"/>
  <c r="V546" i="154"/>
  <c r="AJ55" i="154"/>
  <c r="AJ87" i="154"/>
  <c r="W84" i="154"/>
  <c r="W83" i="154" s="1"/>
  <c r="W82" i="154" s="1"/>
  <c r="U408" i="154"/>
  <c r="X408" i="154"/>
  <c r="V408" i="154"/>
  <c r="X466" i="154"/>
  <c r="X509" i="154"/>
  <c r="M536" i="154"/>
  <c r="X546" i="154"/>
  <c r="U568" i="154"/>
  <c r="Y568" i="154" s="1"/>
  <c r="U584" i="154"/>
  <c r="Y596" i="154"/>
  <c r="U607" i="154"/>
  <c r="AD607" i="154" s="1"/>
  <c r="Z619" i="154"/>
  <c r="AB619" i="154" s="1"/>
  <c r="O681" i="154"/>
  <c r="D10" i="154"/>
  <c r="D25" i="154"/>
  <c r="D24" i="154" s="1"/>
  <c r="Z44" i="154"/>
  <c r="AB44" i="154" s="1"/>
  <c r="V80" i="154"/>
  <c r="V112" i="154"/>
  <c r="AJ125" i="154"/>
  <c r="D142" i="154"/>
  <c r="V179" i="154"/>
  <c r="U311" i="154"/>
  <c r="Y311" i="154" s="1"/>
  <c r="Z408" i="154"/>
  <c r="AB408" i="154" s="1"/>
  <c r="U456" i="154"/>
  <c r="Y456" i="154" s="1"/>
  <c r="Z509" i="154"/>
  <c r="AB509" i="154" s="1"/>
  <c r="N536" i="154"/>
  <c r="Z546" i="154"/>
  <c r="AB546" i="154" s="1"/>
  <c r="U558" i="154"/>
  <c r="AA596" i="154"/>
  <c r="Z601" i="154"/>
  <c r="AB601" i="154" s="1"/>
  <c r="Z607" i="154"/>
  <c r="AB607" i="154" s="1"/>
  <c r="S693" i="154"/>
  <c r="AJ693" i="154" s="1"/>
  <c r="V729" i="154"/>
  <c r="AJ818" i="154"/>
  <c r="AJ819" i="154"/>
  <c r="V920" i="154"/>
  <c r="AJ691" i="154"/>
  <c r="X920" i="154"/>
  <c r="J681" i="154"/>
  <c r="V699" i="154"/>
  <c r="AJ719" i="154"/>
  <c r="M780" i="154"/>
  <c r="G895" i="154"/>
  <c r="U686" i="154"/>
  <c r="AD818" i="154"/>
  <c r="N892" i="154"/>
  <c r="U923" i="154"/>
  <c r="AD923" i="154" s="1"/>
  <c r="T711" i="154"/>
  <c r="V896" i="154"/>
  <c r="Z896" i="154"/>
  <c r="AB896" i="154" s="1"/>
  <c r="E917" i="154"/>
  <c r="E916" i="154" s="1"/>
  <c r="D932" i="154"/>
  <c r="Q890" i="154"/>
  <c r="O916" i="154"/>
  <c r="Q681" i="154"/>
  <c r="J693" i="154"/>
  <c r="S727" i="154"/>
  <c r="S726" i="154" s="1"/>
  <c r="S725" i="154" s="1"/>
  <c r="S724" i="154" s="1"/>
  <c r="S723" i="154" s="1"/>
  <c r="R780" i="154"/>
  <c r="R727" i="154" s="1"/>
  <c r="R726" i="154" s="1"/>
  <c r="R725" i="154" s="1"/>
  <c r="R724" i="154" s="1"/>
  <c r="R723" i="154" s="1"/>
  <c r="F932" i="154"/>
  <c r="M650" i="154"/>
  <c r="S890" i="154"/>
  <c r="S889" i="154" s="1"/>
  <c r="U937" i="154"/>
  <c r="AD937" i="154" s="1"/>
  <c r="V701" i="154"/>
  <c r="R917" i="154"/>
  <c r="D917" i="154"/>
  <c r="M84" i="154"/>
  <c r="M83" i="154" s="1"/>
  <c r="AJ92" i="154"/>
  <c r="AB97" i="154"/>
  <c r="M142" i="154"/>
  <c r="AJ258" i="154"/>
  <c r="P432" i="154"/>
  <c r="R650" i="154"/>
  <c r="R483" i="154" s="1"/>
  <c r="U76" i="154"/>
  <c r="AD76" i="154" s="1"/>
  <c r="AJ123" i="154"/>
  <c r="X157" i="154"/>
  <c r="U207" i="154"/>
  <c r="AD207" i="154" s="1"/>
  <c r="AJ287" i="154"/>
  <c r="R432" i="154"/>
  <c r="U504" i="154"/>
  <c r="AA504" i="154" s="1"/>
  <c r="X578" i="154"/>
  <c r="AJ676" i="154"/>
  <c r="Y701" i="154"/>
  <c r="U780" i="154"/>
  <c r="U727" i="154" s="1"/>
  <c r="Z867" i="154"/>
  <c r="Z866" i="154" s="1"/>
  <c r="X905" i="154"/>
  <c r="T914" i="154"/>
  <c r="W917" i="154"/>
  <c r="W916" i="154" s="1"/>
  <c r="V680" i="154"/>
  <c r="P727" i="154"/>
  <c r="X780" i="154"/>
  <c r="V861" i="154"/>
  <c r="U900" i="154"/>
  <c r="V930" i="154"/>
  <c r="T56" i="154"/>
  <c r="V56" i="154" s="1"/>
  <c r="V182" i="154"/>
  <c r="AJ244" i="154"/>
  <c r="X306" i="154"/>
  <c r="Z304" i="154"/>
  <c r="AB304" i="154" s="1"/>
  <c r="V282" i="154"/>
  <c r="X282" i="154"/>
  <c r="U281" i="154"/>
  <c r="X300" i="154"/>
  <c r="X298" i="154"/>
  <c r="U276" i="154"/>
  <c r="AA276" i="154" s="1"/>
  <c r="U296" i="154"/>
  <c r="AA296" i="154" s="1"/>
  <c r="X207" i="154"/>
  <c r="V206" i="154"/>
  <c r="X206" i="154"/>
  <c r="Z215" i="154"/>
  <c r="AB215" i="154" s="1"/>
  <c r="V215" i="154"/>
  <c r="Z208" i="154"/>
  <c r="AB208" i="154" s="1"/>
  <c r="AD208" i="154"/>
  <c r="R410" i="154"/>
  <c r="AJ103" i="154"/>
  <c r="Z478" i="154"/>
  <c r="AB478" i="154" s="1"/>
  <c r="AJ476" i="154"/>
  <c r="U477" i="154"/>
  <c r="AD477" i="154" s="1"/>
  <c r="AJ918" i="154"/>
  <c r="Z466" i="154"/>
  <c r="AB466" i="154" s="1"/>
  <c r="Z464" i="154"/>
  <c r="AB464" i="154" s="1"/>
  <c r="U464" i="154"/>
  <c r="S461" i="154"/>
  <c r="AJ461" i="154" s="1"/>
  <c r="U315" i="154"/>
  <c r="AA315" i="154" s="1"/>
  <c r="V317" i="154"/>
  <c r="V323" i="154"/>
  <c r="X323" i="154"/>
  <c r="AD323" i="154"/>
  <c r="Z310" i="154"/>
  <c r="AB310" i="154" s="1"/>
  <c r="U310" i="154"/>
  <c r="AA310" i="154" s="1"/>
  <c r="V310" i="154"/>
  <c r="X296" i="154"/>
  <c r="V299" i="154"/>
  <c r="V305" i="154"/>
  <c r="V297" i="154"/>
  <c r="Z282" i="154"/>
  <c r="AB282" i="154" s="1"/>
  <c r="AA283" i="154"/>
  <c r="V274" i="154"/>
  <c r="Z276" i="154"/>
  <c r="AB276" i="154" s="1"/>
  <c r="X279" i="154"/>
  <c r="AD276" i="154"/>
  <c r="V232" i="154"/>
  <c r="U235" i="154"/>
  <c r="AD235" i="154" s="1"/>
  <c r="Z232" i="154"/>
  <c r="AB232" i="154" s="1"/>
  <c r="X235" i="154"/>
  <c r="Z235" i="154"/>
  <c r="AB235" i="154" s="1"/>
  <c r="V231" i="154"/>
  <c r="V236" i="154"/>
  <c r="AJ472" i="154"/>
  <c r="S460" i="154"/>
  <c r="AJ460" i="154" s="1"/>
  <c r="X475" i="154"/>
  <c r="AJ89" i="154"/>
  <c r="AJ780" i="154"/>
  <c r="AJ708" i="154"/>
  <c r="AJ855" i="154"/>
  <c r="AJ118" i="154"/>
  <c r="AJ678" i="154"/>
  <c r="AJ373" i="154"/>
  <c r="AJ830" i="154"/>
  <c r="X40" i="154"/>
  <c r="Z40" i="154"/>
  <c r="AB40" i="154" s="1"/>
  <c r="V63" i="154"/>
  <c r="X63" i="154"/>
  <c r="U61" i="154"/>
  <c r="AA61" i="154" s="1"/>
  <c r="X61" i="154"/>
  <c r="U28" i="154"/>
  <c r="Y28" i="154" s="1"/>
  <c r="U27" i="154"/>
  <c r="AD27" i="154" s="1"/>
  <c r="V27" i="154"/>
  <c r="U91" i="154"/>
  <c r="AJ427" i="154"/>
  <c r="AJ411" i="154"/>
  <c r="X413" i="154"/>
  <c r="Z413" i="154"/>
  <c r="AB413" i="154" s="1"/>
  <c r="V421" i="154"/>
  <c r="AJ415" i="154"/>
  <c r="AJ419" i="154"/>
  <c r="U173" i="154"/>
  <c r="AD173" i="154" s="1"/>
  <c r="V173" i="154"/>
  <c r="X173" i="154"/>
  <c r="X139" i="154"/>
  <c r="X51" i="154"/>
  <c r="Z51" i="154"/>
  <c r="AB51" i="154" s="1"/>
  <c r="V50" i="154"/>
  <c r="U49" i="154"/>
  <c r="AA49" i="154" s="1"/>
  <c r="X49" i="154"/>
  <c r="Z49" i="154"/>
  <c r="AB49" i="154" s="1"/>
  <c r="U47" i="154"/>
  <c r="Y47" i="154" s="1"/>
  <c r="X47" i="154"/>
  <c r="X347" i="154"/>
  <c r="V356" i="154"/>
  <c r="X356" i="154"/>
  <c r="X357" i="154"/>
  <c r="U347" i="154"/>
  <c r="AA347" i="154" s="1"/>
  <c r="AJ345" i="154"/>
  <c r="X332" i="154"/>
  <c r="X338" i="154"/>
  <c r="U108" i="154"/>
  <c r="AD108" i="154" s="1"/>
  <c r="T107" i="154"/>
  <c r="V107" i="154" s="1"/>
  <c r="U86" i="154"/>
  <c r="AA86" i="154" s="1"/>
  <c r="U444" i="154"/>
  <c r="AA444" i="154" s="1"/>
  <c r="AJ914" i="154"/>
  <c r="V915" i="154"/>
  <c r="X915" i="154"/>
  <c r="X914" i="154" s="1"/>
  <c r="X913" i="154" s="1"/>
  <c r="U919" i="154"/>
  <c r="X919" i="154"/>
  <c r="AJ924" i="154"/>
  <c r="U904" i="154"/>
  <c r="AA904" i="154" s="1"/>
  <c r="V904" i="154"/>
  <c r="X904" i="154"/>
  <c r="U898" i="154"/>
  <c r="V898" i="154"/>
  <c r="Z898" i="154"/>
  <c r="AB898" i="154" s="1"/>
  <c r="AJ895" i="154"/>
  <c r="U896" i="154"/>
  <c r="V894" i="154"/>
  <c r="X894" i="154"/>
  <c r="X893" i="154" s="1"/>
  <c r="Y894" i="154"/>
  <c r="Y893" i="154" s="1"/>
  <c r="AA894" i="154"/>
  <c r="AA893" i="154" s="1"/>
  <c r="T893" i="154"/>
  <c r="AJ891" i="154"/>
  <c r="AJ910" i="154"/>
  <c r="AJ909" i="154"/>
  <c r="U935" i="154"/>
  <c r="AA935" i="154" s="1"/>
  <c r="AJ933" i="154"/>
  <c r="AD21" i="154"/>
  <c r="AA21" i="154"/>
  <c r="Y21" i="154"/>
  <c r="X319" i="154"/>
  <c r="V319" i="154"/>
  <c r="Z319" i="154"/>
  <c r="AB319" i="154" s="1"/>
  <c r="U319" i="154"/>
  <c r="AA319" i="154" s="1"/>
  <c r="X21" i="154"/>
  <c r="Z21" i="154"/>
  <c r="AB21" i="154" s="1"/>
  <c r="V21" i="154"/>
  <c r="R10" i="154"/>
  <c r="Z67" i="154"/>
  <c r="AB67" i="154" s="1"/>
  <c r="X67" i="154"/>
  <c r="V67" i="154"/>
  <c r="X127" i="154"/>
  <c r="Z127" i="154"/>
  <c r="AB127" i="154" s="1"/>
  <c r="V127" i="154"/>
  <c r="U127" i="154"/>
  <c r="AA127" i="154" s="1"/>
  <c r="AD67" i="154"/>
  <c r="AA67" i="154"/>
  <c r="Z123" i="154"/>
  <c r="AB123" i="154" s="1"/>
  <c r="U123" i="154"/>
  <c r="E10" i="154"/>
  <c r="T73" i="154"/>
  <c r="Z225" i="154"/>
  <c r="X225" i="154"/>
  <c r="V225" i="154"/>
  <c r="U225" i="154"/>
  <c r="AA225" i="154" s="1"/>
  <c r="AA27" i="154"/>
  <c r="Y27" i="154"/>
  <c r="X197" i="154"/>
  <c r="V197" i="154"/>
  <c r="U197" i="154"/>
  <c r="Z197" i="154"/>
  <c r="AB197" i="154" s="1"/>
  <c r="V95" i="154"/>
  <c r="Z95" i="154"/>
  <c r="AB95" i="154" s="1"/>
  <c r="U95" i="154"/>
  <c r="Y95" i="154" s="1"/>
  <c r="X62" i="154"/>
  <c r="V62" i="154"/>
  <c r="AD163" i="154"/>
  <c r="Y163" i="154"/>
  <c r="AA91" i="154"/>
  <c r="AD91" i="154"/>
  <c r="V99" i="154"/>
  <c r="X99" i="154"/>
  <c r="U99" i="154"/>
  <c r="AA99" i="154" s="1"/>
  <c r="AJ56" i="154"/>
  <c r="T65" i="154"/>
  <c r="V65" i="154" s="1"/>
  <c r="V66" i="154"/>
  <c r="Y94" i="154"/>
  <c r="AA94" i="154"/>
  <c r="Z109" i="154"/>
  <c r="AB109" i="154" s="1"/>
  <c r="V109" i="154"/>
  <c r="V170" i="154"/>
  <c r="Z170" i="154"/>
  <c r="AB170" i="154" s="1"/>
  <c r="X278" i="154"/>
  <c r="V278" i="154"/>
  <c r="U278" i="154"/>
  <c r="AA278" i="154" s="1"/>
  <c r="Z333" i="154"/>
  <c r="AB333" i="154" s="1"/>
  <c r="X333" i="154"/>
  <c r="V333" i="154"/>
  <c r="U333" i="154"/>
  <c r="AD333" i="154" s="1"/>
  <c r="Z391" i="154"/>
  <c r="AB391" i="154" s="1"/>
  <c r="X391" i="154"/>
  <c r="V391" i="154"/>
  <c r="U391" i="154"/>
  <c r="U33" i="154"/>
  <c r="AD33" i="154" s="1"/>
  <c r="X44" i="154"/>
  <c r="V51" i="154"/>
  <c r="X54" i="154"/>
  <c r="V102" i="154"/>
  <c r="U102" i="154"/>
  <c r="AA102" i="154" s="1"/>
  <c r="U109" i="154"/>
  <c r="AA109" i="154" s="1"/>
  <c r="Q114" i="154"/>
  <c r="Z155" i="154"/>
  <c r="AB155" i="154" s="1"/>
  <c r="V155" i="154"/>
  <c r="U155" i="154"/>
  <c r="Y155" i="154" s="1"/>
  <c r="Z278" i="154"/>
  <c r="AB278" i="154" s="1"/>
  <c r="X351" i="154"/>
  <c r="Z351" i="154"/>
  <c r="AB351" i="154" s="1"/>
  <c r="V351" i="154"/>
  <c r="D410" i="154"/>
  <c r="Z579" i="154"/>
  <c r="AB579" i="154" s="1"/>
  <c r="X579" i="154"/>
  <c r="V120" i="154"/>
  <c r="Z120" i="154"/>
  <c r="AB120" i="154" s="1"/>
  <c r="AD140" i="154"/>
  <c r="AA140" i="154"/>
  <c r="W190" i="154"/>
  <c r="AC223" i="154"/>
  <c r="S189" i="154"/>
  <c r="AJ189" i="154" s="1"/>
  <c r="X251" i="154"/>
  <c r="V251" i="154"/>
  <c r="Z429" i="154"/>
  <c r="AB429" i="154" s="1"/>
  <c r="U429" i="154"/>
  <c r="U427" i="154" s="1"/>
  <c r="AD427" i="154" s="1"/>
  <c r="V429" i="154"/>
  <c r="T427" i="154"/>
  <c r="V427" i="154" s="1"/>
  <c r="V39" i="154"/>
  <c r="U57" i="154"/>
  <c r="AD57" i="154" s="1"/>
  <c r="V57" i="154"/>
  <c r="U79" i="154"/>
  <c r="U98" i="154"/>
  <c r="AD98" i="154" s="1"/>
  <c r="Z98" i="154"/>
  <c r="AB98" i="154" s="1"/>
  <c r="Z105" i="154"/>
  <c r="AB105" i="154" s="1"/>
  <c r="X105" i="154"/>
  <c r="X103" i="154" s="1"/>
  <c r="U105" i="154"/>
  <c r="U120" i="154"/>
  <c r="AA120" i="154" s="1"/>
  <c r="AD206" i="154"/>
  <c r="U205" i="154"/>
  <c r="AD205" i="154" s="1"/>
  <c r="AD469" i="154"/>
  <c r="AA469" i="154"/>
  <c r="H10" i="154"/>
  <c r="J25" i="154"/>
  <c r="J24" i="154" s="1"/>
  <c r="J23" i="154" s="1"/>
  <c r="Z27" i="154"/>
  <c r="V79" i="154"/>
  <c r="X120" i="154"/>
  <c r="V192" i="154"/>
  <c r="X192" i="154"/>
  <c r="U192" i="154"/>
  <c r="T191" i="154"/>
  <c r="V191" i="154" s="1"/>
  <c r="Z320" i="154"/>
  <c r="AB320" i="154" s="1"/>
  <c r="X320" i="154"/>
  <c r="V320" i="154"/>
  <c r="U320" i="154"/>
  <c r="AA320" i="154" s="1"/>
  <c r="Z591" i="154"/>
  <c r="AB591" i="154" s="1"/>
  <c r="U591" i="154"/>
  <c r="X591" i="154"/>
  <c r="V591" i="154"/>
  <c r="U34" i="154"/>
  <c r="AA34" i="154" s="1"/>
  <c r="AJ36" i="154"/>
  <c r="P25" i="154"/>
  <c r="P24" i="154" s="1"/>
  <c r="Z57" i="154"/>
  <c r="AJ70" i="154"/>
  <c r="AJ73" i="154"/>
  <c r="Z79" i="154"/>
  <c r="V87" i="154"/>
  <c r="U87" i="154"/>
  <c r="X98" i="154"/>
  <c r="X110" i="154"/>
  <c r="AJ127" i="154"/>
  <c r="V151" i="154"/>
  <c r="X151" i="154"/>
  <c r="AD157" i="154"/>
  <c r="AA157" i="154"/>
  <c r="Y157" i="154"/>
  <c r="AD164" i="154"/>
  <c r="AA164" i="154"/>
  <c r="V227" i="154"/>
  <c r="X227" i="154"/>
  <c r="U227" i="154"/>
  <c r="V240" i="154"/>
  <c r="X240" i="154"/>
  <c r="U240" i="154"/>
  <c r="M223" i="154"/>
  <c r="AD269" i="154"/>
  <c r="AA269" i="154"/>
  <c r="Y269" i="154"/>
  <c r="X520" i="154"/>
  <c r="Z520" i="154"/>
  <c r="AB520" i="154" s="1"/>
  <c r="U520" i="154"/>
  <c r="AA520" i="154" s="1"/>
  <c r="V520" i="154"/>
  <c r="X554" i="154"/>
  <c r="Z554" i="154"/>
  <c r="AB554" i="154" s="1"/>
  <c r="V554" i="154"/>
  <c r="U554" i="154"/>
  <c r="N25" i="154"/>
  <c r="V31" i="154"/>
  <c r="X34" i="154"/>
  <c r="W25" i="154"/>
  <c r="W24" i="154" s="1"/>
  <c r="W23" i="154" s="1"/>
  <c r="U40" i="154"/>
  <c r="AA40" i="154" s="1"/>
  <c r="AJ45" i="154"/>
  <c r="U63" i="154"/>
  <c r="D70" i="154"/>
  <c r="D23" i="154" s="1"/>
  <c r="X87" i="154"/>
  <c r="Q84" i="154"/>
  <c r="Q83" i="154" s="1"/>
  <c r="U92" i="154"/>
  <c r="AJ120" i="154"/>
  <c r="U128" i="154"/>
  <c r="AA128" i="154" s="1"/>
  <c r="X128" i="154"/>
  <c r="Z227" i="154"/>
  <c r="AB227" i="154" s="1"/>
  <c r="AD647" i="154"/>
  <c r="AA647" i="154"/>
  <c r="V111" i="154"/>
  <c r="U111" i="154"/>
  <c r="AA111" i="154" s="1"/>
  <c r="X152" i="154"/>
  <c r="Z152" i="154"/>
  <c r="AB152" i="154" s="1"/>
  <c r="Z327" i="154"/>
  <c r="AB329" i="154"/>
  <c r="Z409" i="154"/>
  <c r="AB409" i="154" s="1"/>
  <c r="V409" i="154"/>
  <c r="X409" i="154"/>
  <c r="X541" i="154"/>
  <c r="Z541" i="154"/>
  <c r="AB541" i="154" s="1"/>
  <c r="V541" i="154"/>
  <c r="U541" i="154"/>
  <c r="AD541" i="154" s="1"/>
  <c r="Z625" i="154"/>
  <c r="AB625" i="154" s="1"/>
  <c r="X625" i="154"/>
  <c r="U625" i="154"/>
  <c r="Y625" i="154" s="1"/>
  <c r="V625" i="154"/>
  <c r="X111" i="154"/>
  <c r="U121" i="154"/>
  <c r="Z128" i="154"/>
  <c r="AB128" i="154" s="1"/>
  <c r="J134" i="154"/>
  <c r="J133" i="154" s="1"/>
  <c r="Z137" i="154"/>
  <c r="AB137" i="154" s="1"/>
  <c r="U137" i="154"/>
  <c r="U152" i="154"/>
  <c r="Y152" i="154" s="1"/>
  <c r="O171" i="154"/>
  <c r="O167" i="154" s="1"/>
  <c r="O166" i="154" s="1"/>
  <c r="V175" i="154"/>
  <c r="T172" i="154"/>
  <c r="V172" i="154" s="1"/>
  <c r="Z175" i="154"/>
  <c r="AB175" i="154" s="1"/>
  <c r="Z183" i="154"/>
  <c r="AB183" i="154" s="1"/>
  <c r="X183" i="154"/>
  <c r="V183" i="154"/>
  <c r="U183" i="154"/>
  <c r="AD183" i="154" s="1"/>
  <c r="AA290" i="154"/>
  <c r="AD290" i="154"/>
  <c r="Y290" i="154"/>
  <c r="U301" i="154"/>
  <c r="X301" i="154"/>
  <c r="V301" i="154"/>
  <c r="X360" i="154"/>
  <c r="V360" i="154"/>
  <c r="U360" i="154"/>
  <c r="Z360" i="154"/>
  <c r="AB360" i="154" s="1"/>
  <c r="X376" i="154"/>
  <c r="V376" i="154"/>
  <c r="Z376" i="154"/>
  <c r="AB376" i="154" s="1"/>
  <c r="U376" i="154"/>
  <c r="X545" i="154"/>
  <c r="Z545" i="154"/>
  <c r="AB545" i="154" s="1"/>
  <c r="U545" i="154"/>
  <c r="X93" i="154"/>
  <c r="V93" i="154"/>
  <c r="E190" i="154"/>
  <c r="V248" i="154"/>
  <c r="Z248" i="154"/>
  <c r="AB248" i="154" s="1"/>
  <c r="X248" i="154"/>
  <c r="U248" i="154"/>
  <c r="Z336" i="154"/>
  <c r="AB336" i="154" s="1"/>
  <c r="X336" i="154"/>
  <c r="V336" i="154"/>
  <c r="Z501" i="154"/>
  <c r="AB501" i="154" s="1"/>
  <c r="X501" i="154"/>
  <c r="V501" i="154"/>
  <c r="U501" i="154"/>
  <c r="X516" i="154"/>
  <c r="Z516" i="154"/>
  <c r="AB516" i="154" s="1"/>
  <c r="U516" i="154"/>
  <c r="AA516" i="154" s="1"/>
  <c r="V516" i="154"/>
  <c r="Q10" i="154"/>
  <c r="R25" i="154"/>
  <c r="R24" i="154" s="1"/>
  <c r="R23" i="154" s="1"/>
  <c r="V28" i="154"/>
  <c r="AJ35" i="154"/>
  <c r="X37" i="154"/>
  <c r="U53" i="154"/>
  <c r="AD53" i="154" s="1"/>
  <c r="Y76" i="154"/>
  <c r="X80" i="154"/>
  <c r="X78" i="154" s="1"/>
  <c r="U93" i="154"/>
  <c r="U96" i="154"/>
  <c r="Z96" i="154"/>
  <c r="AB96" i="154" s="1"/>
  <c r="V108" i="154"/>
  <c r="T118" i="154"/>
  <c r="AJ121" i="154"/>
  <c r="X138" i="154"/>
  <c r="Z138" i="154"/>
  <c r="AB138" i="154" s="1"/>
  <c r="V138" i="154"/>
  <c r="U138" i="154"/>
  <c r="AA281" i="154"/>
  <c r="Y281" i="154"/>
  <c r="AA291" i="154"/>
  <c r="Y291" i="154"/>
  <c r="X510" i="154"/>
  <c r="U510" i="154"/>
  <c r="Y550" i="154"/>
  <c r="AA550" i="154"/>
  <c r="X28" i="154"/>
  <c r="X26" i="154" s="1"/>
  <c r="Z37" i="154"/>
  <c r="AB37" i="154" s="1"/>
  <c r="V41" i="154"/>
  <c r="AJ42" i="154"/>
  <c r="Z53" i="154"/>
  <c r="AB53" i="154" s="1"/>
  <c r="AJ71" i="154"/>
  <c r="Y80" i="154"/>
  <c r="P82" i="154"/>
  <c r="Z93" i="154"/>
  <c r="AB93" i="154" s="1"/>
  <c r="V96" i="154"/>
  <c r="Z108" i="154"/>
  <c r="AB108" i="154" s="1"/>
  <c r="J114" i="154"/>
  <c r="J82" i="154" s="1"/>
  <c r="X125" i="154"/>
  <c r="V125" i="154"/>
  <c r="U194" i="154"/>
  <c r="V194" i="154"/>
  <c r="X214" i="154"/>
  <c r="Z214" i="154"/>
  <c r="AB214" i="154" s="1"/>
  <c r="V214" i="154"/>
  <c r="U214" i="154"/>
  <c r="Y214" i="154" s="1"/>
  <c r="X249" i="154"/>
  <c r="Z249" i="154"/>
  <c r="AB249" i="154" s="1"/>
  <c r="V249" i="154"/>
  <c r="U249" i="154"/>
  <c r="X266" i="154"/>
  <c r="V266" i="154"/>
  <c r="U266" i="154"/>
  <c r="AA266" i="154" s="1"/>
  <c r="AD281" i="154"/>
  <c r="AD291" i="154"/>
  <c r="X302" i="154"/>
  <c r="U302" i="154"/>
  <c r="Z366" i="154"/>
  <c r="AB366" i="154" s="1"/>
  <c r="X366" i="154"/>
  <c r="V366" i="154"/>
  <c r="AD447" i="154"/>
  <c r="Y447" i="154"/>
  <c r="O460" i="154"/>
  <c r="O461" i="154"/>
  <c r="V465" i="154"/>
  <c r="Z465" i="154"/>
  <c r="AB465" i="154" s="1"/>
  <c r="X465" i="154"/>
  <c r="U465" i="154"/>
  <c r="AA465" i="154" s="1"/>
  <c r="T26" i="154"/>
  <c r="V26" i="154" s="1"/>
  <c r="U46" i="154"/>
  <c r="AD46" i="154" s="1"/>
  <c r="T72" i="154"/>
  <c r="Z80" i="154"/>
  <c r="AB80" i="154" s="1"/>
  <c r="X96" i="154"/>
  <c r="AA108" i="154"/>
  <c r="V122" i="154"/>
  <c r="Z122" i="154"/>
  <c r="AB122" i="154" s="1"/>
  <c r="U122" i="154"/>
  <c r="O190" i="154"/>
  <c r="AD221" i="154"/>
  <c r="Y221" i="154"/>
  <c r="U285" i="154"/>
  <c r="X285" i="154"/>
  <c r="V285" i="154"/>
  <c r="U396" i="154"/>
  <c r="AA396" i="154" s="1"/>
  <c r="Z396" i="154"/>
  <c r="AB396" i="154" s="1"/>
  <c r="V396" i="154"/>
  <c r="X396" i="154"/>
  <c r="X583" i="154"/>
  <c r="Z583" i="154"/>
  <c r="AB583" i="154" s="1"/>
  <c r="V583" i="154"/>
  <c r="U583" i="154"/>
  <c r="H25" i="154"/>
  <c r="H24" i="154" s="1"/>
  <c r="H23" i="154" s="1"/>
  <c r="T60" i="154"/>
  <c r="V60" i="154" s="1"/>
  <c r="X69" i="154"/>
  <c r="U69" i="154"/>
  <c r="AD69" i="154" s="1"/>
  <c r="T78" i="154"/>
  <c r="V78" i="154" s="1"/>
  <c r="U195" i="154"/>
  <c r="AA195" i="154" s="1"/>
  <c r="Z195" i="154"/>
  <c r="AB195" i="154" s="1"/>
  <c r="U230" i="154"/>
  <c r="Y230" i="154" s="1"/>
  <c r="X230" i="154"/>
  <c r="V230" i="154"/>
  <c r="Z254" i="154"/>
  <c r="AB254" i="154" s="1"/>
  <c r="X254" i="154"/>
  <c r="V254" i="154"/>
  <c r="U254" i="154"/>
  <c r="AA254" i="154" s="1"/>
  <c r="X277" i="154"/>
  <c r="Z277" i="154"/>
  <c r="AB277" i="154" s="1"/>
  <c r="V277" i="154"/>
  <c r="U277" i="154"/>
  <c r="V442" i="154"/>
  <c r="Z442" i="154"/>
  <c r="AB442" i="154" s="1"/>
  <c r="AD570" i="154"/>
  <c r="AA570" i="154"/>
  <c r="Z69" i="154"/>
  <c r="AB69" i="154" s="1"/>
  <c r="U77" i="154"/>
  <c r="AD77" i="154" s="1"/>
  <c r="T103" i="154"/>
  <c r="V103" i="154" s="1"/>
  <c r="Z104" i="154"/>
  <c r="U119" i="154"/>
  <c r="H142" i="154"/>
  <c r="H134" i="154" s="1"/>
  <c r="H133" i="154" s="1"/>
  <c r="X148" i="154"/>
  <c r="Z148" i="154"/>
  <c r="AB148" i="154" s="1"/>
  <c r="V148" i="154"/>
  <c r="U202" i="154"/>
  <c r="Z202" i="154"/>
  <c r="AB202" i="154" s="1"/>
  <c r="X202" i="154"/>
  <c r="V202" i="154"/>
  <c r="Z230" i="154"/>
  <c r="AB230" i="154" s="1"/>
  <c r="X245" i="154"/>
  <c r="V245" i="154"/>
  <c r="U245" i="154"/>
  <c r="E461" i="154"/>
  <c r="W460" i="154"/>
  <c r="W461" i="154"/>
  <c r="Z551" i="154"/>
  <c r="AB551" i="154" s="1"/>
  <c r="X551" i="154"/>
  <c r="V551" i="154"/>
  <c r="U551" i="154"/>
  <c r="Y594" i="154"/>
  <c r="AD594" i="154"/>
  <c r="AA594" i="154"/>
  <c r="T238" i="154"/>
  <c r="Z417" i="154"/>
  <c r="AB417" i="154" s="1"/>
  <c r="X417" i="154"/>
  <c r="U417" i="154"/>
  <c r="X500" i="154"/>
  <c r="U500" i="154"/>
  <c r="Z100" i="154"/>
  <c r="AB100" i="154" s="1"/>
  <c r="X140" i="154"/>
  <c r="Z206" i="154"/>
  <c r="AB206" i="154" s="1"/>
  <c r="U233" i="154"/>
  <c r="X239" i="154"/>
  <c r="U252" i="154"/>
  <c r="AD289" i="154"/>
  <c r="AA289" i="154"/>
  <c r="Y289" i="154"/>
  <c r="V292" i="154"/>
  <c r="U292" i="154"/>
  <c r="AA292" i="154" s="1"/>
  <c r="U304" i="154"/>
  <c r="AA304" i="154" s="1"/>
  <c r="M330" i="154"/>
  <c r="Z346" i="154"/>
  <c r="AB346" i="154" s="1"/>
  <c r="T345" i="154"/>
  <c r="AJ402" i="154"/>
  <c r="V417" i="154"/>
  <c r="X439" i="154"/>
  <c r="U439" i="154"/>
  <c r="U463" i="154"/>
  <c r="AA463" i="154" s="1"/>
  <c r="AB477" i="154"/>
  <c r="AA492" i="154"/>
  <c r="V500" i="154"/>
  <c r="X508" i="154"/>
  <c r="Z508" i="154"/>
  <c r="AB508" i="154" s="1"/>
  <c r="Y558" i="154"/>
  <c r="AA558" i="154"/>
  <c r="X566" i="154"/>
  <c r="Z566" i="154"/>
  <c r="AB566" i="154" s="1"/>
  <c r="X569" i="154"/>
  <c r="Z569" i="154"/>
  <c r="AB569" i="154" s="1"/>
  <c r="U569" i="154"/>
  <c r="Y576" i="154"/>
  <c r="Z602" i="154"/>
  <c r="AB602" i="154" s="1"/>
  <c r="X602" i="154"/>
  <c r="AJ617" i="154"/>
  <c r="X628" i="154"/>
  <c r="U628" i="154"/>
  <c r="U636" i="154"/>
  <c r="V653" i="154"/>
  <c r="Q167" i="154"/>
  <c r="Q166" i="154" s="1"/>
  <c r="V233" i="154"/>
  <c r="X252" i="154"/>
  <c r="V304" i="154"/>
  <c r="Z316" i="154"/>
  <c r="AB316" i="154" s="1"/>
  <c r="V316" i="154"/>
  <c r="Z355" i="154"/>
  <c r="AB355" i="154" s="1"/>
  <c r="X355" i="154"/>
  <c r="V401" i="154"/>
  <c r="X401" i="154"/>
  <c r="AD435" i="154"/>
  <c r="Y435" i="154"/>
  <c r="X463" i="154"/>
  <c r="Z500" i="154"/>
  <c r="AB500" i="154" s="1"/>
  <c r="X524" i="154"/>
  <c r="Z524" i="154"/>
  <c r="AB524" i="154" s="1"/>
  <c r="V524" i="154"/>
  <c r="U524" i="154"/>
  <c r="AA524" i="154" s="1"/>
  <c r="X531" i="154"/>
  <c r="Z531" i="154"/>
  <c r="AB531" i="154" s="1"/>
  <c r="U531" i="154"/>
  <c r="AD584" i="154"/>
  <c r="Y584" i="154"/>
  <c r="Z599" i="154"/>
  <c r="AB599" i="154" s="1"/>
  <c r="V599" i="154"/>
  <c r="O142" i="154"/>
  <c r="O134" i="154" s="1"/>
  <c r="O133" i="154" s="1"/>
  <c r="U182" i="154"/>
  <c r="AJ191" i="154"/>
  <c r="U218" i="154"/>
  <c r="Y218" i="154" s="1"/>
  <c r="U231" i="154"/>
  <c r="AD231" i="154" s="1"/>
  <c r="X233" i="154"/>
  <c r="U250" i="154"/>
  <c r="AA250" i="154" s="1"/>
  <c r="U274" i="154"/>
  <c r="AA274" i="154" s="1"/>
  <c r="U316" i="154"/>
  <c r="AA316" i="154" s="1"/>
  <c r="O330" i="154"/>
  <c r="Z337" i="154"/>
  <c r="AB337" i="154" s="1"/>
  <c r="U337" i="154"/>
  <c r="U355" i="154"/>
  <c r="AJ388" i="154"/>
  <c r="Z397" i="154"/>
  <c r="AB397" i="154" s="1"/>
  <c r="X397" i="154"/>
  <c r="Z401" i="154"/>
  <c r="AB401" i="154" s="1"/>
  <c r="X420" i="154"/>
  <c r="Z420" i="154"/>
  <c r="AB420" i="154" s="1"/>
  <c r="Z463" i="154"/>
  <c r="V508" i="154"/>
  <c r="V531" i="154"/>
  <c r="V562" i="154"/>
  <c r="V566" i="154"/>
  <c r="X574" i="154"/>
  <c r="U574" i="154"/>
  <c r="X577" i="154"/>
  <c r="Z577" i="154"/>
  <c r="AB577" i="154" s="1"/>
  <c r="X589" i="154"/>
  <c r="Z589" i="154"/>
  <c r="AB589" i="154" s="1"/>
  <c r="U599" i="154"/>
  <c r="V607" i="154"/>
  <c r="V621" i="154"/>
  <c r="T618" i="154"/>
  <c r="V618" i="154" s="1"/>
  <c r="P134" i="154"/>
  <c r="P133" i="154" s="1"/>
  <c r="H171" i="154"/>
  <c r="H167" i="154" s="1"/>
  <c r="H166" i="154" s="1"/>
  <c r="Y173" i="154"/>
  <c r="X182" i="154"/>
  <c r="V198" i="154"/>
  <c r="H190" i="154"/>
  <c r="Z218" i="154"/>
  <c r="AB218" i="154" s="1"/>
  <c r="Y220" i="154"/>
  <c r="X250" i="154"/>
  <c r="X274" i="154"/>
  <c r="E330" i="154"/>
  <c r="U365" i="154"/>
  <c r="Z365" i="154"/>
  <c r="AB365" i="154" s="1"/>
  <c r="X387" i="154"/>
  <c r="V393" i="154"/>
  <c r="Z393" i="154"/>
  <c r="AB393" i="154" s="1"/>
  <c r="X393" i="154"/>
  <c r="AA443" i="154"/>
  <c r="Y443" i="154"/>
  <c r="W483" i="154"/>
  <c r="X497" i="154"/>
  <c r="U497" i="154"/>
  <c r="Y497" i="154" s="1"/>
  <c r="Z497" i="154"/>
  <c r="AB497" i="154" s="1"/>
  <c r="X532" i="154"/>
  <c r="Z532" i="154"/>
  <c r="AB532" i="154" s="1"/>
  <c r="X535" i="154"/>
  <c r="U535" i="154"/>
  <c r="AA535" i="154" s="1"/>
  <c r="Z562" i="154"/>
  <c r="AB562" i="154" s="1"/>
  <c r="X582" i="154"/>
  <c r="Z582" i="154"/>
  <c r="AB582" i="154" s="1"/>
  <c r="X614" i="154"/>
  <c r="U614" i="154"/>
  <c r="AA614" i="154" s="1"/>
  <c r="X621" i="154"/>
  <c r="AA644" i="154"/>
  <c r="AD644" i="154"/>
  <c r="X677" i="154"/>
  <c r="X676" i="154" s="1"/>
  <c r="X675" i="154" s="1"/>
  <c r="V677" i="154"/>
  <c r="T676" i="154"/>
  <c r="Z677" i="154"/>
  <c r="U677" i="154"/>
  <c r="AD677" i="154" s="1"/>
  <c r="AJ706" i="154"/>
  <c r="Q134" i="154"/>
  <c r="Q133" i="154" s="1"/>
  <c r="AA159" i="154"/>
  <c r="J171" i="154"/>
  <c r="AA173" i="154"/>
  <c r="X198" i="154"/>
  <c r="AA220" i="154"/>
  <c r="AJ294" i="154"/>
  <c r="Z311" i="154"/>
  <c r="AB311" i="154" s="1"/>
  <c r="V311" i="154"/>
  <c r="X342" i="154"/>
  <c r="V342" i="154"/>
  <c r="Z389" i="154"/>
  <c r="AB389" i="154" s="1"/>
  <c r="X389" i="154"/>
  <c r="AD428" i="154"/>
  <c r="Y428" i="154"/>
  <c r="Z440" i="154"/>
  <c r="AB440" i="154" s="1"/>
  <c r="V440" i="154"/>
  <c r="V453" i="154"/>
  <c r="U453" i="154"/>
  <c r="AD453" i="154" s="1"/>
  <c r="AA562" i="154"/>
  <c r="G84" i="154"/>
  <c r="R84" i="154"/>
  <c r="R83" i="154" s="1"/>
  <c r="R82" i="154" s="1"/>
  <c r="V139" i="154"/>
  <c r="S142" i="154"/>
  <c r="S134" i="154" s="1"/>
  <c r="AD159" i="154"/>
  <c r="X179" i="154"/>
  <c r="V203" i="154"/>
  <c r="V207" i="154"/>
  <c r="U215" i="154"/>
  <c r="AA215" i="154" s="1"/>
  <c r="D223" i="154"/>
  <c r="Z229" i="154"/>
  <c r="AB229" i="154" s="1"/>
  <c r="U232" i="154"/>
  <c r="U261" i="154"/>
  <c r="T294" i="154"/>
  <c r="V294" i="154" s="1"/>
  <c r="Z309" i="154"/>
  <c r="AB309" i="154" s="1"/>
  <c r="U338" i="154"/>
  <c r="AA338" i="154" s="1"/>
  <c r="Z342" i="154"/>
  <c r="AB342" i="154" s="1"/>
  <c r="V347" i="154"/>
  <c r="X365" i="154"/>
  <c r="Z387" i="154"/>
  <c r="AB387" i="154" s="1"/>
  <c r="V389" i="154"/>
  <c r="Z394" i="154"/>
  <c r="AB394" i="154" s="1"/>
  <c r="X394" i="154"/>
  <c r="U421" i="154"/>
  <c r="U436" i="154"/>
  <c r="AA436" i="154" s="1"/>
  <c r="U440" i="154"/>
  <c r="X453" i="154"/>
  <c r="AJ467" i="154"/>
  <c r="X473" i="154"/>
  <c r="U473" i="154"/>
  <c r="AD473" i="154" s="1"/>
  <c r="Z473" i="154"/>
  <c r="AB473" i="154" s="1"/>
  <c r="V512" i="154"/>
  <c r="V525" i="154"/>
  <c r="X528" i="154"/>
  <c r="V532" i="154"/>
  <c r="AD567" i="154"/>
  <c r="AA567" i="154"/>
  <c r="Y567" i="154"/>
  <c r="V582" i="154"/>
  <c r="X590" i="154"/>
  <c r="Z590" i="154"/>
  <c r="AB590" i="154" s="1"/>
  <c r="V590" i="154"/>
  <c r="U590" i="154"/>
  <c r="Z600" i="154"/>
  <c r="AB600" i="154" s="1"/>
  <c r="X600" i="154"/>
  <c r="U604" i="154"/>
  <c r="Z604" i="154"/>
  <c r="AB604" i="154" s="1"/>
  <c r="V604" i="154"/>
  <c r="AA608" i="154"/>
  <c r="Y608" i="154"/>
  <c r="U634" i="154"/>
  <c r="Y634" i="154" s="1"/>
  <c r="V634" i="154"/>
  <c r="Z644" i="154"/>
  <c r="AB644" i="154" s="1"/>
  <c r="U352" i="154"/>
  <c r="Z352" i="154"/>
  <c r="AB352" i="154" s="1"/>
  <c r="V352" i="154"/>
  <c r="R330" i="154"/>
  <c r="Z399" i="154"/>
  <c r="AB399" i="154" s="1"/>
  <c r="X399" i="154"/>
  <c r="H410" i="154"/>
  <c r="AD486" i="154"/>
  <c r="AA486" i="154"/>
  <c r="AD509" i="154"/>
  <c r="AA509" i="154"/>
  <c r="Y509" i="154"/>
  <c r="X542" i="154"/>
  <c r="Z542" i="154"/>
  <c r="AB542" i="154" s="1"/>
  <c r="V586" i="154"/>
  <c r="X586" i="154"/>
  <c r="Z139" i="154"/>
  <c r="AB139" i="154" s="1"/>
  <c r="V163" i="154"/>
  <c r="Z179" i="154"/>
  <c r="AB179" i="154" s="1"/>
  <c r="AB177" i="154" s="1"/>
  <c r="Z196" i="154"/>
  <c r="AB196" i="154" s="1"/>
  <c r="T205" i="154"/>
  <c r="V205" i="154" s="1"/>
  <c r="Y207" i="154"/>
  <c r="T216" i="154"/>
  <c r="V216" i="154" s="1"/>
  <c r="U219" i="154"/>
  <c r="O223" i="154"/>
  <c r="U241" i="154"/>
  <c r="U268" i="154"/>
  <c r="U270" i="154"/>
  <c r="AD270" i="154" s="1"/>
  <c r="V283" i="154"/>
  <c r="X317" i="154"/>
  <c r="U324" i="154"/>
  <c r="AA324" i="154" s="1"/>
  <c r="Z338" i="154"/>
  <c r="AB338" i="154" s="1"/>
  <c r="AD343" i="154"/>
  <c r="AA343" i="154"/>
  <c r="X352" i="154"/>
  <c r="X378" i="154"/>
  <c r="Y394" i="154"/>
  <c r="U399" i="154"/>
  <c r="J410" i="154"/>
  <c r="X421" i="154"/>
  <c r="AA428" i="154"/>
  <c r="S432" i="154"/>
  <c r="AJ432" i="154" s="1"/>
  <c r="AD444" i="154"/>
  <c r="Z494" i="154"/>
  <c r="AB494" i="154" s="1"/>
  <c r="U494" i="154"/>
  <c r="AD494" i="154" s="1"/>
  <c r="X498" i="154"/>
  <c r="Z517" i="154"/>
  <c r="AB517" i="154" s="1"/>
  <c r="V517" i="154"/>
  <c r="Y525" i="154"/>
  <c r="Z538" i="154"/>
  <c r="AB538" i="154" s="1"/>
  <c r="V538" i="154"/>
  <c r="U542" i="154"/>
  <c r="Z544" i="154"/>
  <c r="AB544" i="154" s="1"/>
  <c r="U544" i="154"/>
  <c r="X575" i="154"/>
  <c r="V575" i="154"/>
  <c r="U575" i="154"/>
  <c r="U586" i="154"/>
  <c r="AJ615" i="154"/>
  <c r="V626" i="154"/>
  <c r="D167" i="154"/>
  <c r="D166" i="154" s="1"/>
  <c r="M190" i="154"/>
  <c r="V219" i="154"/>
  <c r="Y235" i="154"/>
  <c r="V241" i="154"/>
  <c r="Y253" i="154"/>
  <c r="X268" i="154"/>
  <c r="X270" i="154"/>
  <c r="X283" i="154"/>
  <c r="U335" i="154"/>
  <c r="AD335" i="154" s="1"/>
  <c r="Z335" i="154"/>
  <c r="AB335" i="154" s="1"/>
  <c r="Y378" i="154"/>
  <c r="V399" i="154"/>
  <c r="W410" i="154"/>
  <c r="X424" i="154"/>
  <c r="Z424" i="154"/>
  <c r="AB424" i="154" s="1"/>
  <c r="N460" i="154"/>
  <c r="U479" i="154"/>
  <c r="V494" i="154"/>
  <c r="Y498" i="154"/>
  <c r="U517" i="154"/>
  <c r="Z525" i="154"/>
  <c r="AB525" i="154" s="1"/>
  <c r="V542" i="154"/>
  <c r="X549" i="154"/>
  <c r="Z549" i="154"/>
  <c r="AB549" i="154" s="1"/>
  <c r="U549" i="154"/>
  <c r="AD549" i="154" s="1"/>
  <c r="Z552" i="154"/>
  <c r="AB552" i="154" s="1"/>
  <c r="U552" i="154"/>
  <c r="Z586" i="154"/>
  <c r="AB586" i="154" s="1"/>
  <c r="AA597" i="154"/>
  <c r="Y597" i="154"/>
  <c r="AA600" i="154"/>
  <c r="AD608" i="154"/>
  <c r="V627" i="154"/>
  <c r="U627" i="154"/>
  <c r="Y627" i="154" s="1"/>
  <c r="Y697" i="154"/>
  <c r="AD697" i="154"/>
  <c r="AA697" i="154"/>
  <c r="AJ142" i="154"/>
  <c r="Y158" i="154"/>
  <c r="AJ172" i="154"/>
  <c r="AJ205" i="154"/>
  <c r="AA235" i="154"/>
  <c r="AD253" i="154"/>
  <c r="Z268" i="154"/>
  <c r="AB268" i="154" s="1"/>
  <c r="J223" i="154"/>
  <c r="J189" i="154" s="1"/>
  <c r="AJ272" i="154"/>
  <c r="V281" i="154"/>
  <c r="V296" i="154"/>
  <c r="Z299" i="154"/>
  <c r="AB299" i="154" s="1"/>
  <c r="X312" i="154"/>
  <c r="AJ314" i="154"/>
  <c r="Z321" i="154"/>
  <c r="AB321" i="154" s="1"/>
  <c r="V321" i="154"/>
  <c r="U325" i="154"/>
  <c r="X325" i="154"/>
  <c r="X335" i="154"/>
  <c r="U383" i="154"/>
  <c r="Z383" i="154"/>
  <c r="AB383" i="154" s="1"/>
  <c r="Z425" i="154"/>
  <c r="AB425" i="154" s="1"/>
  <c r="X425" i="154"/>
  <c r="V434" i="154"/>
  <c r="T433" i="154"/>
  <c r="V441" i="154"/>
  <c r="X441" i="154"/>
  <c r="V446" i="154"/>
  <c r="T445" i="154"/>
  <c r="V445" i="154" s="1"/>
  <c r="Z446" i="154"/>
  <c r="AB446" i="154" s="1"/>
  <c r="Z560" i="154"/>
  <c r="AB560" i="154" s="1"/>
  <c r="U560" i="154"/>
  <c r="Y560" i="154" s="1"/>
  <c r="X627" i="154"/>
  <c r="N650" i="154"/>
  <c r="N483" i="154" s="1"/>
  <c r="AJ146" i="154"/>
  <c r="AA181" i="154"/>
  <c r="AD193" i="154"/>
  <c r="V259" i="154"/>
  <c r="U262" i="154"/>
  <c r="Z416" i="154"/>
  <c r="AB416" i="154" s="1"/>
  <c r="U425" i="154"/>
  <c r="AA425" i="154" s="1"/>
  <c r="U434" i="154"/>
  <c r="Z441" i="154"/>
  <c r="AB441" i="154" s="1"/>
  <c r="U446" i="154"/>
  <c r="H460" i="154"/>
  <c r="H459" i="154" s="1"/>
  <c r="U480" i="154"/>
  <c r="Z480" i="154"/>
  <c r="AB480" i="154" s="1"/>
  <c r="V488" i="154"/>
  <c r="Z488" i="154"/>
  <c r="AB488" i="154" s="1"/>
  <c r="U488" i="154"/>
  <c r="X565" i="154"/>
  <c r="Z565" i="154"/>
  <c r="AB565" i="154" s="1"/>
  <c r="U565" i="154"/>
  <c r="AD565" i="154" s="1"/>
  <c r="X598" i="154"/>
  <c r="V598" i="154"/>
  <c r="AJ78" i="154"/>
  <c r="D84" i="154"/>
  <c r="D83" i="154" s="1"/>
  <c r="D82" i="154" s="1"/>
  <c r="E142" i="154"/>
  <c r="E134" i="154" s="1"/>
  <c r="E133" i="154" s="1"/>
  <c r="AJ151" i="154"/>
  <c r="W171" i="154"/>
  <c r="W167" i="154" s="1"/>
  <c r="W166" i="154" s="1"/>
  <c r="E171" i="154"/>
  <c r="E167" i="154" s="1"/>
  <c r="E166" i="154" s="1"/>
  <c r="AD181" i="154"/>
  <c r="X208" i="154"/>
  <c r="U273" i="154"/>
  <c r="Y273" i="154" s="1"/>
  <c r="X276" i="154"/>
  <c r="Z281" i="154"/>
  <c r="AB281" i="154" s="1"/>
  <c r="V300" i="154"/>
  <c r="U300" i="154"/>
  <c r="AA300" i="154" s="1"/>
  <c r="X321" i="154"/>
  <c r="V425" i="154"/>
  <c r="X434" i="154"/>
  <c r="X446" i="154"/>
  <c r="Z449" i="154"/>
  <c r="AB449" i="154" s="1"/>
  <c r="U449" i="154"/>
  <c r="AD449" i="154" s="1"/>
  <c r="V449" i="154"/>
  <c r="J461" i="154"/>
  <c r="X488" i="154"/>
  <c r="AA499" i="154"/>
  <c r="AD499" i="154"/>
  <c r="X507" i="154"/>
  <c r="Z507" i="154"/>
  <c r="AB507" i="154" s="1"/>
  <c r="AA518" i="154"/>
  <c r="AD518" i="154"/>
  <c r="U523" i="154"/>
  <c r="X550" i="154"/>
  <c r="Z550" i="154"/>
  <c r="AB550" i="154" s="1"/>
  <c r="V565" i="154"/>
  <c r="X587" i="154"/>
  <c r="U598" i="154"/>
  <c r="U601" i="154"/>
  <c r="AD601" i="154" s="1"/>
  <c r="U609" i="154"/>
  <c r="Z632" i="154"/>
  <c r="AB632" i="154" s="1"/>
  <c r="V632" i="154"/>
  <c r="X647" i="154"/>
  <c r="V647" i="154"/>
  <c r="Y698" i="154"/>
  <c r="AA698" i="154"/>
  <c r="AJ359" i="154"/>
  <c r="AJ406" i="154"/>
  <c r="AJ423" i="154"/>
  <c r="X581" i="154"/>
  <c r="V581" i="154"/>
  <c r="V615" i="154"/>
  <c r="V709" i="154"/>
  <c r="W330" i="154"/>
  <c r="T331" i="154"/>
  <c r="V331" i="154" s="1"/>
  <c r="X404" i="154"/>
  <c r="AJ410" i="154"/>
  <c r="E432" i="154"/>
  <c r="X443" i="154"/>
  <c r="Y454" i="154"/>
  <c r="D462" i="154"/>
  <c r="D460" i="154" s="1"/>
  <c r="D459" i="154" s="1"/>
  <c r="X490" i="154"/>
  <c r="V499" i="154"/>
  <c r="V558" i="154"/>
  <c r="Z581" i="154"/>
  <c r="AB581" i="154" s="1"/>
  <c r="U652" i="154"/>
  <c r="V652" i="154"/>
  <c r="V327" i="154"/>
  <c r="AJ331" i="154"/>
  <c r="X371" i="154"/>
  <c r="H432" i="154"/>
  <c r="Q461" i="154"/>
  <c r="U511" i="154"/>
  <c r="Z511" i="154"/>
  <c r="AB511" i="154" s="1"/>
  <c r="S536" i="154"/>
  <c r="AJ536" i="154" s="1"/>
  <c r="Z558" i="154"/>
  <c r="AB558" i="154" s="1"/>
  <c r="V578" i="154"/>
  <c r="U592" i="154"/>
  <c r="U610" i="154"/>
  <c r="AJ675" i="154"/>
  <c r="O410" i="154"/>
  <c r="M410" i="154"/>
  <c r="X573" i="154"/>
  <c r="U573" i="154"/>
  <c r="AD573" i="154" s="1"/>
  <c r="V629" i="154"/>
  <c r="Z629" i="154"/>
  <c r="AB629" i="154" s="1"/>
  <c r="AJ679" i="154"/>
  <c r="X702" i="154"/>
  <c r="V702" i="154"/>
  <c r="U702" i="154"/>
  <c r="AA702" i="154" s="1"/>
  <c r="O693" i="154"/>
  <c r="AJ842" i="154"/>
  <c r="J892" i="154"/>
  <c r="J891" i="154" s="1"/>
  <c r="W727" i="154"/>
  <c r="U605" i="154"/>
  <c r="V605" i="154"/>
  <c r="V696" i="154"/>
  <c r="T694" i="154"/>
  <c r="X696" i="154"/>
  <c r="S715" i="154"/>
  <c r="AJ715" i="154" s="1"/>
  <c r="AJ445" i="154"/>
  <c r="X456" i="154"/>
  <c r="AJ462" i="154"/>
  <c r="X469" i="154"/>
  <c r="V469" i="154"/>
  <c r="X553" i="154"/>
  <c r="U553" i="154"/>
  <c r="X559" i="154"/>
  <c r="X594" i="154"/>
  <c r="Z594" i="154"/>
  <c r="AB594" i="154" s="1"/>
  <c r="V637" i="154"/>
  <c r="Z637" i="154"/>
  <c r="AB637" i="154" s="1"/>
  <c r="V704" i="154"/>
  <c r="X704" i="154"/>
  <c r="Q916" i="154"/>
  <c r="Q889" i="154" s="1"/>
  <c r="Q888" i="154" s="1"/>
  <c r="P650" i="154"/>
  <c r="P483" i="154" s="1"/>
  <c r="V661" i="154"/>
  <c r="U661" i="154"/>
  <c r="X674" i="154"/>
  <c r="X673" i="154" s="1"/>
  <c r="X672" i="154" s="1"/>
  <c r="V674" i="154"/>
  <c r="Z661" i="154"/>
  <c r="Z674" i="154"/>
  <c r="U690" i="154"/>
  <c r="AA690" i="154" s="1"/>
  <c r="V690" i="154"/>
  <c r="X697" i="154"/>
  <c r="Z697" i="154"/>
  <c r="AB697" i="154" s="1"/>
  <c r="V697" i="154"/>
  <c r="Z700" i="154"/>
  <c r="AB700" i="154" s="1"/>
  <c r="U700" i="154"/>
  <c r="AA700" i="154" s="1"/>
  <c r="Y704" i="154"/>
  <c r="AJ728" i="154"/>
  <c r="Z690" i="154"/>
  <c r="AB690" i="154" s="1"/>
  <c r="AD704" i="154"/>
  <c r="P890" i="154"/>
  <c r="U717" i="154"/>
  <c r="Y717" i="154" s="1"/>
  <c r="P663" i="154"/>
  <c r="AJ867" i="154"/>
  <c r="D892" i="154"/>
  <c r="D891" i="154" s="1"/>
  <c r="D890" i="154" s="1"/>
  <c r="Z897" i="154"/>
  <c r="AB897" i="154" s="1"/>
  <c r="V914" i="154"/>
  <c r="AJ927" i="154"/>
  <c r="V931" i="154"/>
  <c r="V934" i="154"/>
  <c r="E892" i="154"/>
  <c r="E891" i="154" s="1"/>
  <c r="E890" i="154" s="1"/>
  <c r="E889" i="154" s="1"/>
  <c r="E888" i="154" s="1"/>
  <c r="V919" i="154"/>
  <c r="P917" i="154"/>
  <c r="V923" i="154"/>
  <c r="X931" i="154"/>
  <c r="Z934" i="154"/>
  <c r="AJ724" i="154"/>
  <c r="T728" i="154"/>
  <c r="M867" i="154"/>
  <c r="M866" i="154" s="1"/>
  <c r="Z931" i="154"/>
  <c r="AB931" i="154" s="1"/>
  <c r="S681" i="154"/>
  <c r="AJ681" i="154" s="1"/>
  <c r="Z701" i="154"/>
  <c r="AB701" i="154" s="1"/>
  <c r="T706" i="154"/>
  <c r="V706" i="154" s="1"/>
  <c r="AJ716" i="154"/>
  <c r="Z727" i="154"/>
  <c r="Z726" i="154" s="1"/>
  <c r="Z725" i="154" s="1"/>
  <c r="Z724" i="154" s="1"/>
  <c r="Z723" i="154" s="1"/>
  <c r="AJ856" i="154"/>
  <c r="N867" i="154"/>
  <c r="J932" i="154"/>
  <c r="AB727" i="154"/>
  <c r="AB726" i="154" s="1"/>
  <c r="AB725" i="154" s="1"/>
  <c r="AB724" i="154" s="1"/>
  <c r="AB723" i="154" s="1"/>
  <c r="AJ815" i="154"/>
  <c r="AJ843" i="154"/>
  <c r="AD856" i="154"/>
  <c r="AJ861" i="154"/>
  <c r="P867" i="154"/>
  <c r="P866" i="154" s="1"/>
  <c r="P726" i="154" s="1"/>
  <c r="P725" i="154" s="1"/>
  <c r="P724" i="154" s="1"/>
  <c r="P723" i="154" s="1"/>
  <c r="M892" i="154"/>
  <c r="M891" i="154" s="1"/>
  <c r="M890" i="154" s="1"/>
  <c r="F917" i="154"/>
  <c r="F916" i="154" s="1"/>
  <c r="V921" i="154"/>
  <c r="Z929" i="154"/>
  <c r="AB929" i="154" s="1"/>
  <c r="M932" i="154"/>
  <c r="M916" i="154" s="1"/>
  <c r="X711" i="154"/>
  <c r="AD830" i="154"/>
  <c r="AJ880" i="154"/>
  <c r="T924" i="154"/>
  <c r="V935" i="154"/>
  <c r="U712" i="154"/>
  <c r="AD712" i="154" s="1"/>
  <c r="AD815" i="154"/>
  <c r="AJ866" i="154"/>
  <c r="O892" i="154"/>
  <c r="O891" i="154" s="1"/>
  <c r="O890" i="154" s="1"/>
  <c r="O889" i="154" s="1"/>
  <c r="O888" i="154" s="1"/>
  <c r="X902" i="154"/>
  <c r="U925" i="154"/>
  <c r="AA925" i="154" s="1"/>
  <c r="Z935" i="154"/>
  <c r="AB935" i="154" s="1"/>
  <c r="V712" i="154"/>
  <c r="AJ718" i="154"/>
  <c r="J726" i="154"/>
  <c r="J725" i="154" s="1"/>
  <c r="J724" i="154" s="1"/>
  <c r="J723" i="154" s="1"/>
  <c r="AD880" i="154"/>
  <c r="Z902" i="154"/>
  <c r="AB902" i="154" s="1"/>
  <c r="Y905" i="154"/>
  <c r="AJ908" i="154"/>
  <c r="X921" i="154"/>
  <c r="V925" i="154"/>
  <c r="U930" i="154"/>
  <c r="P932" i="154"/>
  <c r="Z705" i="154"/>
  <c r="AB705" i="154" s="1"/>
  <c r="U707" i="154"/>
  <c r="AA707" i="154" s="1"/>
  <c r="AA706" i="154" s="1"/>
  <c r="Z712" i="154"/>
  <c r="U722" i="154"/>
  <c r="Y722" i="154" s="1"/>
  <c r="V707" i="154"/>
  <c r="V722" i="154"/>
  <c r="Z925" i="154"/>
  <c r="AB925" i="154" s="1"/>
  <c r="V678" i="154"/>
  <c r="R681" i="154"/>
  <c r="Y922" i="154"/>
  <c r="V711" i="154"/>
  <c r="U713" i="154"/>
  <c r="AA713" i="154" s="1"/>
  <c r="Z921" i="154"/>
  <c r="AJ672" i="154"/>
  <c r="V691" i="154"/>
  <c r="V713" i="154"/>
  <c r="AJ727" i="154"/>
  <c r="Y780" i="154"/>
  <c r="T780" i="154"/>
  <c r="U893" i="154"/>
  <c r="U897" i="154"/>
  <c r="AA897" i="154" s="1"/>
  <c r="V900" i="154"/>
  <c r="J917" i="154"/>
  <c r="AA922" i="154"/>
  <c r="X937" i="154"/>
  <c r="X936" i="154" s="1"/>
  <c r="M727" i="154"/>
  <c r="AJ831" i="154"/>
  <c r="V897" i="154"/>
  <c r="X900" i="154"/>
  <c r="Z937" i="154"/>
  <c r="Z936" i="154" s="1"/>
  <c r="M663" i="154"/>
  <c r="AJ709" i="154"/>
  <c r="X720" i="154"/>
  <c r="AJ892" i="154"/>
  <c r="AJ916" i="154"/>
  <c r="V926" i="154"/>
  <c r="U116" i="154"/>
  <c r="AD116" i="154" s="1"/>
  <c r="Z116" i="154"/>
  <c r="V116" i="154"/>
  <c r="X116" i="154"/>
  <c r="W10" i="154"/>
  <c r="Y26" i="154"/>
  <c r="AA57" i="154"/>
  <c r="AA56" i="154" s="1"/>
  <c r="M10" i="154"/>
  <c r="AA46" i="154"/>
  <c r="Y46" i="154"/>
  <c r="N11" i="154"/>
  <c r="V14" i="154"/>
  <c r="U14" i="154"/>
  <c r="Z14" i="154"/>
  <c r="T13" i="154"/>
  <c r="X14" i="154"/>
  <c r="X13" i="154" s="1"/>
  <c r="X12" i="154" s="1"/>
  <c r="X11" i="154" s="1"/>
  <c r="AD31" i="154"/>
  <c r="AA31" i="154"/>
  <c r="Y31" i="154"/>
  <c r="P23" i="154"/>
  <c r="Z46" i="154"/>
  <c r="AB46" i="154" s="1"/>
  <c r="X46" i="154"/>
  <c r="V46" i="154"/>
  <c r="O12" i="154"/>
  <c r="O11" i="154" s="1"/>
  <c r="O10" i="154" s="1"/>
  <c r="N24" i="154"/>
  <c r="AD51" i="154"/>
  <c r="AA51" i="154"/>
  <c r="Y51" i="154"/>
  <c r="AD37" i="154"/>
  <c r="AA37" i="154"/>
  <c r="Y37" i="154"/>
  <c r="V8" i="154"/>
  <c r="U8" i="154"/>
  <c r="S17" i="154"/>
  <c r="S16" i="154" s="1"/>
  <c r="AJ18" i="154"/>
  <c r="Y20" i="154"/>
  <c r="AA28" i="154"/>
  <c r="AA26" i="154" s="1"/>
  <c r="AJ29" i="154"/>
  <c r="Y33" i="154"/>
  <c r="AD34" i="154"/>
  <c r="X39" i="154"/>
  <c r="Z41" i="154"/>
  <c r="AB41" i="154" s="1"/>
  <c r="X43" i="154"/>
  <c r="X42" i="154" s="1"/>
  <c r="AD44" i="154"/>
  <c r="X45" i="154"/>
  <c r="AA47" i="154"/>
  <c r="X48" i="154"/>
  <c r="AD49" i="154"/>
  <c r="Z50" i="154"/>
  <c r="AB50" i="154" s="1"/>
  <c r="AD54" i="154"/>
  <c r="AD61" i="154"/>
  <c r="Z62" i="154"/>
  <c r="AB62" i="154" s="1"/>
  <c r="AB60" i="154" s="1"/>
  <c r="Z66" i="154"/>
  <c r="Y69" i="154"/>
  <c r="O71" i="154"/>
  <c r="T74" i="154"/>
  <c r="V74" i="154" s="1"/>
  <c r="AJ88" i="154"/>
  <c r="U90" i="154"/>
  <c r="Z90" i="154"/>
  <c r="X91" i="154"/>
  <c r="V91" i="154"/>
  <c r="Y98" i="154"/>
  <c r="AD99" i="154"/>
  <c r="U101" i="154"/>
  <c r="AD101" i="154" s="1"/>
  <c r="U103" i="154"/>
  <c r="AD103" i="154" s="1"/>
  <c r="Z106" i="154"/>
  <c r="AB106" i="154" s="1"/>
  <c r="V106" i="154"/>
  <c r="U106" i="154"/>
  <c r="AD111" i="154"/>
  <c r="Y125" i="154"/>
  <c r="AD125" i="154"/>
  <c r="M134" i="154"/>
  <c r="M133" i="154" s="1"/>
  <c r="AA152" i="154"/>
  <c r="AD152" i="154"/>
  <c r="Y201" i="154"/>
  <c r="AD201" i="154"/>
  <c r="AA201" i="154"/>
  <c r="AJ85" i="154"/>
  <c r="Z101" i="154"/>
  <c r="AB101" i="154" s="1"/>
  <c r="V101" i="154"/>
  <c r="AD105" i="154"/>
  <c r="Y105" i="154"/>
  <c r="U144" i="154"/>
  <c r="T143" i="154"/>
  <c r="Z144" i="154"/>
  <c r="X144" i="154"/>
  <c r="X143" i="154" s="1"/>
  <c r="V144" i="154"/>
  <c r="V147" i="154"/>
  <c r="U147" i="154"/>
  <c r="AD147" i="154" s="1"/>
  <c r="X147" i="154"/>
  <c r="U19" i="154"/>
  <c r="AA20" i="154"/>
  <c r="AD28" i="154"/>
  <c r="U32" i="154"/>
  <c r="AA33" i="154"/>
  <c r="T36" i="154"/>
  <c r="V36" i="154" s="1"/>
  <c r="U38" i="154"/>
  <c r="Z39" i="154"/>
  <c r="AB39" i="154" s="1"/>
  <c r="Z43" i="154"/>
  <c r="Z45" i="154"/>
  <c r="AB45" i="154" s="1"/>
  <c r="AD47" i="154"/>
  <c r="Z48" i="154"/>
  <c r="AB48" i="154" s="1"/>
  <c r="U52" i="154"/>
  <c r="AA53" i="154"/>
  <c r="V61" i="154"/>
  <c r="U64" i="154"/>
  <c r="Y67" i="154"/>
  <c r="U68" i="154"/>
  <c r="AD68" i="154" s="1"/>
  <c r="AA69" i="154"/>
  <c r="X72" i="154"/>
  <c r="X77" i="154"/>
  <c r="X74" i="154" s="1"/>
  <c r="Y79" i="154"/>
  <c r="Y78" i="154" s="1"/>
  <c r="T85" i="154"/>
  <c r="X86" i="154"/>
  <c r="V86" i="154"/>
  <c r="T88" i="154"/>
  <c r="X90" i="154"/>
  <c r="Y91" i="154"/>
  <c r="X92" i="154"/>
  <c r="X95" i="154"/>
  <c r="Y96" i="154"/>
  <c r="AD96" i="154"/>
  <c r="AA98" i="154"/>
  <c r="X101" i="154"/>
  <c r="X102" i="154"/>
  <c r="Y120" i="154"/>
  <c r="Y122" i="154"/>
  <c r="AD137" i="154"/>
  <c r="Y139" i="154"/>
  <c r="AD139" i="154"/>
  <c r="Z141" i="154"/>
  <c r="AB141" i="154" s="1"/>
  <c r="V141" i="154"/>
  <c r="U141" i="154"/>
  <c r="U136" i="154" s="1"/>
  <c r="Z147" i="154"/>
  <c r="AB147" i="154" s="1"/>
  <c r="V149" i="154"/>
  <c r="Z149" i="154"/>
  <c r="AB149" i="154" s="1"/>
  <c r="U149" i="154"/>
  <c r="AD154" i="154"/>
  <c r="AA154" i="154"/>
  <c r="T156" i="154"/>
  <c r="V19" i="154"/>
  <c r="S25" i="154"/>
  <c r="T30" i="154"/>
  <c r="V32" i="154"/>
  <c r="V38" i="154"/>
  <c r="V52" i="154"/>
  <c r="V64" i="154"/>
  <c r="V68" i="154"/>
  <c r="Y92" i="154"/>
  <c r="Y102" i="154"/>
  <c r="Y104" i="154"/>
  <c r="S115" i="154"/>
  <c r="AJ115" i="154" s="1"/>
  <c r="AJ135" i="154"/>
  <c r="X141" i="154"/>
  <c r="X149" i="154"/>
  <c r="Y154" i="154"/>
  <c r="X19" i="154"/>
  <c r="U26" i="154"/>
  <c r="X32" i="154"/>
  <c r="Y34" i="154"/>
  <c r="T35" i="154"/>
  <c r="X38" i="154"/>
  <c r="U41" i="154"/>
  <c r="Y44" i="154"/>
  <c r="V47" i="154"/>
  <c r="Y49" i="154"/>
  <c r="U50" i="154"/>
  <c r="X52" i="154"/>
  <c r="Y54" i="154"/>
  <c r="T55" i="154"/>
  <c r="Y61" i="154"/>
  <c r="U62" i="154"/>
  <c r="X64" i="154"/>
  <c r="U66" i="154"/>
  <c r="X68" i="154"/>
  <c r="Z72" i="154"/>
  <c r="U73" i="154"/>
  <c r="U75" i="154"/>
  <c r="AA77" i="154"/>
  <c r="AA79" i="154"/>
  <c r="O82" i="154"/>
  <c r="Y86" i="154"/>
  <c r="Z92" i="154"/>
  <c r="AB92" i="154" s="1"/>
  <c r="AD93" i="154"/>
  <c r="Z103" i="154"/>
  <c r="AB104" i="154"/>
  <c r="AB103" i="154" s="1"/>
  <c r="AA105" i="154"/>
  <c r="AA103" i="154" s="1"/>
  <c r="Z110" i="154"/>
  <c r="AB110" i="154" s="1"/>
  <c r="V110" i="154"/>
  <c r="U110" i="154"/>
  <c r="U107" i="154" s="1"/>
  <c r="AD107" i="154" s="1"/>
  <c r="Z131" i="154"/>
  <c r="V131" i="154"/>
  <c r="U131" i="154"/>
  <c r="N134" i="154"/>
  <c r="AJ156" i="154"/>
  <c r="X97" i="154"/>
  <c r="V97" i="154"/>
  <c r="AD102" i="154"/>
  <c r="AD109" i="154"/>
  <c r="Y109" i="154"/>
  <c r="M114" i="154"/>
  <c r="M82" i="154" s="1"/>
  <c r="AJ116" i="154"/>
  <c r="Y128" i="154"/>
  <c r="AD128" i="154"/>
  <c r="X131" i="154"/>
  <c r="X129" i="154" s="1"/>
  <c r="AA138" i="154"/>
  <c r="Y138" i="154"/>
  <c r="AD138" i="154"/>
  <c r="T145" i="154"/>
  <c r="V145" i="154" s="1"/>
  <c r="X146" i="154"/>
  <c r="U146" i="154"/>
  <c r="Z146" i="154"/>
  <c r="T18" i="154"/>
  <c r="V20" i="154"/>
  <c r="T29" i="154"/>
  <c r="V33" i="154"/>
  <c r="U39" i="154"/>
  <c r="U43" i="154"/>
  <c r="U45" i="154"/>
  <c r="U48" i="154"/>
  <c r="V53" i="154"/>
  <c r="X66" i="154"/>
  <c r="X65" i="154" s="1"/>
  <c r="V69" i="154"/>
  <c r="X73" i="154"/>
  <c r="T89" i="154"/>
  <c r="V89" i="154" s="1"/>
  <c r="AA95" i="154"/>
  <c r="AA96" i="154"/>
  <c r="U97" i="154"/>
  <c r="Y99" i="154"/>
  <c r="AA100" i="154"/>
  <c r="AD104" i="154"/>
  <c r="X107" i="154"/>
  <c r="Y111" i="154"/>
  <c r="AA112" i="154"/>
  <c r="AJ129" i="154"/>
  <c r="V137" i="154"/>
  <c r="X137" i="154"/>
  <c r="T136" i="154"/>
  <c r="AA139" i="154"/>
  <c r="Z75" i="154"/>
  <c r="AA80" i="154"/>
  <c r="S84" i="154"/>
  <c r="AD86" i="154"/>
  <c r="AD87" i="154"/>
  <c r="AD95" i="154"/>
  <c r="Z99" i="154"/>
  <c r="AB99" i="154" s="1"/>
  <c r="AD100" i="154"/>
  <c r="Y108" i="154"/>
  <c r="Z111" i="154"/>
  <c r="AB111" i="154" s="1"/>
  <c r="AD112" i="154"/>
  <c r="Z117" i="154"/>
  <c r="AB117" i="154" s="1"/>
  <c r="V117" i="154"/>
  <c r="U117" i="154"/>
  <c r="U118" i="154"/>
  <c r="Z118" i="154"/>
  <c r="AB118" i="154" s="1"/>
  <c r="X119" i="154"/>
  <c r="V119" i="154"/>
  <c r="X121" i="154"/>
  <c r="V121" i="154"/>
  <c r="X123" i="154"/>
  <c r="V123" i="154"/>
  <c r="AD124" i="154"/>
  <c r="Y124" i="154"/>
  <c r="Y127" i="154"/>
  <c r="AD127" i="154"/>
  <c r="T129" i="154"/>
  <c r="V129" i="154" s="1"/>
  <c r="V150" i="154"/>
  <c r="U150" i="154"/>
  <c r="AD150" i="154" s="1"/>
  <c r="X150" i="154"/>
  <c r="V153" i="154"/>
  <c r="X153" i="154"/>
  <c r="U153" i="154"/>
  <c r="Z153" i="154"/>
  <c r="AB153" i="154" s="1"/>
  <c r="V154" i="154"/>
  <c r="Y161" i="154"/>
  <c r="V162" i="154"/>
  <c r="J167" i="154"/>
  <c r="J166" i="154" s="1"/>
  <c r="R171" i="154"/>
  <c r="R167" i="154" s="1"/>
  <c r="R166" i="154" s="1"/>
  <c r="T180" i="154"/>
  <c r="V180" i="154" s="1"/>
  <c r="Y183" i="154"/>
  <c r="X186" i="154"/>
  <c r="X200" i="154"/>
  <c r="V201" i="154"/>
  <c r="AJ209" i="154"/>
  <c r="X217" i="154"/>
  <c r="U217" i="154"/>
  <c r="AB271" i="154"/>
  <c r="AD273" i="154"/>
  <c r="U148" i="154"/>
  <c r="AD148" i="154" s="1"/>
  <c r="U151" i="154"/>
  <c r="AD151" i="154" s="1"/>
  <c r="X154" i="154"/>
  <c r="Z161" i="154"/>
  <c r="AB161" i="154" s="1"/>
  <c r="V168" i="154"/>
  <c r="Z169" i="154"/>
  <c r="V169" i="154"/>
  <c r="S171" i="154"/>
  <c r="AJ171" i="154" s="1"/>
  <c r="AA183" i="154"/>
  <c r="Z185" i="154"/>
  <c r="AB185" i="154" s="1"/>
  <c r="Z186" i="154"/>
  <c r="AB186" i="154" s="1"/>
  <c r="Y198" i="154"/>
  <c r="X201" i="154"/>
  <c r="U226" i="154"/>
  <c r="T224" i="154"/>
  <c r="Z226" i="154"/>
  <c r="AB226" i="154" s="1"/>
  <c r="X226" i="154"/>
  <c r="V226" i="154"/>
  <c r="U234" i="154"/>
  <c r="Z234" i="154"/>
  <c r="AB234" i="154" s="1"/>
  <c r="X234" i="154"/>
  <c r="V234" i="154"/>
  <c r="AB295" i="154"/>
  <c r="Z162" i="154"/>
  <c r="AB162" i="154" s="1"/>
  <c r="Z165" i="154"/>
  <c r="AB165" i="154" s="1"/>
  <c r="V165" i="154"/>
  <c r="U169" i="154"/>
  <c r="U170" i="154"/>
  <c r="P171" i="154"/>
  <c r="P167" i="154" s="1"/>
  <c r="P166" i="154" s="1"/>
  <c r="Z174" i="154"/>
  <c r="AB174" i="154" s="1"/>
  <c r="AB172" i="154" s="1"/>
  <c r="V174" i="154"/>
  <c r="T177" i="154"/>
  <c r="V177" i="154" s="1"/>
  <c r="U178" i="154"/>
  <c r="Y192" i="154"/>
  <c r="X194" i="154"/>
  <c r="V195" i="154"/>
  <c r="AA198" i="154"/>
  <c r="Z200" i="154"/>
  <c r="AB200" i="154" s="1"/>
  <c r="Z201" i="154"/>
  <c r="AB201" i="154" s="1"/>
  <c r="X203" i="154"/>
  <c r="Z204" i="154"/>
  <c r="AB204" i="154" s="1"/>
  <c r="V204" i="154"/>
  <c r="U210" i="154"/>
  <c r="U211" i="154"/>
  <c r="AA212" i="154"/>
  <c r="Y212" i="154"/>
  <c r="X213" i="154"/>
  <c r="U213" i="154"/>
  <c r="Z221" i="154"/>
  <c r="V221" i="154"/>
  <c r="U222" i="154"/>
  <c r="AD94" i="154"/>
  <c r="Y140" i="154"/>
  <c r="AJ149" i="154"/>
  <c r="V152" i="154"/>
  <c r="Z154" i="154"/>
  <c r="AB154" i="154" s="1"/>
  <c r="X155" i="154"/>
  <c r="Z157" i="154"/>
  <c r="AB157" i="154" s="1"/>
  <c r="V157" i="154"/>
  <c r="AD161" i="154"/>
  <c r="U165" i="154"/>
  <c r="X169" i="154"/>
  <c r="X168" i="154" s="1"/>
  <c r="X170" i="154"/>
  <c r="U174" i="154"/>
  <c r="U175" i="154"/>
  <c r="V178" i="154"/>
  <c r="X181" i="154"/>
  <c r="Z192" i="154"/>
  <c r="Z194" i="154"/>
  <c r="AB194" i="154" s="1"/>
  <c r="X195" i="154"/>
  <c r="U196" i="154"/>
  <c r="AA202" i="154"/>
  <c r="Y203" i="154"/>
  <c r="U204" i="154"/>
  <c r="Y206" i="154"/>
  <c r="Y205" i="154" s="1"/>
  <c r="X210" i="154"/>
  <c r="V211" i="154"/>
  <c r="V212" i="154"/>
  <c r="V213" i="154"/>
  <c r="AD214" i="154"/>
  <c r="AA214" i="154"/>
  <c r="X222" i="154"/>
  <c r="AJ224" i="154"/>
  <c r="AA240" i="154"/>
  <c r="AD240" i="154"/>
  <c r="Y240" i="154"/>
  <c r="AD245" i="154"/>
  <c r="AA245" i="154"/>
  <c r="Y245" i="154"/>
  <c r="V256" i="154"/>
  <c r="U256" i="154"/>
  <c r="Z256" i="154"/>
  <c r="AB256" i="154" s="1"/>
  <c r="X256" i="154"/>
  <c r="AA270" i="154"/>
  <c r="Y270" i="154"/>
  <c r="T113" i="154"/>
  <c r="T126" i="154"/>
  <c r="Z151" i="154"/>
  <c r="AB151" i="154" s="1"/>
  <c r="AA163" i="154"/>
  <c r="Y164" i="154"/>
  <c r="X165" i="154"/>
  <c r="X174" i="154"/>
  <c r="X175" i="154"/>
  <c r="X178" i="154"/>
  <c r="X177" i="154" s="1"/>
  <c r="AA193" i="154"/>
  <c r="AA194" i="154"/>
  <c r="Y195" i="154"/>
  <c r="V196" i="154"/>
  <c r="Z203" i="154"/>
  <c r="AB203" i="154" s="1"/>
  <c r="X204" i="154"/>
  <c r="V208" i="154"/>
  <c r="X211" i="154"/>
  <c r="X212" i="154"/>
  <c r="Y219" i="154"/>
  <c r="X221" i="154"/>
  <c r="Z222" i="154"/>
  <c r="AB222" i="154" s="1"/>
  <c r="AJ223" i="154"/>
  <c r="AB225" i="154"/>
  <c r="X228" i="154"/>
  <c r="U228" i="154"/>
  <c r="Z228" i="154"/>
  <c r="AB228" i="154" s="1"/>
  <c r="T258" i="154"/>
  <c r="AA155" i="154"/>
  <c r="Z184" i="154"/>
  <c r="V184" i="154"/>
  <c r="AA206" i="154"/>
  <c r="Z210" i="154"/>
  <c r="Y233" i="154"/>
  <c r="AD233" i="154"/>
  <c r="AA233" i="154"/>
  <c r="X257" i="154"/>
  <c r="U257" i="154"/>
  <c r="Z257" i="154"/>
  <c r="AB257" i="154" s="1"/>
  <c r="V257" i="154"/>
  <c r="Z263" i="154"/>
  <c r="AB263" i="154" s="1"/>
  <c r="U263" i="154"/>
  <c r="V263" i="154"/>
  <c r="X263" i="154"/>
  <c r="AJ147" i="154"/>
  <c r="V161" i="154"/>
  <c r="U184" i="154"/>
  <c r="U185" i="154"/>
  <c r="U186" i="154"/>
  <c r="Z199" i="154"/>
  <c r="AB199" i="154" s="1"/>
  <c r="V199" i="154"/>
  <c r="AD230" i="154"/>
  <c r="AA230" i="154"/>
  <c r="X237" i="154"/>
  <c r="U237" i="154"/>
  <c r="Z237" i="154"/>
  <c r="AB237" i="154" s="1"/>
  <c r="V237" i="154"/>
  <c r="V238" i="154"/>
  <c r="AD262" i="154"/>
  <c r="Y262" i="154"/>
  <c r="AA262" i="154"/>
  <c r="AD155" i="154"/>
  <c r="X161" i="154"/>
  <c r="U162" i="154"/>
  <c r="N167" i="154"/>
  <c r="AJ180" i="154"/>
  <c r="X184" i="154"/>
  <c r="X185" i="154"/>
  <c r="AD195" i="154"/>
  <c r="U199" i="154"/>
  <c r="U200" i="154"/>
  <c r="AA208" i="154"/>
  <c r="T209" i="154"/>
  <c r="V209" i="154" s="1"/>
  <c r="AD212" i="154"/>
  <c r="P223" i="154"/>
  <c r="P189" i="154" s="1"/>
  <c r="P188" i="154" s="1"/>
  <c r="AD241" i="154"/>
  <c r="AA241" i="154"/>
  <c r="Y241" i="154"/>
  <c r="U271" i="154"/>
  <c r="AD271" i="154" s="1"/>
  <c r="N258" i="154"/>
  <c r="U229" i="154"/>
  <c r="X231" i="154"/>
  <c r="V243" i="154"/>
  <c r="V247" i="154"/>
  <c r="Z260" i="154"/>
  <c r="AB260" i="154" s="1"/>
  <c r="Z261" i="154"/>
  <c r="AB261" i="154" s="1"/>
  <c r="U264" i="154"/>
  <c r="U265" i="154"/>
  <c r="AD268" i="154"/>
  <c r="V271" i="154"/>
  <c r="V275" i="154"/>
  <c r="Z293" i="154"/>
  <c r="AB293" i="154" s="1"/>
  <c r="U293" i="154"/>
  <c r="Z305" i="154"/>
  <c r="AB305" i="154" s="1"/>
  <c r="U305" i="154"/>
  <c r="V306" i="154"/>
  <c r="U306" i="154"/>
  <c r="Z307" i="154"/>
  <c r="AB307" i="154" s="1"/>
  <c r="V307" i="154"/>
  <c r="U308" i="154"/>
  <c r="U309" i="154"/>
  <c r="Y310" i="154"/>
  <c r="AD310" i="154"/>
  <c r="X315" i="154"/>
  <c r="T314" i="154"/>
  <c r="V314" i="154" s="1"/>
  <c r="V315" i="154"/>
  <c r="AB327" i="154"/>
  <c r="AD347" i="154"/>
  <c r="Y347" i="154"/>
  <c r="Z350" i="154"/>
  <c r="AB350" i="154" s="1"/>
  <c r="V350" i="154"/>
  <c r="U350" i="154"/>
  <c r="AD368" i="154"/>
  <c r="AA368" i="154"/>
  <c r="AA376" i="154"/>
  <c r="Y376" i="154"/>
  <c r="AD376" i="154"/>
  <c r="V229" i="154"/>
  <c r="Z236" i="154"/>
  <c r="AB236" i="154" s="1"/>
  <c r="Z240" i="154"/>
  <c r="AB240" i="154" s="1"/>
  <c r="Z241" i="154"/>
  <c r="AB241" i="154" s="1"/>
  <c r="Z245" i="154"/>
  <c r="AA261" i="154"/>
  <c r="X264" i="154"/>
  <c r="V265" i="154"/>
  <c r="Y266" i="154"/>
  <c r="AD266" i="154"/>
  <c r="U267" i="154"/>
  <c r="Z267" i="154"/>
  <c r="AB267" i="154" s="1"/>
  <c r="Z270" i="154"/>
  <c r="AB270" i="154" s="1"/>
  <c r="X271" i="154"/>
  <c r="Z273" i="154"/>
  <c r="Z279" i="154"/>
  <c r="AB279" i="154" s="1"/>
  <c r="U279" i="154"/>
  <c r="V280" i="154"/>
  <c r="U280" i="154"/>
  <c r="Y282" i="154"/>
  <c r="AD282" i="154"/>
  <c r="T287" i="154"/>
  <c r="V287" i="154" s="1"/>
  <c r="X291" i="154"/>
  <c r="V291" i="154"/>
  <c r="AD292" i="154"/>
  <c r="Y292" i="154"/>
  <c r="X303" i="154"/>
  <c r="V303" i="154"/>
  <c r="AD304" i="154"/>
  <c r="Y304" i="154"/>
  <c r="U307" i="154"/>
  <c r="V309" i="154"/>
  <c r="Y312" i="154"/>
  <c r="AA346" i="154"/>
  <c r="X354" i="154"/>
  <c r="V354" i="154"/>
  <c r="U354" i="154"/>
  <c r="AD403" i="154"/>
  <c r="Y403" i="154"/>
  <c r="AA403" i="154"/>
  <c r="AD250" i="154"/>
  <c r="Y250" i="154"/>
  <c r="Z251" i="154"/>
  <c r="AB251" i="154" s="1"/>
  <c r="U251" i="154"/>
  <c r="AD260" i="154"/>
  <c r="Z284" i="154"/>
  <c r="AB284" i="154" s="1"/>
  <c r="U284" i="154"/>
  <c r="Y288" i="154"/>
  <c r="AD288" i="154"/>
  <c r="Z290" i="154"/>
  <c r="AB290" i="154" s="1"/>
  <c r="V290" i="154"/>
  <c r="Z297" i="154"/>
  <c r="AB297" i="154" s="1"/>
  <c r="U297" i="154"/>
  <c r="V298" i="154"/>
  <c r="U298" i="154"/>
  <c r="U299" i="154"/>
  <c r="Y300" i="154"/>
  <c r="Z302" i="154"/>
  <c r="AB302" i="154" s="1"/>
  <c r="V302" i="154"/>
  <c r="U303" i="154"/>
  <c r="AA311" i="154"/>
  <c r="AA312" i="154"/>
  <c r="Y315" i="154"/>
  <c r="V322" i="154"/>
  <c r="X322" i="154"/>
  <c r="U322" i="154"/>
  <c r="AA323" i="154"/>
  <c r="AD329" i="154"/>
  <c r="Z344" i="154"/>
  <c r="AB344" i="154" s="1"/>
  <c r="X344" i="154"/>
  <c r="V344" i="154"/>
  <c r="Y346" i="154"/>
  <c r="Z354" i="154"/>
  <c r="AB354" i="154" s="1"/>
  <c r="U358" i="154"/>
  <c r="AD358" i="154" s="1"/>
  <c r="N345" i="154"/>
  <c r="N330" i="154" s="1"/>
  <c r="Y379" i="154"/>
  <c r="AA379" i="154"/>
  <c r="AD379" i="154"/>
  <c r="AD408" i="154"/>
  <c r="Y408" i="154"/>
  <c r="AA408" i="154"/>
  <c r="T244" i="154"/>
  <c r="V244" i="154" s="1"/>
  <c r="Y248" i="154"/>
  <c r="U259" i="154"/>
  <c r="Z259" i="154"/>
  <c r="Z264" i="154"/>
  <c r="AB264" i="154" s="1"/>
  <c r="Z265" i="154"/>
  <c r="AB265" i="154" s="1"/>
  <c r="T272" i="154"/>
  <c r="V272" i="154" s="1"/>
  <c r="X295" i="154"/>
  <c r="V295" i="154"/>
  <c r="Y296" i="154"/>
  <c r="Y319" i="154"/>
  <c r="AD319" i="154"/>
  <c r="AD321" i="154"/>
  <c r="Y321" i="154"/>
  <c r="Z326" i="154"/>
  <c r="AB326" i="154" s="1"/>
  <c r="V326" i="154"/>
  <c r="U326" i="154"/>
  <c r="V340" i="154"/>
  <c r="U340" i="154"/>
  <c r="X340" i="154"/>
  <c r="AA344" i="154"/>
  <c r="AD344" i="154"/>
  <c r="Z353" i="154"/>
  <c r="AB353" i="154" s="1"/>
  <c r="V353" i="154"/>
  <c r="X353" i="154"/>
  <c r="Z358" i="154"/>
  <c r="AB358" i="154" s="1"/>
  <c r="V358" i="154"/>
  <c r="X364" i="154"/>
  <c r="Z364" i="154"/>
  <c r="AB364" i="154" s="1"/>
  <c r="V364" i="154"/>
  <c r="AA367" i="154"/>
  <c r="AD367" i="154"/>
  <c r="Z239" i="154"/>
  <c r="U239" i="154"/>
  <c r="Z280" i="154"/>
  <c r="AB280" i="154" s="1"/>
  <c r="Y283" i="154"/>
  <c r="X284" i="154"/>
  <c r="X290" i="154"/>
  <c r="Z291" i="154"/>
  <c r="AB291" i="154" s="1"/>
  <c r="U295" i="154"/>
  <c r="Z303" i="154"/>
  <c r="AB303" i="154" s="1"/>
  <c r="AD311" i="154"/>
  <c r="AD315" i="154"/>
  <c r="Z322" i="154"/>
  <c r="AB322" i="154" s="1"/>
  <c r="X326" i="154"/>
  <c r="Z340" i="154"/>
  <c r="AB340" i="154" s="1"/>
  <c r="Y344" i="154"/>
  <c r="V349" i="154"/>
  <c r="U349" i="154"/>
  <c r="X349" i="154"/>
  <c r="U353" i="154"/>
  <c r="X358" i="154"/>
  <c r="U364" i="154"/>
  <c r="Y367" i="154"/>
  <c r="N410" i="154"/>
  <c r="U236" i="154"/>
  <c r="V239" i="154"/>
  <c r="Y254" i="154"/>
  <c r="AD254" i="154"/>
  <c r="U255" i="154"/>
  <c r="Z255" i="154"/>
  <c r="AB255" i="154" s="1"/>
  <c r="Z318" i="154"/>
  <c r="AB318" i="154" s="1"/>
  <c r="V318" i="154"/>
  <c r="U318" i="154"/>
  <c r="V324" i="154"/>
  <c r="X324" i="154"/>
  <c r="X334" i="154"/>
  <c r="Z334" i="154"/>
  <c r="AB334" i="154" s="1"/>
  <c r="V334" i="154"/>
  <c r="Z339" i="154"/>
  <c r="AB339" i="154" s="1"/>
  <c r="V339" i="154"/>
  <c r="X339" i="154"/>
  <c r="AD346" i="154"/>
  <c r="Z372" i="154"/>
  <c r="AB372" i="154" s="1"/>
  <c r="X372" i="154"/>
  <c r="V372" i="154"/>
  <c r="AD377" i="154"/>
  <c r="Y377" i="154"/>
  <c r="AA400" i="154"/>
  <c r="Y400" i="154"/>
  <c r="AD400" i="154"/>
  <c r="Y414" i="154"/>
  <c r="AA414" i="154"/>
  <c r="AD414" i="154"/>
  <c r="Z313" i="154"/>
  <c r="AB313" i="154" s="1"/>
  <c r="V313" i="154"/>
  <c r="Y334" i="154"/>
  <c r="AD334" i="154"/>
  <c r="Y339" i="154"/>
  <c r="AD339" i="154"/>
  <c r="Z348" i="154"/>
  <c r="AB348" i="154" s="1"/>
  <c r="X348" i="154"/>
  <c r="V348" i="154"/>
  <c r="T359" i="154"/>
  <c r="V359" i="154" s="1"/>
  <c r="U372" i="154"/>
  <c r="Y242" i="154"/>
  <c r="AD242" i="154"/>
  <c r="U243" i="154"/>
  <c r="Z243" i="154"/>
  <c r="AB243" i="154" s="1"/>
  <c r="Y246" i="154"/>
  <c r="AD246" i="154"/>
  <c r="U247" i="154"/>
  <c r="Z247" i="154"/>
  <c r="AB247" i="154" s="1"/>
  <c r="Y274" i="154"/>
  <c r="AD274" i="154"/>
  <c r="U275" i="154"/>
  <c r="Z275" i="154"/>
  <c r="AB275" i="154" s="1"/>
  <c r="AD302" i="154"/>
  <c r="X308" i="154"/>
  <c r="V308" i="154"/>
  <c r="U313" i="154"/>
  <c r="Y329" i="154"/>
  <c r="U341" i="154"/>
  <c r="Z341" i="154"/>
  <c r="AB341" i="154" s="1"/>
  <c r="V341" i="154"/>
  <c r="U348" i="154"/>
  <c r="V363" i="154"/>
  <c r="X363" i="154"/>
  <c r="U363" i="154"/>
  <c r="AA369" i="154"/>
  <c r="Y369" i="154"/>
  <c r="AD369" i="154"/>
  <c r="Z283" i="154"/>
  <c r="AB283" i="154" s="1"/>
  <c r="Z285" i="154"/>
  <c r="AB285" i="154" s="1"/>
  <c r="Z289" i="154"/>
  <c r="Z301" i="154"/>
  <c r="AB301" i="154" s="1"/>
  <c r="Z312" i="154"/>
  <c r="AB312" i="154" s="1"/>
  <c r="U317" i="154"/>
  <c r="Z323" i="154"/>
  <c r="AB323" i="154" s="1"/>
  <c r="V325" i="154"/>
  <c r="U328" i="154"/>
  <c r="X329" i="154"/>
  <c r="X327" i="154" s="1"/>
  <c r="V329" i="154"/>
  <c r="V332" i="154"/>
  <c r="U332" i="154"/>
  <c r="U342" i="154"/>
  <c r="X346" i="154"/>
  <c r="V346" i="154"/>
  <c r="U356" i="154"/>
  <c r="V357" i="154"/>
  <c r="U357" i="154"/>
  <c r="AA360" i="154"/>
  <c r="AD365" i="154"/>
  <c r="Y365" i="154"/>
  <c r="AD371" i="154"/>
  <c r="AA371" i="154"/>
  <c r="Z395" i="154"/>
  <c r="AB395" i="154" s="1"/>
  <c r="X395" i="154"/>
  <c r="V395" i="154"/>
  <c r="X398" i="154"/>
  <c r="V398" i="154"/>
  <c r="U398" i="154"/>
  <c r="Z398" i="154"/>
  <c r="AB398" i="154" s="1"/>
  <c r="Z427" i="154"/>
  <c r="AB428" i="154"/>
  <c r="T431" i="154"/>
  <c r="AA392" i="154"/>
  <c r="Y392" i="154"/>
  <c r="AD392" i="154"/>
  <c r="Y395" i="154"/>
  <c r="AA395" i="154"/>
  <c r="AB403" i="154"/>
  <c r="Z412" i="154"/>
  <c r="X412" i="154"/>
  <c r="T411" i="154"/>
  <c r="V412" i="154"/>
  <c r="Y436" i="154"/>
  <c r="AD436" i="154"/>
  <c r="P461" i="154"/>
  <c r="P460" i="154"/>
  <c r="X405" i="154"/>
  <c r="X402" i="154" s="1"/>
  <c r="V405" i="154"/>
  <c r="U405" i="154"/>
  <c r="Z405" i="154"/>
  <c r="AB405" i="154" s="1"/>
  <c r="Z407" i="154"/>
  <c r="T406" i="154"/>
  <c r="V406" i="154" s="1"/>
  <c r="X407" i="154"/>
  <c r="X406" i="154" s="1"/>
  <c r="V407" i="154"/>
  <c r="Y412" i="154"/>
  <c r="AA412" i="154"/>
  <c r="X455" i="154"/>
  <c r="U455" i="154"/>
  <c r="Z455" i="154"/>
  <c r="AB455" i="154" s="1"/>
  <c r="V455" i="154"/>
  <c r="Z325" i="154"/>
  <c r="AB325" i="154" s="1"/>
  <c r="D330" i="154"/>
  <c r="D189" i="154" s="1"/>
  <c r="D188" i="154" s="1"/>
  <c r="D187" i="154" s="1"/>
  <c r="V362" i="154"/>
  <c r="U362" i="154"/>
  <c r="Z362" i="154"/>
  <c r="X370" i="154"/>
  <c r="V370" i="154"/>
  <c r="U370" i="154"/>
  <c r="Z370" i="154"/>
  <c r="AB370" i="154" s="1"/>
  <c r="T373" i="154"/>
  <c r="V373" i="154" s="1"/>
  <c r="X374" i="154"/>
  <c r="V374" i="154"/>
  <c r="U374" i="154"/>
  <c r="Z374" i="154"/>
  <c r="AD383" i="154"/>
  <c r="AA383" i="154"/>
  <c r="U407" i="154"/>
  <c r="AD412" i="154"/>
  <c r="U336" i="154"/>
  <c r="X337" i="154"/>
  <c r="V337" i="154"/>
  <c r="U351" i="154"/>
  <c r="AA355" i="154"/>
  <c r="Y361" i="154"/>
  <c r="AD361" i="154"/>
  <c r="X362" i="154"/>
  <c r="AA365" i="154"/>
  <c r="Y383" i="154"/>
  <c r="X386" i="154"/>
  <c r="X384" i="154" s="1"/>
  <c r="V386" i="154"/>
  <c r="U386" i="154"/>
  <c r="Z386" i="154"/>
  <c r="AB386" i="154" s="1"/>
  <c r="AB384" i="154" s="1"/>
  <c r="X390" i="154"/>
  <c r="V390" i="154"/>
  <c r="U390" i="154"/>
  <c r="Z390" i="154"/>
  <c r="AB390" i="154" s="1"/>
  <c r="AD396" i="154"/>
  <c r="Y396" i="154"/>
  <c r="Z414" i="154"/>
  <c r="AB414" i="154" s="1"/>
  <c r="X414" i="154"/>
  <c r="V414" i="154"/>
  <c r="Z418" i="154"/>
  <c r="AB418" i="154" s="1"/>
  <c r="AB415" i="154" s="1"/>
  <c r="X418" i="154"/>
  <c r="X415" i="154" s="1"/>
  <c r="V418" i="154"/>
  <c r="T415" i="154"/>
  <c r="V415" i="154" s="1"/>
  <c r="Z422" i="154"/>
  <c r="AB422" i="154" s="1"/>
  <c r="X422" i="154"/>
  <c r="V422" i="154"/>
  <c r="T419" i="154"/>
  <c r="V419" i="154" s="1"/>
  <c r="X426" i="154"/>
  <c r="V426" i="154"/>
  <c r="U426" i="154"/>
  <c r="Z426" i="154"/>
  <c r="AB426" i="154" s="1"/>
  <c r="T423" i="154"/>
  <c r="V423" i="154" s="1"/>
  <c r="AA429" i="154"/>
  <c r="AA427" i="154" s="1"/>
  <c r="Y429" i="154"/>
  <c r="Y427" i="154" s="1"/>
  <c r="U437" i="154"/>
  <c r="Z437" i="154"/>
  <c r="AB437" i="154" s="1"/>
  <c r="X437" i="154"/>
  <c r="V437" i="154"/>
  <c r="O433" i="154"/>
  <c r="U441" i="154"/>
  <c r="Y418" i="154"/>
  <c r="AA418" i="154"/>
  <c r="U422" i="154"/>
  <c r="AB434" i="154"/>
  <c r="AD440" i="154"/>
  <c r="AA440" i="154"/>
  <c r="Y440" i="154"/>
  <c r="Z367" i="154"/>
  <c r="AB367" i="154" s="1"/>
  <c r="X367" i="154"/>
  <c r="V367" i="154"/>
  <c r="AD375" i="154"/>
  <c r="AA375" i="154"/>
  <c r="Z379" i="154"/>
  <c r="AB379" i="154" s="1"/>
  <c r="X379" i="154"/>
  <c r="V379" i="154"/>
  <c r="X382" i="154"/>
  <c r="V382" i="154"/>
  <c r="U382" i="154"/>
  <c r="Z382" i="154"/>
  <c r="AB382" i="154" s="1"/>
  <c r="AD418" i="154"/>
  <c r="J432" i="154"/>
  <c r="Z467" i="154"/>
  <c r="AB468" i="154"/>
  <c r="AB467" i="154" s="1"/>
  <c r="U366" i="154"/>
  <c r="V371" i="154"/>
  <c r="V375" i="154"/>
  <c r="V383" i="154"/>
  <c r="Z444" i="154"/>
  <c r="AB444" i="154" s="1"/>
  <c r="X444" i="154"/>
  <c r="Z447" i="154"/>
  <c r="AB447" i="154" s="1"/>
  <c r="X447" i="154"/>
  <c r="U468" i="154"/>
  <c r="AD478" i="154"/>
  <c r="AA478" i="154"/>
  <c r="Y478" i="154"/>
  <c r="AD480" i="154"/>
  <c r="AA480" i="154"/>
  <c r="Y480" i="154"/>
  <c r="X375" i="154"/>
  <c r="V378" i="154"/>
  <c r="Y380" i="154"/>
  <c r="U381" i="154"/>
  <c r="X383" i="154"/>
  <c r="U385" i="154"/>
  <c r="U389" i="154"/>
  <c r="V394" i="154"/>
  <c r="U397" i="154"/>
  <c r="T402" i="154"/>
  <c r="V402" i="154" s="1"/>
  <c r="U404" i="154"/>
  <c r="U409" i="154"/>
  <c r="AA453" i="154"/>
  <c r="AB463" i="154"/>
  <c r="T451" i="154"/>
  <c r="T432" i="154" s="1"/>
  <c r="AJ451" i="154"/>
  <c r="Z474" i="154"/>
  <c r="AB474" i="154" s="1"/>
  <c r="AB472" i="154" s="1"/>
  <c r="X474" i="154"/>
  <c r="V474" i="154"/>
  <c r="AD511" i="154"/>
  <c r="AA511" i="154"/>
  <c r="Y511" i="154"/>
  <c r="U450" i="154"/>
  <c r="U445" i="154" s="1"/>
  <c r="AD445" i="154" s="1"/>
  <c r="Z452" i="154"/>
  <c r="AB452" i="154" s="1"/>
  <c r="X452" i="154"/>
  <c r="D461" i="154"/>
  <c r="Y474" i="154"/>
  <c r="AA474" i="154"/>
  <c r="AA491" i="154"/>
  <c r="AD491" i="154"/>
  <c r="Y491" i="154"/>
  <c r="T384" i="154"/>
  <c r="V384" i="154" s="1"/>
  <c r="AA387" i="154"/>
  <c r="T388" i="154"/>
  <c r="V388" i="154" s="1"/>
  <c r="AA391" i="154"/>
  <c r="X392" i="154"/>
  <c r="AA399" i="154"/>
  <c r="X400" i="154"/>
  <c r="X429" i="154"/>
  <c r="X427" i="154" s="1"/>
  <c r="X436" i="154"/>
  <c r="AA439" i="154"/>
  <c r="AA447" i="154"/>
  <c r="Y448" i="154"/>
  <c r="X449" i="154"/>
  <c r="X450" i="154"/>
  <c r="U452" i="154"/>
  <c r="AD463" i="154"/>
  <c r="Y463" i="154"/>
  <c r="X471" i="154"/>
  <c r="V471" i="154"/>
  <c r="U471" i="154"/>
  <c r="Z471" i="154"/>
  <c r="AB471" i="154" s="1"/>
  <c r="AD474" i="154"/>
  <c r="AA378" i="154"/>
  <c r="U393" i="154"/>
  <c r="AA394" i="154"/>
  <c r="U401" i="154"/>
  <c r="U416" i="154"/>
  <c r="AA417" i="154"/>
  <c r="U420" i="154"/>
  <c r="AA421" i="154"/>
  <c r="U424" i="154"/>
  <c r="AA435" i="154"/>
  <c r="Y449" i="154"/>
  <c r="Z450" i="154"/>
  <c r="AB450" i="154" s="1"/>
  <c r="V452" i="154"/>
  <c r="AJ455" i="154"/>
  <c r="Z457" i="154"/>
  <c r="AB457" i="154" s="1"/>
  <c r="X457" i="154"/>
  <c r="E460" i="154"/>
  <c r="E459" i="154" s="1"/>
  <c r="M461" i="154"/>
  <c r="AA464" i="154"/>
  <c r="Y464" i="154"/>
  <c r="AD464" i="154"/>
  <c r="Y477" i="154"/>
  <c r="AD479" i="154"/>
  <c r="AA479" i="154"/>
  <c r="AD519" i="154"/>
  <c r="AA519" i="154"/>
  <c r="Y519" i="154"/>
  <c r="U413" i="154"/>
  <c r="V416" i="154"/>
  <c r="V420" i="154"/>
  <c r="V424" i="154"/>
  <c r="U438" i="154"/>
  <c r="U442" i="154"/>
  <c r="AA448" i="154"/>
  <c r="AA449" i="154"/>
  <c r="V454" i="154"/>
  <c r="U457" i="154"/>
  <c r="AD458" i="154"/>
  <c r="Y458" i="154"/>
  <c r="N461" i="154"/>
  <c r="Y465" i="154"/>
  <c r="Q460" i="154"/>
  <c r="AJ484" i="154"/>
  <c r="X442" i="154"/>
  <c r="Y453" i="154"/>
  <c r="AD456" i="154"/>
  <c r="AA456" i="154"/>
  <c r="V457" i="154"/>
  <c r="X468" i="154"/>
  <c r="X467" i="154" s="1"/>
  <c r="V468" i="154"/>
  <c r="AD503" i="154"/>
  <c r="AA503" i="154"/>
  <c r="Y503" i="154"/>
  <c r="AD466" i="154"/>
  <c r="AD470" i="154"/>
  <c r="V473" i="154"/>
  <c r="U475" i="154"/>
  <c r="V478" i="154"/>
  <c r="V480" i="154"/>
  <c r="T484" i="154"/>
  <c r="X486" i="154"/>
  <c r="U487" i="154"/>
  <c r="Z490" i="154"/>
  <c r="AB490" i="154" s="1"/>
  <c r="V491" i="154"/>
  <c r="AA493" i="154"/>
  <c r="Y494" i="154"/>
  <c r="X495" i="154"/>
  <c r="U496" i="154"/>
  <c r="AD497" i="154"/>
  <c r="Z499" i="154"/>
  <c r="AB499" i="154" s="1"/>
  <c r="Y500" i="154"/>
  <c r="Z502" i="154"/>
  <c r="AB502" i="154" s="1"/>
  <c r="V502" i="154"/>
  <c r="V507" i="154"/>
  <c r="Z510" i="154"/>
  <c r="AB510" i="154" s="1"/>
  <c r="V510" i="154"/>
  <c r="V515" i="154"/>
  <c r="Z518" i="154"/>
  <c r="AB518" i="154" s="1"/>
  <c r="V518" i="154"/>
  <c r="X540" i="154"/>
  <c r="V540" i="154"/>
  <c r="U540" i="154"/>
  <c r="Y561" i="154"/>
  <c r="AD561" i="154"/>
  <c r="Y469" i="154"/>
  <c r="T472" i="154"/>
  <c r="V472" i="154" s="1"/>
  <c r="V475" i="154"/>
  <c r="X478" i="154"/>
  <c r="X480" i="154"/>
  <c r="Y486" i="154"/>
  <c r="X487" i="154"/>
  <c r="X491" i="154"/>
  <c r="AA494" i="154"/>
  <c r="V496" i="154"/>
  <c r="AD498" i="154"/>
  <c r="Y535" i="154"/>
  <c r="AD535" i="154"/>
  <c r="AD552" i="154"/>
  <c r="AA552" i="154"/>
  <c r="Z555" i="154"/>
  <c r="AB555" i="154" s="1"/>
  <c r="V555" i="154"/>
  <c r="U555" i="154"/>
  <c r="X564" i="154"/>
  <c r="V564" i="154"/>
  <c r="U564" i="154"/>
  <c r="Y545" i="154"/>
  <c r="AD545" i="154"/>
  <c r="Y552" i="154"/>
  <c r="X555" i="154"/>
  <c r="Z564" i="154"/>
  <c r="AB564" i="154" s="1"/>
  <c r="X572" i="154"/>
  <c r="V572" i="154"/>
  <c r="U572" i="154"/>
  <c r="Z572" i="154"/>
  <c r="AB572" i="154" s="1"/>
  <c r="X580" i="154"/>
  <c r="V580" i="154"/>
  <c r="U580" i="154"/>
  <c r="Z580" i="154"/>
  <c r="AB580" i="154" s="1"/>
  <c r="X588" i="154"/>
  <c r="V588" i="154"/>
  <c r="U588" i="154"/>
  <c r="Z588" i="154"/>
  <c r="AB588" i="154" s="1"/>
  <c r="AA605" i="154"/>
  <c r="AD605" i="154"/>
  <c r="Y605" i="154"/>
  <c r="Z487" i="154"/>
  <c r="AB487" i="154" s="1"/>
  <c r="U489" i="154"/>
  <c r="Z491" i="154"/>
  <c r="AB491" i="154" s="1"/>
  <c r="Y502" i="154"/>
  <c r="Y510" i="154"/>
  <c r="Y518" i="154"/>
  <c r="Y527" i="154"/>
  <c r="AD527" i="154"/>
  <c r="Z534" i="154"/>
  <c r="AB534" i="154" s="1"/>
  <c r="X534" i="154"/>
  <c r="V534" i="154"/>
  <c r="Z539" i="154"/>
  <c r="V539" i="154"/>
  <c r="U539" i="154"/>
  <c r="T537" i="154"/>
  <c r="X548" i="154"/>
  <c r="V548" i="154"/>
  <c r="U548" i="154"/>
  <c r="Y569" i="154"/>
  <c r="AD569" i="154"/>
  <c r="AA569" i="154"/>
  <c r="Y577" i="154"/>
  <c r="AD577" i="154"/>
  <c r="AA577" i="154"/>
  <c r="Y585" i="154"/>
  <c r="AD585" i="154"/>
  <c r="AA585" i="154"/>
  <c r="Y466" i="154"/>
  <c r="V477" i="154"/>
  <c r="V479" i="154"/>
  <c r="Y488" i="154"/>
  <c r="V489" i="154"/>
  <c r="V498" i="154"/>
  <c r="AA501" i="154"/>
  <c r="Y524" i="154"/>
  <c r="AD524" i="154"/>
  <c r="AD531" i="154"/>
  <c r="AA531" i="154"/>
  <c r="Y531" i="154"/>
  <c r="U534" i="154"/>
  <c r="X539" i="154"/>
  <c r="AA545" i="154"/>
  <c r="Z548" i="154"/>
  <c r="AB548" i="154" s="1"/>
  <c r="AD560" i="154"/>
  <c r="AA560" i="154"/>
  <c r="Z563" i="154"/>
  <c r="AB563" i="154" s="1"/>
  <c r="V563" i="154"/>
  <c r="U563" i="154"/>
  <c r="T476" i="154"/>
  <c r="V476" i="154" s="1"/>
  <c r="X477" i="154"/>
  <c r="X479" i="154"/>
  <c r="X489" i="154"/>
  <c r="X522" i="154"/>
  <c r="V522" i="154"/>
  <c r="U522" i="154"/>
  <c r="AD523" i="154"/>
  <c r="AA523" i="154"/>
  <c r="Z526" i="154"/>
  <c r="AB526" i="154" s="1"/>
  <c r="X526" i="154"/>
  <c r="V526" i="154"/>
  <c r="X530" i="154"/>
  <c r="V530" i="154"/>
  <c r="U530" i="154"/>
  <c r="Y553" i="154"/>
  <c r="AD553" i="154"/>
  <c r="AA497" i="154"/>
  <c r="Z505" i="154"/>
  <c r="AB505" i="154" s="1"/>
  <c r="U505" i="154"/>
  <c r="V506" i="154"/>
  <c r="U506" i="154"/>
  <c r="Z513" i="154"/>
  <c r="AB513" i="154" s="1"/>
  <c r="U513" i="154"/>
  <c r="V514" i="154"/>
  <c r="U514" i="154"/>
  <c r="Z521" i="154"/>
  <c r="AB521" i="154" s="1"/>
  <c r="U521" i="154"/>
  <c r="U526" i="154"/>
  <c r="AD544" i="154"/>
  <c r="AA544" i="154"/>
  <c r="Z547" i="154"/>
  <c r="AB547" i="154" s="1"/>
  <c r="V547" i="154"/>
  <c r="U547" i="154"/>
  <c r="X556" i="154"/>
  <c r="V556" i="154"/>
  <c r="U556" i="154"/>
  <c r="V486" i="154"/>
  <c r="U495" i="154"/>
  <c r="Z498" i="154"/>
  <c r="AB498" i="154" s="1"/>
  <c r="Y499" i="154"/>
  <c r="X503" i="154"/>
  <c r="V503" i="154"/>
  <c r="AD504" i="154"/>
  <c r="Y504" i="154"/>
  <c r="V505" i="154"/>
  <c r="X506" i="154"/>
  <c r="U507" i="154"/>
  <c r="Y508" i="154"/>
  <c r="AD508" i="154"/>
  <c r="X511" i="154"/>
  <c r="V511" i="154"/>
  <c r="AD512" i="154"/>
  <c r="Y512" i="154"/>
  <c r="V513" i="154"/>
  <c r="X514" i="154"/>
  <c r="U515" i="154"/>
  <c r="Y516" i="154"/>
  <c r="AD516" i="154"/>
  <c r="X519" i="154"/>
  <c r="V519" i="154"/>
  <c r="AD520" i="154"/>
  <c r="Y520" i="154"/>
  <c r="V521" i="154"/>
  <c r="Z522" i="154"/>
  <c r="AB522" i="154" s="1"/>
  <c r="Y523" i="154"/>
  <c r="Z529" i="154"/>
  <c r="AB529" i="154" s="1"/>
  <c r="V529" i="154"/>
  <c r="U529" i="154"/>
  <c r="Z530" i="154"/>
  <c r="AB530" i="154" s="1"/>
  <c r="Y544" i="154"/>
  <c r="X547" i="154"/>
  <c r="AA553" i="154"/>
  <c r="Z556" i="154"/>
  <c r="AB556" i="154" s="1"/>
  <c r="AD568" i="154"/>
  <c r="AA568" i="154"/>
  <c r="Z595" i="154"/>
  <c r="AB595" i="154" s="1"/>
  <c r="X595" i="154"/>
  <c r="V595" i="154"/>
  <c r="U595" i="154"/>
  <c r="AA607" i="154"/>
  <c r="AA612" i="154"/>
  <c r="X645" i="154"/>
  <c r="U645" i="154"/>
  <c r="Z651" i="154"/>
  <c r="AB652" i="154"/>
  <c r="AB651" i="154" s="1"/>
  <c r="Y661" i="154"/>
  <c r="AD661" i="154"/>
  <c r="AA661" i="154"/>
  <c r="O669" i="154"/>
  <c r="AD669" i="154" s="1"/>
  <c r="AD670" i="154"/>
  <c r="Y528" i="154"/>
  <c r="AD532" i="154"/>
  <c r="Y538" i="154"/>
  <c r="AD542" i="154"/>
  <c r="V544" i="154"/>
  <c r="Y546" i="154"/>
  <c r="AD550" i="154"/>
  <c r="V552" i="154"/>
  <c r="Y554" i="154"/>
  <c r="AD558" i="154"/>
  <c r="V560" i="154"/>
  <c r="Y562" i="154"/>
  <c r="AD566" i="154"/>
  <c r="V568" i="154"/>
  <c r="Y570" i="154"/>
  <c r="U571" i="154"/>
  <c r="AD574" i="154"/>
  <c r="V576" i="154"/>
  <c r="Y578" i="154"/>
  <c r="U579" i="154"/>
  <c r="AD582" i="154"/>
  <c r="V584" i="154"/>
  <c r="Y586" i="154"/>
  <c r="U587" i="154"/>
  <c r="AD590" i="154"/>
  <c r="X592" i="154"/>
  <c r="U593" i="154"/>
  <c r="Z596" i="154"/>
  <c r="AB596" i="154" s="1"/>
  <c r="V597" i="154"/>
  <c r="Y600" i="154"/>
  <c r="X601" i="154"/>
  <c r="U602" i="154"/>
  <c r="AD603" i="154"/>
  <c r="X605" i="154"/>
  <c r="U606" i="154"/>
  <c r="Y609" i="154"/>
  <c r="V610" i="154"/>
  <c r="Y613" i="154"/>
  <c r="V614" i="154"/>
  <c r="AD615" i="154"/>
  <c r="AD637" i="154"/>
  <c r="Y637" i="154"/>
  <c r="X640" i="154"/>
  <c r="U640" i="154"/>
  <c r="V645" i="154"/>
  <c r="AJ650" i="154"/>
  <c r="AB661" i="154"/>
  <c r="Y541" i="154"/>
  <c r="X544" i="154"/>
  <c r="Y549" i="154"/>
  <c r="X552" i="154"/>
  <c r="Y557" i="154"/>
  <c r="X560" i="154"/>
  <c r="Y565" i="154"/>
  <c r="X568" i="154"/>
  <c r="V571" i="154"/>
  <c r="Y573" i="154"/>
  <c r="X576" i="154"/>
  <c r="V579" i="154"/>
  <c r="Y581" i="154"/>
  <c r="X584" i="154"/>
  <c r="V587" i="154"/>
  <c r="Y589" i="154"/>
  <c r="Y592" i="154"/>
  <c r="X593" i="154"/>
  <c r="X597" i="154"/>
  <c r="Y601" i="154"/>
  <c r="V602" i="154"/>
  <c r="V606" i="154"/>
  <c r="X610" i="154"/>
  <c r="AD612" i="154"/>
  <c r="Y614" i="154"/>
  <c r="AJ618" i="154"/>
  <c r="AD621" i="154"/>
  <c r="Y621" i="154"/>
  <c r="AA627" i="154"/>
  <c r="AD627" i="154"/>
  <c r="V631" i="154"/>
  <c r="U631" i="154"/>
  <c r="V640" i="154"/>
  <c r="Z645" i="154"/>
  <c r="AB645" i="154" s="1"/>
  <c r="S659" i="154"/>
  <c r="AJ660" i="154"/>
  <c r="X620" i="154"/>
  <c r="V620" i="154"/>
  <c r="Z620" i="154"/>
  <c r="AB620" i="154" s="1"/>
  <c r="AD626" i="154"/>
  <c r="AA626" i="154"/>
  <c r="V662" i="154"/>
  <c r="U662" i="154"/>
  <c r="Z662" i="154"/>
  <c r="AB662" i="154" s="1"/>
  <c r="R663" i="154"/>
  <c r="V527" i="154"/>
  <c r="V535" i="154"/>
  <c r="AA541" i="154"/>
  <c r="V545" i="154"/>
  <c r="AA549" i="154"/>
  <c r="V553" i="154"/>
  <c r="AA557" i="154"/>
  <c r="V561" i="154"/>
  <c r="AA565" i="154"/>
  <c r="V569" i="154"/>
  <c r="AA573" i="154"/>
  <c r="V577" i="154"/>
  <c r="AA581" i="154"/>
  <c r="V585" i="154"/>
  <c r="AA589" i="154"/>
  <c r="Z593" i="154"/>
  <c r="AB593" i="154" s="1"/>
  <c r="Y598" i="154"/>
  <c r="AA601" i="154"/>
  <c r="V603" i="154"/>
  <c r="Z606" i="154"/>
  <c r="AB606" i="154" s="1"/>
  <c r="V612" i="154"/>
  <c r="AD613" i="154"/>
  <c r="T617" i="154"/>
  <c r="V617" i="154" s="1"/>
  <c r="AA619" i="154"/>
  <c r="AD619" i="154"/>
  <c r="U620" i="154"/>
  <c r="X624" i="154"/>
  <c r="U624" i="154"/>
  <c r="AA628" i="154"/>
  <c r="Z630" i="154"/>
  <c r="AB630" i="154" s="1"/>
  <c r="V630" i="154"/>
  <c r="U630" i="154"/>
  <c r="Z631" i="154"/>
  <c r="AB631" i="154" s="1"/>
  <c r="AA635" i="154"/>
  <c r="AD635" i="154"/>
  <c r="AA637" i="154"/>
  <c r="V639" i="154"/>
  <c r="U639" i="154"/>
  <c r="X646" i="154"/>
  <c r="Z646" i="154"/>
  <c r="AB646" i="154" s="1"/>
  <c r="V646" i="154"/>
  <c r="U646" i="154"/>
  <c r="Y647" i="154"/>
  <c r="O650" i="154"/>
  <c r="X662" i="154"/>
  <c r="AB671" i="154"/>
  <c r="AB670" i="154" s="1"/>
  <c r="AB669" i="154" s="1"/>
  <c r="Z670" i="154"/>
  <c r="Z669" i="154" s="1"/>
  <c r="J663" i="154"/>
  <c r="J482" i="154" s="1"/>
  <c r="J481" i="154" s="1"/>
  <c r="J459" i="154" s="1"/>
  <c r="T672" i="154"/>
  <c r="V673" i="154"/>
  <c r="AA576" i="154"/>
  <c r="AA584" i="154"/>
  <c r="X603" i="154"/>
  <c r="AA610" i="154"/>
  <c r="X612" i="154"/>
  <c r="AD614" i="154"/>
  <c r="Y626" i="154"/>
  <c r="AD634" i="154"/>
  <c r="AA634" i="154"/>
  <c r="Y643" i="154"/>
  <c r="AD643" i="154"/>
  <c r="AA643" i="154"/>
  <c r="AJ651" i="154"/>
  <c r="AD597" i="154"/>
  <c r="Y607" i="154"/>
  <c r="AA611" i="154"/>
  <c r="V623" i="154"/>
  <c r="U623" i="154"/>
  <c r="Z638" i="154"/>
  <c r="AB638" i="154" s="1"/>
  <c r="V638" i="154"/>
  <c r="U638" i="154"/>
  <c r="X654" i="154"/>
  <c r="X653" i="154" s="1"/>
  <c r="Z654" i="154"/>
  <c r="V654" i="154"/>
  <c r="U654" i="154"/>
  <c r="AA603" i="154"/>
  <c r="Z612" i="154"/>
  <c r="AB612" i="154" s="1"/>
  <c r="Z622" i="154"/>
  <c r="AB622" i="154" s="1"/>
  <c r="U622" i="154"/>
  <c r="AD629" i="154"/>
  <c r="Y629" i="154"/>
  <c r="X632" i="154"/>
  <c r="U632" i="154"/>
  <c r="AJ641" i="154"/>
  <c r="V649" i="154"/>
  <c r="Z649" i="154"/>
  <c r="AB649" i="154" s="1"/>
  <c r="U649" i="154"/>
  <c r="AA625" i="154"/>
  <c r="X626" i="154"/>
  <c r="Z628" i="154"/>
  <c r="AB628" i="154" s="1"/>
  <c r="AA633" i="154"/>
  <c r="X634" i="154"/>
  <c r="Z636" i="154"/>
  <c r="AB636" i="154" s="1"/>
  <c r="Y644" i="154"/>
  <c r="X648" i="154"/>
  <c r="T651" i="154"/>
  <c r="AA652" i="154"/>
  <c r="AA651" i="154" s="1"/>
  <c r="T660" i="154"/>
  <c r="AJ669" i="154"/>
  <c r="V679" i="154"/>
  <c r="T670" i="154"/>
  <c r="X671" i="154"/>
  <c r="X670" i="154" s="1"/>
  <c r="X669" i="154" s="1"/>
  <c r="N672" i="154"/>
  <c r="O675" i="154"/>
  <c r="W681" i="154"/>
  <c r="W663" i="154" s="1"/>
  <c r="W482" i="154" s="1"/>
  <c r="W481" i="154" s="1"/>
  <c r="W459" i="154" s="1"/>
  <c r="AD625" i="154"/>
  <c r="Z626" i="154"/>
  <c r="AB626" i="154" s="1"/>
  <c r="AD633" i="154"/>
  <c r="Z634" i="154"/>
  <c r="AB634" i="154" s="1"/>
  <c r="AD652" i="154"/>
  <c r="AA671" i="154"/>
  <c r="AA670" i="154" s="1"/>
  <c r="AA669" i="154" s="1"/>
  <c r="Y671" i="154"/>
  <c r="Y670" i="154" s="1"/>
  <c r="Y669" i="154" s="1"/>
  <c r="U687" i="154"/>
  <c r="Z687" i="154"/>
  <c r="AB687" i="154" s="1"/>
  <c r="X687" i="154"/>
  <c r="X689" i="154"/>
  <c r="V689" i="154"/>
  <c r="U689" i="154"/>
  <c r="Z689" i="154"/>
  <c r="AB689" i="154" s="1"/>
  <c r="AA696" i="154"/>
  <c r="Y696" i="154"/>
  <c r="AD696" i="154"/>
  <c r="T642" i="154"/>
  <c r="V684" i="154"/>
  <c r="Z684" i="154"/>
  <c r="AB684" i="154" s="1"/>
  <c r="U684" i="154"/>
  <c r="T682" i="154"/>
  <c r="V628" i="154"/>
  <c r="V636" i="154"/>
  <c r="V643" i="154"/>
  <c r="X652" i="154"/>
  <c r="X651" i="154" s="1"/>
  <c r="X661" i="154"/>
  <c r="Y686" i="154"/>
  <c r="AD686" i="154"/>
  <c r="AA686" i="154"/>
  <c r="X643" i="154"/>
  <c r="V644" i="154"/>
  <c r="U648" i="154"/>
  <c r="AD671" i="154"/>
  <c r="T675" i="154"/>
  <c r="V675" i="154" s="1"/>
  <c r="V676" i="154"/>
  <c r="Y677" i="154"/>
  <c r="Y676" i="154" s="1"/>
  <c r="Y675" i="154" s="1"/>
  <c r="AA677" i="154"/>
  <c r="AA676" i="154" s="1"/>
  <c r="AA675" i="154" s="1"/>
  <c r="U676" i="154"/>
  <c r="U675" i="154" s="1"/>
  <c r="X685" i="154"/>
  <c r="Z685" i="154"/>
  <c r="AB685" i="154" s="1"/>
  <c r="U685" i="154"/>
  <c r="V688" i="154"/>
  <c r="X688" i="154"/>
  <c r="U688" i="154"/>
  <c r="Z688" i="154"/>
  <c r="AB688" i="154" s="1"/>
  <c r="AD680" i="154"/>
  <c r="Y680" i="154"/>
  <c r="Y679" i="154" s="1"/>
  <c r="Y678" i="154" s="1"/>
  <c r="Y720" i="154"/>
  <c r="AD720" i="154"/>
  <c r="AA720" i="154"/>
  <c r="AJ723" i="154"/>
  <c r="T842" i="154"/>
  <c r="T727" i="154" s="1"/>
  <c r="V843" i="154"/>
  <c r="U674" i="154"/>
  <c r="Z683" i="154"/>
  <c r="U683" i="154"/>
  <c r="AD691" i="154"/>
  <c r="Q693" i="154"/>
  <c r="Q663" i="154" s="1"/>
  <c r="AD700" i="154"/>
  <c r="Z710" i="154"/>
  <c r="V710" i="154"/>
  <c r="U710" i="154"/>
  <c r="AA712" i="154"/>
  <c r="AA711" i="154" s="1"/>
  <c r="U716" i="154"/>
  <c r="V717" i="154"/>
  <c r="U719" i="154"/>
  <c r="AJ725" i="154"/>
  <c r="AD729" i="154"/>
  <c r="O728" i="154"/>
  <c r="V728" i="154" s="1"/>
  <c r="X727" i="154"/>
  <c r="X726" i="154" s="1"/>
  <c r="X725" i="154" s="1"/>
  <c r="X724" i="154" s="1"/>
  <c r="X723" i="154" s="1"/>
  <c r="V856" i="154"/>
  <c r="T866" i="154"/>
  <c r="X716" i="154"/>
  <c r="Z717" i="154"/>
  <c r="AB717" i="154" s="1"/>
  <c r="V719" i="154"/>
  <c r="AJ726" i="154"/>
  <c r="Y727" i="154"/>
  <c r="Y726" i="154" s="1"/>
  <c r="Y725" i="154" s="1"/>
  <c r="Y724" i="154" s="1"/>
  <c r="Y723" i="154" s="1"/>
  <c r="X683" i="154"/>
  <c r="U705" i="154"/>
  <c r="AD707" i="154"/>
  <c r="U706" i="154"/>
  <c r="AD706" i="154" s="1"/>
  <c r="Y707" i="154"/>
  <c r="Y706" i="154" s="1"/>
  <c r="N708" i="154"/>
  <c r="AA717" i="154"/>
  <c r="Z719" i="154"/>
  <c r="AB719" i="154" s="1"/>
  <c r="Z695" i="154"/>
  <c r="V695" i="154"/>
  <c r="U695" i="154"/>
  <c r="U699" i="154"/>
  <c r="Z699" i="154"/>
  <c r="AB699" i="154" s="1"/>
  <c r="X700" i="154"/>
  <c r="X694" i="154" s="1"/>
  <c r="X693" i="154" s="1"/>
  <c r="V700" i="154"/>
  <c r="AD702" i="154"/>
  <c r="Y702" i="154"/>
  <c r="Z703" i="154"/>
  <c r="AB703" i="154" s="1"/>
  <c r="V703" i="154"/>
  <c r="U703" i="154"/>
  <c r="V705" i="154"/>
  <c r="U711" i="154"/>
  <c r="AD711" i="154" s="1"/>
  <c r="Z714" i="154"/>
  <c r="AB714" i="154" s="1"/>
  <c r="V714" i="154"/>
  <c r="U714" i="154"/>
  <c r="Z716" i="154"/>
  <c r="AD717" i="154"/>
  <c r="M726" i="154"/>
  <c r="M725" i="154" s="1"/>
  <c r="M724" i="154" s="1"/>
  <c r="M723" i="154" s="1"/>
  <c r="AD713" i="154"/>
  <c r="Y713" i="154"/>
  <c r="Q727" i="154"/>
  <c r="U679" i="154"/>
  <c r="N693" i="154"/>
  <c r="Y700" i="154"/>
  <c r="V818" i="154"/>
  <c r="N855" i="154"/>
  <c r="AD690" i="154"/>
  <c r="Y690" i="154"/>
  <c r="Y712" i="154"/>
  <c r="U721" i="154"/>
  <c r="Z721" i="154"/>
  <c r="AB721" i="154" s="1"/>
  <c r="X721" i="154"/>
  <c r="AA722" i="154"/>
  <c r="AD722" i="154"/>
  <c r="U726" i="154"/>
  <c r="U725" i="154" s="1"/>
  <c r="U724" i="154" s="1"/>
  <c r="U723" i="154" s="1"/>
  <c r="V815" i="154"/>
  <c r="AD868" i="154"/>
  <c r="N909" i="154"/>
  <c r="N860" i="154"/>
  <c r="AD860" i="154" s="1"/>
  <c r="N866" i="154"/>
  <c r="V868" i="154"/>
  <c r="AD843" i="154"/>
  <c r="N842" i="154"/>
  <c r="AD842" i="154" s="1"/>
  <c r="AD698" i="154"/>
  <c r="AD781" i="154"/>
  <c r="N780" i="154"/>
  <c r="V781" i="154"/>
  <c r="V830" i="154"/>
  <c r="S888" i="154"/>
  <c r="AJ888" i="154" s="1"/>
  <c r="AJ889" i="154"/>
  <c r="AD915" i="154"/>
  <c r="AA915" i="154"/>
  <c r="AA914" i="154" s="1"/>
  <c r="AA913" i="154" s="1"/>
  <c r="U914" i="154"/>
  <c r="U913" i="154" s="1"/>
  <c r="AD913" i="154" s="1"/>
  <c r="Y915" i="154"/>
  <c r="Y914" i="154" s="1"/>
  <c r="Y913" i="154" s="1"/>
  <c r="T718" i="154"/>
  <c r="T715" i="154" s="1"/>
  <c r="V715" i="154" s="1"/>
  <c r="AD819" i="154"/>
  <c r="V819" i="154"/>
  <c r="AD831" i="154"/>
  <c r="Q867" i="154"/>
  <c r="Q866" i="154" s="1"/>
  <c r="Y896" i="154"/>
  <c r="AD896" i="154"/>
  <c r="AA896" i="154"/>
  <c r="V831" i="154"/>
  <c r="AD861" i="154"/>
  <c r="AJ890" i="154"/>
  <c r="F890" i="154"/>
  <c r="F889" i="154" s="1"/>
  <c r="F888" i="154" s="1"/>
  <c r="F7" i="154" s="1"/>
  <c r="V880" i="154"/>
  <c r="J890" i="154"/>
  <c r="AD893" i="154"/>
  <c r="AD900" i="154"/>
  <c r="AA900" i="154"/>
  <c r="Y900" i="154"/>
  <c r="V924" i="154"/>
  <c r="R932" i="154"/>
  <c r="R916" i="154" s="1"/>
  <c r="O867" i="154"/>
  <c r="O866" i="154" s="1"/>
  <c r="W867" i="154"/>
  <c r="W866" i="154" s="1"/>
  <c r="W726" i="154" s="1"/>
  <c r="W725" i="154" s="1"/>
  <c r="W724" i="154" s="1"/>
  <c r="W723" i="154" s="1"/>
  <c r="N891" i="154"/>
  <c r="H892" i="154"/>
  <c r="H891" i="154" s="1"/>
  <c r="H890" i="154" s="1"/>
  <c r="H889" i="154" s="1"/>
  <c r="H888" i="154" s="1"/>
  <c r="AD897" i="154"/>
  <c r="Y897" i="154"/>
  <c r="U918" i="154"/>
  <c r="AD918" i="154" s="1"/>
  <c r="AD920" i="154"/>
  <c r="AA920" i="154"/>
  <c r="AJ936" i="154"/>
  <c r="V893" i="154"/>
  <c r="Y898" i="154"/>
  <c r="AD898" i="154"/>
  <c r="N917" i="154"/>
  <c r="G892" i="154"/>
  <c r="G891" i="154" s="1"/>
  <c r="G890" i="154" s="1"/>
  <c r="Z903" i="154"/>
  <c r="AB903" i="154" s="1"/>
  <c r="X903" i="154"/>
  <c r="Y904" i="154"/>
  <c r="AD904" i="154"/>
  <c r="Z912" i="154"/>
  <c r="AB912" i="154" s="1"/>
  <c r="X912" i="154"/>
  <c r="U912" i="154"/>
  <c r="X918" i="154"/>
  <c r="X924" i="154"/>
  <c r="W892" i="154"/>
  <c r="W891" i="154" s="1"/>
  <c r="W890" i="154" s="1"/>
  <c r="W889" i="154" s="1"/>
  <c r="W888" i="154" s="1"/>
  <c r="R895" i="154"/>
  <c r="R892" i="154" s="1"/>
  <c r="R891" i="154" s="1"/>
  <c r="R890" i="154" s="1"/>
  <c r="U903" i="154"/>
  <c r="Z907" i="154"/>
  <c r="T906" i="154"/>
  <c r="V906" i="154" s="1"/>
  <c r="X907" i="154"/>
  <c r="X906" i="154" s="1"/>
  <c r="U907" i="154"/>
  <c r="V912" i="154"/>
  <c r="AJ913" i="154"/>
  <c r="Y920" i="154"/>
  <c r="AJ932" i="154"/>
  <c r="Z928" i="154"/>
  <c r="T927" i="154"/>
  <c r="V927" i="154" s="1"/>
  <c r="X928" i="154"/>
  <c r="X927" i="154" s="1"/>
  <c r="V928" i="154"/>
  <c r="U928" i="154"/>
  <c r="AD934" i="154"/>
  <c r="AA934" i="154"/>
  <c r="AA933" i="154" s="1"/>
  <c r="Y934" i="154"/>
  <c r="AA898" i="154"/>
  <c r="AJ899" i="154"/>
  <c r="Z901" i="154"/>
  <c r="X901" i="154"/>
  <c r="U901" i="154"/>
  <c r="T899" i="154"/>
  <c r="AA905" i="154"/>
  <c r="T913" i="154"/>
  <c r="V913" i="154" s="1"/>
  <c r="Z894" i="154"/>
  <c r="Z905" i="154"/>
  <c r="AB905" i="154" s="1"/>
  <c r="Z915" i="154"/>
  <c r="AD919" i="154"/>
  <c r="Z920" i="154"/>
  <c r="AB920" i="154" s="1"/>
  <c r="AB922" i="154"/>
  <c r="AB921" i="154" s="1"/>
  <c r="Y923" i="154"/>
  <c r="Y921" i="154" s="1"/>
  <c r="AD925" i="154"/>
  <c r="Z926" i="154"/>
  <c r="AB926" i="154" s="1"/>
  <c r="AB924" i="154" s="1"/>
  <c r="AD931" i="154"/>
  <c r="X934" i="154"/>
  <c r="X933" i="154" s="1"/>
  <c r="X932" i="154" s="1"/>
  <c r="AD935" i="154"/>
  <c r="Y937" i="154"/>
  <c r="Y936" i="154" s="1"/>
  <c r="Y930" i="154"/>
  <c r="T933" i="154"/>
  <c r="T932" i="154" s="1"/>
  <c r="V932" i="154" s="1"/>
  <c r="U936" i="154"/>
  <c r="AD936" i="154" s="1"/>
  <c r="AA923" i="154"/>
  <c r="AA921" i="154" s="1"/>
  <c r="AA937" i="154"/>
  <c r="AA936" i="154" s="1"/>
  <c r="U902" i="154"/>
  <c r="U929" i="154"/>
  <c r="AB937" i="154"/>
  <c r="AB936" i="154" s="1"/>
  <c r="T911" i="154"/>
  <c r="T918" i="154"/>
  <c r="Y925" i="154"/>
  <c r="U926" i="154"/>
  <c r="V929" i="154"/>
  <c r="Y931" i="154"/>
  <c r="Y935" i="154"/>
  <c r="D134" i="154" l="1"/>
  <c r="D133" i="154" s="1"/>
  <c r="G889" i="154"/>
  <c r="G888" i="154" s="1"/>
  <c r="G7" i="154" s="1"/>
  <c r="M483" i="154"/>
  <c r="H189" i="154"/>
  <c r="Q482" i="154"/>
  <c r="Q481" i="154" s="1"/>
  <c r="P482" i="154"/>
  <c r="P481" i="154" s="1"/>
  <c r="AD492" i="154"/>
  <c r="Y492" i="154"/>
  <c r="J916" i="154"/>
  <c r="J889" i="154" s="1"/>
  <c r="J888" i="154" s="1"/>
  <c r="O663" i="154"/>
  <c r="AB388" i="154"/>
  <c r="AA218" i="154"/>
  <c r="AD218" i="154"/>
  <c r="AA273" i="154"/>
  <c r="U933" i="154"/>
  <c r="R482" i="154"/>
  <c r="R481" i="154" s="1"/>
  <c r="AB445" i="154"/>
  <c r="Y611" i="154"/>
  <c r="AD611" i="154"/>
  <c r="AA158" i="154"/>
  <c r="AD158" i="154"/>
  <c r="AA207" i="154"/>
  <c r="AA205" i="154" s="1"/>
  <c r="AD546" i="154"/>
  <c r="AA546" i="154"/>
  <c r="X899" i="154"/>
  <c r="X895" i="154" s="1"/>
  <c r="X892" i="154" s="1"/>
  <c r="X891" i="154" s="1"/>
  <c r="X618" i="154"/>
  <c r="X617" i="154" s="1"/>
  <c r="X388" i="154"/>
  <c r="AA502" i="154"/>
  <c r="AD502" i="154"/>
  <c r="AB107" i="154"/>
  <c r="U476" i="154"/>
  <c r="AD476" i="154" s="1"/>
  <c r="AB476" i="154"/>
  <c r="X238" i="154"/>
  <c r="S663" i="154"/>
  <c r="AJ663" i="154" s="1"/>
  <c r="AD559" i="154"/>
  <c r="Y559" i="154"/>
  <c r="AA559" i="154"/>
  <c r="X60" i="154"/>
  <c r="M482" i="154"/>
  <c r="M481" i="154" s="1"/>
  <c r="M459" i="154" s="1"/>
  <c r="Q82" i="154"/>
  <c r="AD543" i="154"/>
  <c r="Y543" i="154"/>
  <c r="AA543" i="154"/>
  <c r="Y160" i="154"/>
  <c r="AD160" i="154"/>
  <c r="AA160" i="154"/>
  <c r="AB642" i="154"/>
  <c r="AB641" i="154" s="1"/>
  <c r="Y103" i="154"/>
  <c r="Z60" i="154"/>
  <c r="AD380" i="154"/>
  <c r="AA380" i="154"/>
  <c r="AB918" i="154"/>
  <c r="X650" i="154"/>
  <c r="X472" i="154"/>
  <c r="V345" i="154"/>
  <c r="AA454" i="154"/>
  <c r="AD454" i="154"/>
  <c r="D916" i="154"/>
  <c r="D889" i="154" s="1"/>
  <c r="D888" i="154" s="1"/>
  <c r="R461" i="154"/>
  <c r="R460" i="154"/>
  <c r="X244" i="154"/>
  <c r="Y77" i="154"/>
  <c r="X89" i="154"/>
  <c r="AA76" i="154"/>
  <c r="AD533" i="154"/>
  <c r="AA533" i="154"/>
  <c r="Y533" i="154"/>
  <c r="Y57" i="154"/>
  <c r="Y56" i="154" s="1"/>
  <c r="U56" i="154"/>
  <c r="AD56" i="154" s="1"/>
  <c r="T71" i="154"/>
  <c r="U180" i="154"/>
  <c r="AD180" i="154" s="1"/>
  <c r="Y324" i="154"/>
  <c r="AD324" i="154"/>
  <c r="Y278" i="154"/>
  <c r="AD278" i="154"/>
  <c r="Y276" i="154"/>
  <c r="Y316" i="154"/>
  <c r="AD316" i="154"/>
  <c r="AD296" i="154"/>
  <c r="AB205" i="154"/>
  <c r="X205" i="154"/>
  <c r="Z205" i="154"/>
  <c r="AB427" i="154"/>
  <c r="R189" i="154"/>
  <c r="R188" i="154" s="1"/>
  <c r="AD429" i="154"/>
  <c r="Y479" i="154"/>
  <c r="AA477" i="154"/>
  <c r="AD465" i="154"/>
  <c r="AD225" i="154"/>
  <c r="Y225" i="154"/>
  <c r="X294" i="154"/>
  <c r="AD300" i="154"/>
  <c r="X272" i="154"/>
  <c r="X224" i="154"/>
  <c r="Y231" i="154"/>
  <c r="AA231" i="154"/>
  <c r="Y473" i="154"/>
  <c r="AA473" i="154"/>
  <c r="X36" i="154"/>
  <c r="AB36" i="154"/>
  <c r="AD40" i="154"/>
  <c r="Y40" i="154"/>
  <c r="V433" i="154"/>
  <c r="Y444" i="154"/>
  <c r="X445" i="154"/>
  <c r="X423" i="154"/>
  <c r="AB423" i="154"/>
  <c r="X419" i="154"/>
  <c r="AB419" i="154"/>
  <c r="Z172" i="154"/>
  <c r="AB136" i="154"/>
  <c r="AB135" i="154" s="1"/>
  <c r="Y53" i="154"/>
  <c r="AB345" i="154"/>
  <c r="X345" i="154"/>
  <c r="AD338" i="154"/>
  <c r="Y333" i="154"/>
  <c r="AA333" i="154"/>
  <c r="Y338" i="154"/>
  <c r="Y335" i="154"/>
  <c r="AA335" i="154"/>
  <c r="Y919" i="154"/>
  <c r="AA919" i="154"/>
  <c r="S133" i="154"/>
  <c r="AJ133" i="154" s="1"/>
  <c r="AJ134" i="154"/>
  <c r="AB485" i="154"/>
  <c r="AB484" i="154" s="1"/>
  <c r="AB433" i="154"/>
  <c r="AB674" i="154"/>
  <c r="AB673" i="154" s="1"/>
  <c r="AB672" i="154" s="1"/>
  <c r="Z673" i="154"/>
  <c r="Z672" i="154" s="1"/>
  <c r="AA325" i="154"/>
  <c r="AD325" i="154"/>
  <c r="Y325" i="154"/>
  <c r="Y542" i="154"/>
  <c r="AA542" i="154"/>
  <c r="Y93" i="154"/>
  <c r="AA93" i="154"/>
  <c r="X537" i="154"/>
  <c r="X536" i="154" s="1"/>
  <c r="M889" i="154"/>
  <c r="M888" i="154" s="1"/>
  <c r="AB677" i="154"/>
  <c r="AB676" i="154" s="1"/>
  <c r="AB675" i="154" s="1"/>
  <c r="Z676" i="154"/>
  <c r="Z675" i="154" s="1"/>
  <c r="Y574" i="154"/>
  <c r="AA574" i="154"/>
  <c r="AD417" i="154"/>
  <c r="Y417" i="154"/>
  <c r="AD227" i="154"/>
  <c r="Y227" i="154"/>
  <c r="AA227" i="154"/>
  <c r="Z78" i="154"/>
  <c r="AB79" i="154"/>
  <c r="AB78" i="154" s="1"/>
  <c r="W189" i="154"/>
  <c r="W188" i="154" s="1"/>
  <c r="W187" i="154" s="1"/>
  <c r="W22" i="154" s="1"/>
  <c r="W7" i="154" s="1"/>
  <c r="W9" i="154" s="1"/>
  <c r="AD517" i="154"/>
  <c r="AA517" i="154"/>
  <c r="Y517" i="154"/>
  <c r="AD421" i="154"/>
  <c r="Y421" i="154"/>
  <c r="AD215" i="154"/>
  <c r="Y215" i="154"/>
  <c r="H188" i="154"/>
  <c r="H187" i="154" s="1"/>
  <c r="H22" i="154" s="1"/>
  <c r="H7" i="154" s="1"/>
  <c r="AD554" i="154"/>
  <c r="AA554" i="154"/>
  <c r="AA192" i="154"/>
  <c r="AD192" i="154"/>
  <c r="Z445" i="154"/>
  <c r="AB712" i="154"/>
  <c r="AB711" i="154" s="1"/>
  <c r="Z711" i="154"/>
  <c r="AD285" i="154"/>
  <c r="Y285" i="154"/>
  <c r="AA285" i="154"/>
  <c r="Y249" i="154"/>
  <c r="AD249" i="154"/>
  <c r="AA249" i="154"/>
  <c r="AD360" i="154"/>
  <c r="Y360" i="154"/>
  <c r="V860" i="154"/>
  <c r="U537" i="154"/>
  <c r="U244" i="154"/>
  <c r="AD244" i="154" s="1"/>
  <c r="X258" i="154"/>
  <c r="AB934" i="154"/>
  <c r="AB933" i="154" s="1"/>
  <c r="AB932" i="154" s="1"/>
  <c r="Z933" i="154"/>
  <c r="Z932" i="154" s="1"/>
  <c r="AD609" i="154"/>
  <c r="AA609" i="154"/>
  <c r="Z177" i="154"/>
  <c r="AD352" i="154"/>
  <c r="AA352" i="154"/>
  <c r="Y352" i="154"/>
  <c r="AA248" i="154"/>
  <c r="AD248" i="154"/>
  <c r="Z56" i="154"/>
  <c r="AB57" i="154"/>
  <c r="AB56" i="154" s="1"/>
  <c r="D22" i="154"/>
  <c r="P459" i="154"/>
  <c r="AD446" i="154"/>
  <c r="AA446" i="154"/>
  <c r="Y446" i="154"/>
  <c r="AA137" i="154"/>
  <c r="Y137" i="154"/>
  <c r="AD79" i="154"/>
  <c r="U78" i="154"/>
  <c r="AD78" i="154" s="1"/>
  <c r="U618" i="154"/>
  <c r="U617" i="154" s="1"/>
  <c r="AD617" i="154" s="1"/>
  <c r="U36" i="154"/>
  <c r="AD36" i="154" s="1"/>
  <c r="AA598" i="154"/>
  <c r="AD598" i="154"/>
  <c r="M189" i="154"/>
  <c r="M188" i="154" s="1"/>
  <c r="AD277" i="154"/>
  <c r="AA277" i="154"/>
  <c r="Y277" i="154"/>
  <c r="O189" i="154"/>
  <c r="X433" i="154"/>
  <c r="T25" i="154"/>
  <c r="T24" i="154" s="1"/>
  <c r="AD930" i="154"/>
  <c r="AA930" i="154"/>
  <c r="P916" i="154"/>
  <c r="P889" i="154" s="1"/>
  <c r="P888" i="154" s="1"/>
  <c r="AD434" i="154"/>
  <c r="AA434" i="154"/>
  <c r="Y434" i="154"/>
  <c r="AD636" i="154"/>
  <c r="AA636" i="154"/>
  <c r="Y636" i="154"/>
  <c r="AA122" i="154"/>
  <c r="AD122" i="154"/>
  <c r="AA92" i="154"/>
  <c r="AD92" i="154"/>
  <c r="U224" i="154"/>
  <c r="AD224" i="154" s="1"/>
  <c r="AD425" i="154"/>
  <c r="Y425" i="154"/>
  <c r="AD628" i="154"/>
  <c r="Y628" i="154"/>
  <c r="AD551" i="154"/>
  <c r="AA551" i="154"/>
  <c r="Y551" i="154"/>
  <c r="Y202" i="154"/>
  <c r="AD202" i="154"/>
  <c r="E189" i="154"/>
  <c r="E188" i="154" s="1"/>
  <c r="AD301" i="154"/>
  <c r="AA301" i="154"/>
  <c r="Y301" i="154"/>
  <c r="AB27" i="154"/>
  <c r="AB26" i="154" s="1"/>
  <c r="Z26" i="154"/>
  <c r="AD197" i="154"/>
  <c r="AA197" i="154"/>
  <c r="Y197" i="154"/>
  <c r="X660" i="154"/>
  <c r="X659" i="154" s="1"/>
  <c r="AB331" i="154"/>
  <c r="X287" i="154"/>
  <c r="Z476" i="154"/>
  <c r="AA252" i="154"/>
  <c r="AD252" i="154"/>
  <c r="Y252" i="154"/>
  <c r="AD583" i="154"/>
  <c r="Y583" i="154"/>
  <c r="AA583" i="154"/>
  <c r="AA121" i="154"/>
  <c r="Y121" i="154"/>
  <c r="AD121" i="154"/>
  <c r="AA123" i="154"/>
  <c r="AD123" i="154"/>
  <c r="Y123" i="154"/>
  <c r="V933" i="154"/>
  <c r="T693" i="154"/>
  <c r="V693" i="154" s="1"/>
  <c r="V694" i="154"/>
  <c r="Y652" i="154"/>
  <c r="Y651" i="154" s="1"/>
  <c r="U651" i="154"/>
  <c r="AD651" i="154" s="1"/>
  <c r="AD586" i="154"/>
  <c r="AA586" i="154"/>
  <c r="AA268" i="154"/>
  <c r="Y268" i="154"/>
  <c r="AD182" i="154"/>
  <c r="AA182" i="154"/>
  <c r="Y182" i="154"/>
  <c r="AD391" i="154"/>
  <c r="Y391" i="154"/>
  <c r="Z462" i="154"/>
  <c r="X359" i="154"/>
  <c r="X172" i="154"/>
  <c r="AD575" i="154"/>
  <c r="Y575" i="154"/>
  <c r="AA575" i="154"/>
  <c r="AD63" i="154"/>
  <c r="AA63" i="154"/>
  <c r="Y63" i="154"/>
  <c r="AD591" i="154"/>
  <c r="Y591" i="154"/>
  <c r="AA591" i="154"/>
  <c r="V866" i="154"/>
  <c r="Y711" i="154"/>
  <c r="AB462" i="154"/>
  <c r="AB461" i="154" s="1"/>
  <c r="J188" i="154"/>
  <c r="X373" i="154"/>
  <c r="X411" i="154"/>
  <c r="AA604" i="154"/>
  <c r="Y604" i="154"/>
  <c r="AD604" i="154"/>
  <c r="AD599" i="154"/>
  <c r="Y599" i="154"/>
  <c r="AA599" i="154"/>
  <c r="AD439" i="154"/>
  <c r="Y439" i="154"/>
  <c r="AA302" i="154"/>
  <c r="Y302" i="154"/>
  <c r="Y194" i="154"/>
  <c r="AD194" i="154"/>
  <c r="V118" i="154"/>
  <c r="X118" i="154"/>
  <c r="AD120" i="154"/>
  <c r="AD610" i="154"/>
  <c r="Y610" i="154"/>
  <c r="AD219" i="154"/>
  <c r="AA219" i="154"/>
  <c r="AA119" i="154"/>
  <c r="AD119" i="154"/>
  <c r="Y119" i="154"/>
  <c r="U72" i="154"/>
  <c r="V72" i="154"/>
  <c r="AD501" i="154"/>
  <c r="Y501" i="154"/>
  <c r="AD320" i="154"/>
  <c r="Y320" i="154"/>
  <c r="Z73" i="154"/>
  <c r="AB73" i="154" s="1"/>
  <c r="V73" i="154"/>
  <c r="AB402" i="154"/>
  <c r="X216" i="154"/>
  <c r="X145" i="154"/>
  <c r="AD592" i="154"/>
  <c r="AA592" i="154"/>
  <c r="AD261" i="154"/>
  <c r="Y261" i="154"/>
  <c r="AD355" i="154"/>
  <c r="Y355" i="154"/>
  <c r="Y933" i="154"/>
  <c r="E187" i="154"/>
  <c r="E22" i="154" s="1"/>
  <c r="E7" i="154" s="1"/>
  <c r="AB314" i="154"/>
  <c r="X136" i="154"/>
  <c r="X135" i="154" s="1"/>
  <c r="AD488" i="154"/>
  <c r="AA488" i="154"/>
  <c r="AD399" i="154"/>
  <c r="Y399" i="154"/>
  <c r="Y590" i="154"/>
  <c r="AA590" i="154"/>
  <c r="AD232" i="154"/>
  <c r="AA232" i="154"/>
  <c r="Y232" i="154"/>
  <c r="AA337" i="154"/>
  <c r="AD337" i="154"/>
  <c r="Y337" i="154"/>
  <c r="AD500" i="154"/>
  <c r="AA500" i="154"/>
  <c r="AA510" i="154"/>
  <c r="AD510" i="154"/>
  <c r="AA87" i="154"/>
  <c r="Y87" i="154"/>
  <c r="S188" i="154"/>
  <c r="AJ188" i="154" s="1"/>
  <c r="Y918" i="154"/>
  <c r="AA918" i="154"/>
  <c r="U536" i="154"/>
  <c r="AD536" i="154" s="1"/>
  <c r="AD537" i="154"/>
  <c r="Z893" i="154"/>
  <c r="AB894" i="154"/>
  <c r="AB893" i="154" s="1"/>
  <c r="T917" i="154"/>
  <c r="V918" i="154"/>
  <c r="Z924" i="154"/>
  <c r="AD914" i="154"/>
  <c r="AD780" i="154"/>
  <c r="N727" i="154"/>
  <c r="AD867" i="154"/>
  <c r="V855" i="154"/>
  <c r="AD855" i="154"/>
  <c r="Q726" i="154"/>
  <c r="Q725" i="154" s="1"/>
  <c r="Q724" i="154" s="1"/>
  <c r="Q723" i="154" s="1"/>
  <c r="Y705" i="154"/>
  <c r="AD705" i="154"/>
  <c r="AA705" i="154"/>
  <c r="Y719" i="154"/>
  <c r="AD719" i="154"/>
  <c r="AA719" i="154"/>
  <c r="T726" i="154"/>
  <c r="X642" i="154"/>
  <c r="X641" i="154" s="1"/>
  <c r="AD649" i="154"/>
  <c r="Y649" i="154"/>
  <c r="AA649" i="154"/>
  <c r="AD654" i="154"/>
  <c r="U653" i="154"/>
  <c r="Y654" i="154"/>
  <c r="Y653" i="154" s="1"/>
  <c r="AA654" i="154"/>
  <c r="AA653" i="154" s="1"/>
  <c r="Y630" i="154"/>
  <c r="AD630" i="154"/>
  <c r="AA630" i="154"/>
  <c r="AA640" i="154"/>
  <c r="Y640" i="154"/>
  <c r="AD640" i="154"/>
  <c r="AA579" i="154"/>
  <c r="Y579" i="154"/>
  <c r="AD579" i="154"/>
  <c r="AA526" i="154"/>
  <c r="Y526" i="154"/>
  <c r="AD526" i="154"/>
  <c r="Y548" i="154"/>
  <c r="AA548" i="154"/>
  <c r="AD548" i="154"/>
  <c r="Y489" i="154"/>
  <c r="AA489" i="154"/>
  <c r="AD489" i="154"/>
  <c r="AA438" i="154"/>
  <c r="AD438" i="154"/>
  <c r="Y438" i="154"/>
  <c r="AD424" i="154"/>
  <c r="U423" i="154"/>
  <c r="AD423" i="154" s="1"/>
  <c r="Y424" i="154"/>
  <c r="AA424" i="154"/>
  <c r="AA385" i="154"/>
  <c r="U384" i="154"/>
  <c r="AD384" i="154" s="1"/>
  <c r="Y385" i="154"/>
  <c r="AD385" i="154"/>
  <c r="AD366" i="154"/>
  <c r="AA366" i="154"/>
  <c r="Y366" i="154"/>
  <c r="Z388" i="154"/>
  <c r="Y374" i="154"/>
  <c r="AA374" i="154"/>
  <c r="U373" i="154"/>
  <c r="AD373" i="154" s="1"/>
  <c r="AD374" i="154"/>
  <c r="AB362" i="154"/>
  <c r="AB359" i="154" s="1"/>
  <c r="Z359" i="154"/>
  <c r="Z419" i="154"/>
  <c r="V431" i="154"/>
  <c r="Z431" i="154"/>
  <c r="T430" i="154"/>
  <c r="V430" i="154" s="1"/>
  <c r="X431" i="154"/>
  <c r="X430" i="154" s="1"/>
  <c r="U431" i="154"/>
  <c r="Y356" i="154"/>
  <c r="AA356" i="154"/>
  <c r="AD356" i="154"/>
  <c r="AA328" i="154"/>
  <c r="AA327" i="154" s="1"/>
  <c r="AD327" i="154"/>
  <c r="Y328" i="154"/>
  <c r="Y327" i="154" s="1"/>
  <c r="AD328" i="154"/>
  <c r="Y348" i="154"/>
  <c r="AD348" i="154"/>
  <c r="AA348" i="154"/>
  <c r="Y349" i="154"/>
  <c r="AD349" i="154"/>
  <c r="AA349" i="154"/>
  <c r="AB259" i="154"/>
  <c r="AB258" i="154" s="1"/>
  <c r="Z258" i="154"/>
  <c r="AD354" i="154"/>
  <c r="Y354" i="154"/>
  <c r="AA354" i="154"/>
  <c r="AA307" i="154"/>
  <c r="AD307" i="154"/>
  <c r="Y307" i="154"/>
  <c r="AB273" i="154"/>
  <c r="AB272" i="154" s="1"/>
  <c r="Z272" i="154"/>
  <c r="Y305" i="154"/>
  <c r="AD305" i="154"/>
  <c r="AA305" i="154"/>
  <c r="AA264" i="154"/>
  <c r="AD264" i="154"/>
  <c r="Y264" i="154"/>
  <c r="N223" i="154"/>
  <c r="AD237" i="154"/>
  <c r="AA237" i="154"/>
  <c r="Y237" i="154"/>
  <c r="V258" i="154"/>
  <c r="Y211" i="154"/>
  <c r="AD211" i="154"/>
  <c r="AA211" i="154"/>
  <c r="AA234" i="154"/>
  <c r="Y234" i="154"/>
  <c r="AD234" i="154"/>
  <c r="Z168" i="154"/>
  <c r="AB169" i="154"/>
  <c r="AB168" i="154" s="1"/>
  <c r="N133" i="154"/>
  <c r="Y62" i="154"/>
  <c r="Y60" i="154" s="1"/>
  <c r="AD62" i="154"/>
  <c r="AA62" i="154"/>
  <c r="AJ25" i="154"/>
  <c r="S24" i="154"/>
  <c r="X71" i="154"/>
  <c r="X70" i="154" s="1"/>
  <c r="AA52" i="154"/>
  <c r="Y52" i="154"/>
  <c r="AD52" i="154"/>
  <c r="AA147" i="154"/>
  <c r="Y147" i="154"/>
  <c r="AA101" i="154"/>
  <c r="Y101" i="154"/>
  <c r="AJ16" i="154"/>
  <c r="S15" i="154"/>
  <c r="AJ17" i="154"/>
  <c r="Z899" i="154"/>
  <c r="Z895" i="154" s="1"/>
  <c r="AB901" i="154"/>
  <c r="AB899" i="154" s="1"/>
  <c r="AB895" i="154" s="1"/>
  <c r="U906" i="154"/>
  <c r="AD906" i="154" s="1"/>
  <c r="Y907" i="154"/>
  <c r="Y906" i="154" s="1"/>
  <c r="AA907" i="154"/>
  <c r="AA906" i="154" s="1"/>
  <c r="AD907" i="154"/>
  <c r="AA714" i="154"/>
  <c r="Y714" i="154"/>
  <c r="AD714" i="154"/>
  <c r="Z709" i="154"/>
  <c r="Z708" i="154" s="1"/>
  <c r="AB710" i="154"/>
  <c r="AB709" i="154" s="1"/>
  <c r="AB708" i="154" s="1"/>
  <c r="V911" i="154"/>
  <c r="U911" i="154"/>
  <c r="T910" i="154"/>
  <c r="Z911" i="154"/>
  <c r="X911" i="154"/>
  <c r="X910" i="154" s="1"/>
  <c r="X909" i="154" s="1"/>
  <c r="X908" i="154" s="1"/>
  <c r="Z906" i="154"/>
  <c r="AB907" i="154"/>
  <c r="AB906" i="154" s="1"/>
  <c r="Y912" i="154"/>
  <c r="AA912" i="154"/>
  <c r="AD912" i="154"/>
  <c r="X682" i="154"/>
  <c r="X681" i="154" s="1"/>
  <c r="X663" i="154" s="1"/>
  <c r="V867" i="154"/>
  <c r="AA688" i="154"/>
  <c r="AD688" i="154"/>
  <c r="Y688" i="154"/>
  <c r="Y687" i="154"/>
  <c r="AA687" i="154"/>
  <c r="AD687" i="154"/>
  <c r="Y622" i="154"/>
  <c r="AD622" i="154"/>
  <c r="AA622" i="154"/>
  <c r="AA623" i="154"/>
  <c r="Y623" i="154"/>
  <c r="AD623" i="154"/>
  <c r="AA631" i="154"/>
  <c r="Y631" i="154"/>
  <c r="AD631" i="154"/>
  <c r="AD606" i="154"/>
  <c r="AA606" i="154"/>
  <c r="Y606" i="154"/>
  <c r="AD593" i="154"/>
  <c r="AA593" i="154"/>
  <c r="Y593" i="154"/>
  <c r="AA547" i="154"/>
  <c r="Y547" i="154"/>
  <c r="AD547" i="154"/>
  <c r="AA521" i="154"/>
  <c r="Y521" i="154"/>
  <c r="AD521" i="154"/>
  <c r="Y505" i="154"/>
  <c r="AD505" i="154"/>
  <c r="AA505" i="154"/>
  <c r="AA530" i="154"/>
  <c r="Y530" i="154"/>
  <c r="AD530" i="154"/>
  <c r="AA522" i="154"/>
  <c r="Y522" i="154"/>
  <c r="AD522" i="154"/>
  <c r="AA563" i="154"/>
  <c r="Y563" i="154"/>
  <c r="AD563" i="154"/>
  <c r="AA534" i="154"/>
  <c r="AD534" i="154"/>
  <c r="Y534" i="154"/>
  <c r="AA555" i="154"/>
  <c r="Y555" i="154"/>
  <c r="AD555" i="154"/>
  <c r="AD475" i="154"/>
  <c r="AA475" i="154"/>
  <c r="AA472" i="154" s="1"/>
  <c r="U472" i="154"/>
  <c r="AD472" i="154" s="1"/>
  <c r="Y475" i="154"/>
  <c r="AD362" i="154"/>
  <c r="U359" i="154"/>
  <c r="AD359" i="154" s="1"/>
  <c r="AA362" i="154"/>
  <c r="Y362" i="154"/>
  <c r="Z415" i="154"/>
  <c r="AD275" i="154"/>
  <c r="AA275" i="154"/>
  <c r="Y275" i="154"/>
  <c r="AD243" i="154"/>
  <c r="AA243" i="154"/>
  <c r="Y243" i="154"/>
  <c r="Z314" i="154"/>
  <c r="AA326" i="154"/>
  <c r="AD326" i="154"/>
  <c r="Y326" i="154"/>
  <c r="U258" i="154"/>
  <c r="AD258" i="154" s="1"/>
  <c r="AA259" i="154"/>
  <c r="AD259" i="154"/>
  <c r="Y259" i="154"/>
  <c r="AA299" i="154"/>
  <c r="Y299" i="154"/>
  <c r="AD299" i="154"/>
  <c r="AA175" i="154"/>
  <c r="Y175" i="154"/>
  <c r="AD175" i="154"/>
  <c r="AA222" i="154"/>
  <c r="Y222" i="154"/>
  <c r="AD222" i="154"/>
  <c r="AD210" i="154"/>
  <c r="AA210" i="154"/>
  <c r="Y210" i="154"/>
  <c r="U209" i="154"/>
  <c r="AD209" i="154" s="1"/>
  <c r="Y153" i="154"/>
  <c r="AA153" i="154"/>
  <c r="S83" i="154"/>
  <c r="AJ84" i="154"/>
  <c r="AA97" i="154"/>
  <c r="Y97" i="154"/>
  <c r="U18" i="154"/>
  <c r="Z18" i="154"/>
  <c r="X18" i="154"/>
  <c r="X17" i="154" s="1"/>
  <c r="X16" i="154" s="1"/>
  <c r="X15" i="154" s="1"/>
  <c r="T17" i="154"/>
  <c r="V18" i="154"/>
  <c r="AB146" i="154"/>
  <c r="AB145" i="154" s="1"/>
  <c r="Z145" i="154"/>
  <c r="AA131" i="154"/>
  <c r="AA129" i="154" s="1"/>
  <c r="Y131" i="154"/>
  <c r="Y129" i="154" s="1"/>
  <c r="AD131" i="154"/>
  <c r="U129" i="154"/>
  <c r="AD129" i="154" s="1"/>
  <c r="Y75" i="154"/>
  <c r="Y74" i="154" s="1"/>
  <c r="AD75" i="154"/>
  <c r="U74" i="154"/>
  <c r="AD74" i="154" s="1"/>
  <c r="AA75" i="154"/>
  <c r="AA74" i="154" s="1"/>
  <c r="Y41" i="154"/>
  <c r="AD41" i="154"/>
  <c r="AA41" i="154"/>
  <c r="AA32" i="154"/>
  <c r="Y32" i="154"/>
  <c r="AD32" i="154"/>
  <c r="O70" i="154"/>
  <c r="AB928" i="154"/>
  <c r="AB927" i="154" s="1"/>
  <c r="Z927" i="154"/>
  <c r="AA639" i="154"/>
  <c r="Y639" i="154"/>
  <c r="AD639" i="154"/>
  <c r="Y595" i="154"/>
  <c r="AD595" i="154"/>
  <c r="AA595" i="154"/>
  <c r="AA515" i="154"/>
  <c r="AD515" i="154"/>
  <c r="Y515" i="154"/>
  <c r="Y580" i="154"/>
  <c r="AA580" i="154"/>
  <c r="AD580" i="154"/>
  <c r="AD487" i="154"/>
  <c r="AA487" i="154"/>
  <c r="Y487" i="154"/>
  <c r="AD420" i="154"/>
  <c r="U419" i="154"/>
  <c r="AD419" i="154" s="1"/>
  <c r="Y420" i="154"/>
  <c r="AA420" i="154"/>
  <c r="AA409" i="154"/>
  <c r="Y409" i="154"/>
  <c r="AD409" i="154"/>
  <c r="AA381" i="154"/>
  <c r="Y381" i="154"/>
  <c r="AD381" i="154"/>
  <c r="Y441" i="154"/>
  <c r="AA441" i="154"/>
  <c r="Y426" i="154"/>
  <c r="AA426" i="154"/>
  <c r="AD426" i="154"/>
  <c r="Y386" i="154"/>
  <c r="AA386" i="154"/>
  <c r="AD386" i="154"/>
  <c r="AD455" i="154"/>
  <c r="AA455" i="154"/>
  <c r="Y455" i="154"/>
  <c r="Y398" i="154"/>
  <c r="AA398" i="154"/>
  <c r="AD398" i="154"/>
  <c r="AD255" i="154"/>
  <c r="AA255" i="154"/>
  <c r="Y255" i="154"/>
  <c r="AA298" i="154"/>
  <c r="AD298" i="154"/>
  <c r="Y298" i="154"/>
  <c r="Y284" i="154"/>
  <c r="AD284" i="154"/>
  <c r="AA284" i="154"/>
  <c r="AB245" i="154"/>
  <c r="AB244" i="154" s="1"/>
  <c r="Z244" i="154"/>
  <c r="AA309" i="154"/>
  <c r="AD309" i="154"/>
  <c r="Y309" i="154"/>
  <c r="Y293" i="154"/>
  <c r="Y287" i="154" s="1"/>
  <c r="AD293" i="154"/>
  <c r="AA293" i="154"/>
  <c r="AA287" i="154" s="1"/>
  <c r="AA271" i="154"/>
  <c r="Y271" i="154"/>
  <c r="Y186" i="154"/>
  <c r="AD186" i="154"/>
  <c r="AA186" i="154"/>
  <c r="AD263" i="154"/>
  <c r="AA263" i="154"/>
  <c r="Y263" i="154"/>
  <c r="Z180" i="154"/>
  <c r="AB184" i="154"/>
  <c r="AB180" i="154" s="1"/>
  <c r="AB171" i="154" s="1"/>
  <c r="AA228" i="154"/>
  <c r="Y228" i="154"/>
  <c r="AD228" i="154"/>
  <c r="AA196" i="154"/>
  <c r="U191" i="154"/>
  <c r="Y196" i="154"/>
  <c r="AD196" i="154"/>
  <c r="AA174" i="154"/>
  <c r="Y174" i="154"/>
  <c r="AD174" i="154"/>
  <c r="AB294" i="154"/>
  <c r="AD48" i="154"/>
  <c r="AA48" i="154"/>
  <c r="Y48" i="154"/>
  <c r="AA146" i="154"/>
  <c r="Y146" i="154"/>
  <c r="U145" i="154"/>
  <c r="AD145" i="154" s="1"/>
  <c r="AD146" i="154"/>
  <c r="Y73" i="154"/>
  <c r="AA73" i="154"/>
  <c r="X55" i="154"/>
  <c r="V55" i="154"/>
  <c r="U55" i="154"/>
  <c r="Z55" i="154"/>
  <c r="AB55" i="154" s="1"/>
  <c r="Y149" i="154"/>
  <c r="AA149" i="154"/>
  <c r="X88" i="154"/>
  <c r="V88" i="154"/>
  <c r="Z88" i="154"/>
  <c r="AB88" i="154" s="1"/>
  <c r="U88" i="154"/>
  <c r="AA68" i="154"/>
  <c r="Y68" i="154"/>
  <c r="X10" i="154"/>
  <c r="AA903" i="154"/>
  <c r="Y903" i="154"/>
  <c r="AD903" i="154"/>
  <c r="AB654" i="154"/>
  <c r="AB653" i="154" s="1"/>
  <c r="AB650" i="154" s="1"/>
  <c r="Z653" i="154"/>
  <c r="Z650" i="154" s="1"/>
  <c r="Y929" i="154"/>
  <c r="AD929" i="154"/>
  <c r="AA929" i="154"/>
  <c r="T895" i="154"/>
  <c r="V899" i="154"/>
  <c r="R889" i="154"/>
  <c r="R888" i="154" s="1"/>
  <c r="N916" i="154"/>
  <c r="AA721" i="154"/>
  <c r="AD721" i="154"/>
  <c r="Y721" i="154"/>
  <c r="U682" i="154"/>
  <c r="AD683" i="154"/>
  <c r="Y683" i="154"/>
  <c r="AA683" i="154"/>
  <c r="AA684" i="154"/>
  <c r="AD684" i="154"/>
  <c r="Y684" i="154"/>
  <c r="AD676" i="154"/>
  <c r="AA662" i="154"/>
  <c r="AD662" i="154"/>
  <c r="Y662" i="154"/>
  <c r="Y660" i="154" s="1"/>
  <c r="Y659" i="154" s="1"/>
  <c r="AB660" i="154"/>
  <c r="AB659" i="154" s="1"/>
  <c r="AA507" i="154"/>
  <c r="AD507" i="154"/>
  <c r="Y507" i="154"/>
  <c r="AA514" i="154"/>
  <c r="AD514" i="154"/>
  <c r="Y514" i="154"/>
  <c r="T536" i="154"/>
  <c r="V536" i="154" s="1"/>
  <c r="V537" i="154"/>
  <c r="X485" i="154"/>
  <c r="X484" i="154" s="1"/>
  <c r="X462" i="154"/>
  <c r="S483" i="154"/>
  <c r="AD457" i="154"/>
  <c r="AA457" i="154"/>
  <c r="Y457" i="154"/>
  <c r="O483" i="154"/>
  <c r="AA404" i="154"/>
  <c r="Y404" i="154"/>
  <c r="AD404" i="154"/>
  <c r="Y382" i="154"/>
  <c r="AA382" i="154"/>
  <c r="AD382" i="154"/>
  <c r="Z433" i="154"/>
  <c r="O432" i="154"/>
  <c r="V432" i="154" s="1"/>
  <c r="Z345" i="154"/>
  <c r="V411" i="154"/>
  <c r="T410" i="154"/>
  <c r="V410" i="154" s="1"/>
  <c r="Y342" i="154"/>
  <c r="AA342" i="154"/>
  <c r="AD342" i="154"/>
  <c r="AD317" i="154"/>
  <c r="Y317" i="154"/>
  <c r="AA317" i="154"/>
  <c r="AA341" i="154"/>
  <c r="AD341" i="154"/>
  <c r="Y341" i="154"/>
  <c r="AA313" i="154"/>
  <c r="AD313" i="154"/>
  <c r="Y313" i="154"/>
  <c r="X331" i="154"/>
  <c r="X330" i="154" s="1"/>
  <c r="AA364" i="154"/>
  <c r="Y364" i="154"/>
  <c r="AD364" i="154"/>
  <c r="U238" i="154"/>
  <c r="AD238" i="154" s="1"/>
  <c r="Y239" i="154"/>
  <c r="Y238" i="154" s="1"/>
  <c r="AD239" i="154"/>
  <c r="AA239" i="154"/>
  <c r="U402" i="154"/>
  <c r="AD402" i="154" s="1"/>
  <c r="AD308" i="154"/>
  <c r="AA308" i="154"/>
  <c r="Y308" i="154"/>
  <c r="U172" i="154"/>
  <c r="AD185" i="154"/>
  <c r="AA185" i="154"/>
  <c r="Y185" i="154"/>
  <c r="X126" i="154"/>
  <c r="X115" i="154" s="1"/>
  <c r="X114" i="154" s="1"/>
  <c r="U126" i="154"/>
  <c r="U115" i="154" s="1"/>
  <c r="U114" i="154" s="1"/>
  <c r="Z126" i="154"/>
  <c r="AB126" i="154" s="1"/>
  <c r="V126" i="154"/>
  <c r="AB221" i="154"/>
  <c r="AB216" i="154" s="1"/>
  <c r="Z216" i="154"/>
  <c r="X191" i="154"/>
  <c r="T171" i="154"/>
  <c r="Z294" i="154"/>
  <c r="U272" i="154"/>
  <c r="AD272" i="154" s="1"/>
  <c r="Z107" i="154"/>
  <c r="V136" i="154"/>
  <c r="T135" i="154"/>
  <c r="AD45" i="154"/>
  <c r="AA45" i="154"/>
  <c r="Y45" i="154"/>
  <c r="U60" i="154"/>
  <c r="AD60" i="154" s="1"/>
  <c r="Z129" i="154"/>
  <c r="AB131" i="154"/>
  <c r="AB129" i="154" s="1"/>
  <c r="AB72" i="154"/>
  <c r="S114" i="154"/>
  <c r="AD97" i="154"/>
  <c r="AD106" i="154"/>
  <c r="AA106" i="154"/>
  <c r="Y106" i="154"/>
  <c r="Z65" i="154"/>
  <c r="AB66" i="154"/>
  <c r="AB65" i="154" s="1"/>
  <c r="N23" i="154"/>
  <c r="V13" i="154"/>
  <c r="T12" i="154"/>
  <c r="T115" i="154"/>
  <c r="N908" i="154"/>
  <c r="AA716" i="154"/>
  <c r="AD716" i="154"/>
  <c r="Y716" i="154"/>
  <c r="AB618" i="154"/>
  <c r="AB617" i="154" s="1"/>
  <c r="AD902" i="154"/>
  <c r="AA902" i="154"/>
  <c r="Y902" i="154"/>
  <c r="AB915" i="154"/>
  <c r="AB914" i="154" s="1"/>
  <c r="AB913" i="154" s="1"/>
  <c r="Z914" i="154"/>
  <c r="Z913" i="154" s="1"/>
  <c r="Y901" i="154"/>
  <c r="AD901" i="154"/>
  <c r="AA901" i="154"/>
  <c r="U899" i="154"/>
  <c r="AA932" i="154"/>
  <c r="AA703" i="154"/>
  <c r="Y703" i="154"/>
  <c r="AD703" i="154"/>
  <c r="AA699" i="154"/>
  <c r="Y699" i="154"/>
  <c r="AD699" i="154"/>
  <c r="U709" i="154"/>
  <c r="AD710" i="154"/>
  <c r="AA710" i="154"/>
  <c r="AA709" i="154" s="1"/>
  <c r="AA708" i="154" s="1"/>
  <c r="Y710" i="154"/>
  <c r="Y709" i="154" s="1"/>
  <c r="Y708" i="154" s="1"/>
  <c r="AB683" i="154"/>
  <c r="AB682" i="154" s="1"/>
  <c r="AB681" i="154" s="1"/>
  <c r="Z682" i="154"/>
  <c r="Z681" i="154" s="1"/>
  <c r="AA685" i="154"/>
  <c r="AD685" i="154"/>
  <c r="Y685" i="154"/>
  <c r="AD689" i="154"/>
  <c r="Y689" i="154"/>
  <c r="AA689" i="154"/>
  <c r="AD675" i="154"/>
  <c r="AA624" i="154"/>
  <c r="Y624" i="154"/>
  <c r="AD624" i="154"/>
  <c r="Z660" i="154"/>
  <c r="Z659" i="154" s="1"/>
  <c r="AD602" i="154"/>
  <c r="AA602" i="154"/>
  <c r="Y602" i="154"/>
  <c r="AA587" i="154"/>
  <c r="Y587" i="154"/>
  <c r="AD587" i="154"/>
  <c r="AA571" i="154"/>
  <c r="Y571" i="154"/>
  <c r="AD571" i="154"/>
  <c r="AA645" i="154"/>
  <c r="AD645" i="154"/>
  <c r="Y645" i="154"/>
  <c r="U642" i="154"/>
  <c r="AD495" i="154"/>
  <c r="AA495" i="154"/>
  <c r="Y495" i="154"/>
  <c r="U485" i="154"/>
  <c r="AA539" i="154"/>
  <c r="Y539" i="154"/>
  <c r="AD539" i="154"/>
  <c r="AD496" i="154"/>
  <c r="AA496" i="154"/>
  <c r="Y496" i="154"/>
  <c r="Z485" i="154"/>
  <c r="Z484" i="154" s="1"/>
  <c r="V467" i="154"/>
  <c r="T462" i="154"/>
  <c r="Y472" i="154"/>
  <c r="AD413" i="154"/>
  <c r="Y413" i="154"/>
  <c r="Y411" i="154" s="1"/>
  <c r="AA413" i="154"/>
  <c r="AA411" i="154" s="1"/>
  <c r="AA476" i="154"/>
  <c r="AD416" i="154"/>
  <c r="U415" i="154"/>
  <c r="AD415" i="154" s="1"/>
  <c r="Y416" i="154"/>
  <c r="Y415" i="154" s="1"/>
  <c r="AA416" i="154"/>
  <c r="AA415" i="154" s="1"/>
  <c r="AA452" i="154"/>
  <c r="Y452" i="154"/>
  <c r="AD452" i="154"/>
  <c r="Z451" i="154"/>
  <c r="AB451" i="154" s="1"/>
  <c r="AB432" i="154" s="1"/>
  <c r="X451" i="154"/>
  <c r="X432" i="154" s="1"/>
  <c r="V451" i="154"/>
  <c r="U451" i="154"/>
  <c r="J187" i="154"/>
  <c r="J22" i="154" s="1"/>
  <c r="Y351" i="154"/>
  <c r="AA351" i="154"/>
  <c r="AD351" i="154"/>
  <c r="U406" i="154"/>
  <c r="AD406" i="154" s="1"/>
  <c r="Y407" i="154"/>
  <c r="AA407" i="154"/>
  <c r="AD407" i="154"/>
  <c r="Z331" i="154"/>
  <c r="Z406" i="154"/>
  <c r="AB407" i="154"/>
  <c r="AB406" i="154" s="1"/>
  <c r="Z423" i="154"/>
  <c r="U331" i="154"/>
  <c r="AA332" i="154"/>
  <c r="AD332" i="154"/>
  <c r="Y332" i="154"/>
  <c r="AA363" i="154"/>
  <c r="AD363" i="154"/>
  <c r="Y363" i="154"/>
  <c r="AA372" i="154"/>
  <c r="Y372" i="154"/>
  <c r="AD372" i="154"/>
  <c r="AA295" i="154"/>
  <c r="Y295" i="154"/>
  <c r="U294" i="154"/>
  <c r="AD294" i="154" s="1"/>
  <c r="AD295" i="154"/>
  <c r="Z238" i="154"/>
  <c r="AB239" i="154"/>
  <c r="AB238" i="154" s="1"/>
  <c r="AD340" i="154"/>
  <c r="Y340" i="154"/>
  <c r="AA340" i="154"/>
  <c r="AD303" i="154"/>
  <c r="AA303" i="154"/>
  <c r="Y303" i="154"/>
  <c r="Y297" i="154"/>
  <c r="AD297" i="154"/>
  <c r="AA297" i="154"/>
  <c r="U345" i="154"/>
  <c r="AD345" i="154" s="1"/>
  <c r="AA280" i="154"/>
  <c r="Y280" i="154"/>
  <c r="AD280" i="154"/>
  <c r="AD267" i="154"/>
  <c r="AA267" i="154"/>
  <c r="Y267" i="154"/>
  <c r="AD200" i="154"/>
  <c r="AA200" i="154"/>
  <c r="Y200" i="154"/>
  <c r="N166" i="154"/>
  <c r="AD184" i="154"/>
  <c r="AA184" i="154"/>
  <c r="AA180" i="154" s="1"/>
  <c r="Y184" i="154"/>
  <c r="Y180" i="154" s="1"/>
  <c r="AB224" i="154"/>
  <c r="X113" i="154"/>
  <c r="Z113" i="154"/>
  <c r="AB113" i="154" s="1"/>
  <c r="V113" i="154"/>
  <c r="U113" i="154"/>
  <c r="AA256" i="154"/>
  <c r="AD256" i="154"/>
  <c r="Y256" i="154"/>
  <c r="AA213" i="154"/>
  <c r="AD213" i="154"/>
  <c r="Y213" i="154"/>
  <c r="AD170" i="154"/>
  <c r="AA170" i="154"/>
  <c r="Y170" i="154"/>
  <c r="T223" i="154"/>
  <c r="V223" i="154" s="1"/>
  <c r="V224" i="154"/>
  <c r="Y151" i="154"/>
  <c r="AA151" i="154"/>
  <c r="AA118" i="154"/>
  <c r="AD118" i="154"/>
  <c r="Y118" i="154"/>
  <c r="Z74" i="154"/>
  <c r="Z71" i="154" s="1"/>
  <c r="Z70" i="154" s="1"/>
  <c r="AB75" i="154"/>
  <c r="AB74" i="154" s="1"/>
  <c r="AD43" i="154"/>
  <c r="AA43" i="154"/>
  <c r="AA42" i="154" s="1"/>
  <c r="U42" i="154"/>
  <c r="AD42" i="154" s="1"/>
  <c r="Y43" i="154"/>
  <c r="Y42" i="154" s="1"/>
  <c r="V71" i="154"/>
  <c r="T70" i="154"/>
  <c r="X35" i="154"/>
  <c r="V35" i="154"/>
  <c r="U35" i="154"/>
  <c r="Z35" i="154"/>
  <c r="AB35" i="154" s="1"/>
  <c r="Z136" i="154"/>
  <c r="Z135" i="154" s="1"/>
  <c r="AA64" i="154"/>
  <c r="Y64" i="154"/>
  <c r="AD64" i="154"/>
  <c r="Z42" i="154"/>
  <c r="AB43" i="154"/>
  <c r="AB42" i="154" s="1"/>
  <c r="AA19" i="154"/>
  <c r="Y19" i="154"/>
  <c r="AD19" i="154"/>
  <c r="Z143" i="154"/>
  <c r="AB144" i="154"/>
  <c r="AB143" i="154" s="1"/>
  <c r="AB14" i="154"/>
  <c r="AB13" i="154" s="1"/>
  <c r="AB12" i="154" s="1"/>
  <c r="AB11" i="154" s="1"/>
  <c r="Z13" i="154"/>
  <c r="Z12" i="154" s="1"/>
  <c r="Z11" i="154" s="1"/>
  <c r="Z36" i="154"/>
  <c r="Y932" i="154"/>
  <c r="Z918" i="154"/>
  <c r="V682" i="154"/>
  <c r="T681" i="154"/>
  <c r="AB716" i="154"/>
  <c r="U694" i="154"/>
  <c r="AA695" i="154"/>
  <c r="Y695" i="154"/>
  <c r="AD695" i="154"/>
  <c r="O727" i="154"/>
  <c r="O726" i="154" s="1"/>
  <c r="O725" i="154" s="1"/>
  <c r="O724" i="154" s="1"/>
  <c r="O723" i="154" s="1"/>
  <c r="AD728" i="154"/>
  <c r="AA674" i="154"/>
  <c r="AA673" i="154" s="1"/>
  <c r="AA672" i="154" s="1"/>
  <c r="AD674" i="154"/>
  <c r="Y674" i="154"/>
  <c r="Y673" i="154" s="1"/>
  <c r="Y672" i="154" s="1"/>
  <c r="U673" i="154"/>
  <c r="N663" i="154"/>
  <c r="V660" i="154"/>
  <c r="T659" i="154"/>
  <c r="V659" i="154" s="1"/>
  <c r="AA632" i="154"/>
  <c r="Y632" i="154"/>
  <c r="AD632" i="154"/>
  <c r="Z642" i="154"/>
  <c r="Z641" i="154" s="1"/>
  <c r="AJ659" i="154"/>
  <c r="Y513" i="154"/>
  <c r="AD513" i="154"/>
  <c r="AA513" i="154"/>
  <c r="Q459" i="154"/>
  <c r="Q187" i="154" s="1"/>
  <c r="Q22" i="154" s="1"/>
  <c r="Q7" i="154" s="1"/>
  <c r="Q9" i="154" s="1"/>
  <c r="AD401" i="154"/>
  <c r="Y401" i="154"/>
  <c r="AA401" i="154"/>
  <c r="Y450" i="154"/>
  <c r="Y445" i="154" s="1"/>
  <c r="AA450" i="154"/>
  <c r="AD450" i="154"/>
  <c r="AA397" i="154"/>
  <c r="Y397" i="154"/>
  <c r="AD397" i="154"/>
  <c r="Z472" i="154"/>
  <c r="Y422" i="154"/>
  <c r="AA422" i="154"/>
  <c r="AD422" i="154"/>
  <c r="Y390" i="154"/>
  <c r="AA390" i="154"/>
  <c r="AD390" i="154"/>
  <c r="Z384" i="154"/>
  <c r="Y370" i="154"/>
  <c r="AA370" i="154"/>
  <c r="AD370" i="154"/>
  <c r="U433" i="154"/>
  <c r="AB412" i="154"/>
  <c r="AB411" i="154" s="1"/>
  <c r="Z411" i="154"/>
  <c r="AD247" i="154"/>
  <c r="AA247" i="154"/>
  <c r="Y247" i="154"/>
  <c r="Y358" i="154"/>
  <c r="AA358" i="154"/>
  <c r="AD199" i="154"/>
  <c r="AA199" i="154"/>
  <c r="Y199" i="154"/>
  <c r="AA162" i="154"/>
  <c r="AD162" i="154"/>
  <c r="Y162" i="154"/>
  <c r="Z224" i="154"/>
  <c r="T330" i="154"/>
  <c r="V330" i="154" s="1"/>
  <c r="X209" i="154"/>
  <c r="Z191" i="154"/>
  <c r="AB192" i="154"/>
  <c r="AB191" i="154" s="1"/>
  <c r="AA165" i="154"/>
  <c r="Y165" i="154"/>
  <c r="AD165" i="154"/>
  <c r="Y178" i="154"/>
  <c r="Y177" i="154" s="1"/>
  <c r="AA178" i="154"/>
  <c r="AA177" i="154" s="1"/>
  <c r="U177" i="154"/>
  <c r="AD177" i="154" s="1"/>
  <c r="AD178" i="154"/>
  <c r="U168" i="154"/>
  <c r="AD169" i="154"/>
  <c r="AA169" i="154"/>
  <c r="AA168" i="154" s="1"/>
  <c r="Y169" i="154"/>
  <c r="Y168" i="154" s="1"/>
  <c r="Y226" i="154"/>
  <c r="AD226" i="154"/>
  <c r="AA226" i="154"/>
  <c r="AA148" i="154"/>
  <c r="Y148" i="154"/>
  <c r="AA217" i="154"/>
  <c r="AD217" i="154"/>
  <c r="Y217" i="154"/>
  <c r="Y216" i="154" s="1"/>
  <c r="U216" i="154"/>
  <c r="AD216" i="154" s="1"/>
  <c r="AA150" i="154"/>
  <c r="Y150" i="154"/>
  <c r="AD117" i="154"/>
  <c r="AA117" i="154"/>
  <c r="Y117" i="154"/>
  <c r="AA39" i="154"/>
  <c r="Y39" i="154"/>
  <c r="AD39" i="154"/>
  <c r="AA110" i="154"/>
  <c r="AA107" i="154" s="1"/>
  <c r="Y110" i="154"/>
  <c r="Y107" i="154" s="1"/>
  <c r="AD110" i="154"/>
  <c r="Y50" i="154"/>
  <c r="AD50" i="154"/>
  <c r="AA50" i="154"/>
  <c r="Z156" i="154"/>
  <c r="AB156" i="154" s="1"/>
  <c r="X156" i="154"/>
  <c r="V156" i="154"/>
  <c r="U156" i="154"/>
  <c r="U85" i="154"/>
  <c r="Z85" i="154"/>
  <c r="X85" i="154"/>
  <c r="V85" i="154"/>
  <c r="T84" i="154"/>
  <c r="T142" i="154"/>
  <c r="V142" i="154" s="1"/>
  <c r="V143" i="154"/>
  <c r="Z89" i="154"/>
  <c r="AB90" i="154"/>
  <c r="AB89" i="154" s="1"/>
  <c r="AD73" i="154"/>
  <c r="AA14" i="154"/>
  <c r="AA13" i="154" s="1"/>
  <c r="AA12" i="154" s="1"/>
  <c r="AA11" i="154" s="1"/>
  <c r="U13" i="154"/>
  <c r="Y14" i="154"/>
  <c r="Y13" i="154" s="1"/>
  <c r="Y12" i="154" s="1"/>
  <c r="Y11" i="154" s="1"/>
  <c r="AD14" i="154"/>
  <c r="AB116" i="154"/>
  <c r="AB115" i="154" s="1"/>
  <c r="AB114" i="154" s="1"/>
  <c r="AA650" i="154"/>
  <c r="Y638" i="154"/>
  <c r="AD638" i="154"/>
  <c r="AA638" i="154"/>
  <c r="AA646" i="154"/>
  <c r="AD646" i="154"/>
  <c r="Y646" i="154"/>
  <c r="AA660" i="154"/>
  <c r="AA659" i="154" s="1"/>
  <c r="AA529" i="154"/>
  <c r="Y529" i="154"/>
  <c r="AD529" i="154"/>
  <c r="Y556" i="154"/>
  <c r="AA556" i="154"/>
  <c r="AD556" i="154"/>
  <c r="AB539" i="154"/>
  <c r="AB537" i="154" s="1"/>
  <c r="AB536" i="154" s="1"/>
  <c r="Z537" i="154"/>
  <c r="Z536" i="154" s="1"/>
  <c r="Y588" i="154"/>
  <c r="AA588" i="154"/>
  <c r="AD588" i="154"/>
  <c r="Y572" i="154"/>
  <c r="AA572" i="154"/>
  <c r="AD572" i="154"/>
  <c r="Y564" i="154"/>
  <c r="AA564" i="154"/>
  <c r="AD564" i="154"/>
  <c r="Y540" i="154"/>
  <c r="AA540" i="154"/>
  <c r="AD540" i="154"/>
  <c r="V484" i="154"/>
  <c r="AA471" i="154"/>
  <c r="AD471" i="154"/>
  <c r="Y471" i="154"/>
  <c r="AB460" i="154"/>
  <c r="Y468" i="154"/>
  <c r="Y467" i="154" s="1"/>
  <c r="AA468" i="154"/>
  <c r="AA467" i="154" s="1"/>
  <c r="AD468" i="154"/>
  <c r="Y405" i="154"/>
  <c r="Y402" i="154" s="1"/>
  <c r="AA405" i="154"/>
  <c r="AA402" i="154" s="1"/>
  <c r="AD405" i="154"/>
  <c r="AA357" i="154"/>
  <c r="AD357" i="154"/>
  <c r="Y357" i="154"/>
  <c r="AB289" i="154"/>
  <c r="AB287" i="154" s="1"/>
  <c r="Z287" i="154"/>
  <c r="AA318" i="154"/>
  <c r="Y318" i="154"/>
  <c r="AD318" i="154"/>
  <c r="AA353" i="154"/>
  <c r="AD353" i="154"/>
  <c r="Y353" i="154"/>
  <c r="AA322" i="154"/>
  <c r="AD322" i="154"/>
  <c r="Y322" i="154"/>
  <c r="Y279" i="154"/>
  <c r="AA279" i="154"/>
  <c r="AD279" i="154"/>
  <c r="AA350" i="154"/>
  <c r="AD350" i="154"/>
  <c r="Y350" i="154"/>
  <c r="X314" i="154"/>
  <c r="AA306" i="154"/>
  <c r="AD306" i="154"/>
  <c r="Y306" i="154"/>
  <c r="AD229" i="154"/>
  <c r="AA229" i="154"/>
  <c r="Y229" i="154"/>
  <c r="AD257" i="154"/>
  <c r="AA257" i="154"/>
  <c r="Y257" i="154"/>
  <c r="T190" i="154"/>
  <c r="U135" i="154"/>
  <c r="AD136" i="154"/>
  <c r="Y66" i="154"/>
  <c r="Y65" i="154" s="1"/>
  <c r="AD66" i="154"/>
  <c r="AA66" i="154"/>
  <c r="U65" i="154"/>
  <c r="AD65" i="154" s="1"/>
  <c r="Y141" i="154"/>
  <c r="Y136" i="154" s="1"/>
  <c r="Y135" i="154" s="1"/>
  <c r="AA141" i="154"/>
  <c r="AA136" i="154" s="1"/>
  <c r="AA135" i="154" s="1"/>
  <c r="AD141" i="154"/>
  <c r="AA38" i="154"/>
  <c r="Y38" i="154"/>
  <c r="AD38" i="154"/>
  <c r="AA144" i="154"/>
  <c r="AA143" i="154" s="1"/>
  <c r="U143" i="154"/>
  <c r="AD144" i="154"/>
  <c r="Y144" i="154"/>
  <c r="Y143" i="154" s="1"/>
  <c r="AA90" i="154"/>
  <c r="AA89" i="154" s="1"/>
  <c r="U89" i="154"/>
  <c r="AD89" i="154" s="1"/>
  <c r="AD90" i="154"/>
  <c r="Y90" i="154"/>
  <c r="Y89" i="154" s="1"/>
  <c r="AA116" i="154"/>
  <c r="Y116" i="154"/>
  <c r="U924" i="154"/>
  <c r="AD924" i="154" s="1"/>
  <c r="AD926" i="154"/>
  <c r="AA926" i="154"/>
  <c r="AA924" i="154" s="1"/>
  <c r="Y926" i="154"/>
  <c r="Y924" i="154" s="1"/>
  <c r="AA928" i="154"/>
  <c r="AA927" i="154" s="1"/>
  <c r="U927" i="154"/>
  <c r="AD927" i="154" s="1"/>
  <c r="Y928" i="154"/>
  <c r="AD928" i="154"/>
  <c r="AD679" i="154"/>
  <c r="U678" i="154"/>
  <c r="AD678" i="154" s="1"/>
  <c r="AA648" i="154"/>
  <c r="AD648" i="154"/>
  <c r="Y648" i="154"/>
  <c r="AD620" i="154"/>
  <c r="AA620" i="154"/>
  <c r="Y620" i="154"/>
  <c r="X917" i="154"/>
  <c r="X916" i="154" s="1"/>
  <c r="X718" i="154"/>
  <c r="X715" i="154" s="1"/>
  <c r="Z718" i="154"/>
  <c r="AB718" i="154" s="1"/>
  <c r="V718" i="154"/>
  <c r="U718" i="154"/>
  <c r="AD866" i="154"/>
  <c r="V780" i="154"/>
  <c r="Z694" i="154"/>
  <c r="Z693" i="154" s="1"/>
  <c r="AB695" i="154"/>
  <c r="AB694" i="154" s="1"/>
  <c r="AB693" i="154" s="1"/>
  <c r="V708" i="154"/>
  <c r="V842" i="154"/>
  <c r="V642" i="154"/>
  <c r="T641" i="154"/>
  <c r="V641" i="154" s="1"/>
  <c r="V670" i="154"/>
  <c r="T669" i="154"/>
  <c r="V669" i="154" s="1"/>
  <c r="T650" i="154"/>
  <c r="V650" i="154" s="1"/>
  <c r="V651" i="154"/>
  <c r="V672" i="154"/>
  <c r="U660" i="154"/>
  <c r="Z618" i="154"/>
  <c r="Z617" i="154" s="1"/>
  <c r="AA506" i="154"/>
  <c r="AD506" i="154"/>
  <c r="Y506" i="154"/>
  <c r="X476" i="154"/>
  <c r="Y442" i="154"/>
  <c r="AA442" i="154"/>
  <c r="Y476" i="154"/>
  <c r="AD393" i="154"/>
  <c r="Y393" i="154"/>
  <c r="AA393" i="154"/>
  <c r="AA389" i="154"/>
  <c r="U388" i="154"/>
  <c r="AD388" i="154" s="1"/>
  <c r="Y389" i="154"/>
  <c r="AD389" i="154"/>
  <c r="Y437" i="154"/>
  <c r="AA437" i="154"/>
  <c r="AD437" i="154"/>
  <c r="AA336" i="154"/>
  <c r="Y336" i="154"/>
  <c r="AD336" i="154"/>
  <c r="Z373" i="154"/>
  <c r="AB374" i="154"/>
  <c r="AB373" i="154" s="1"/>
  <c r="U411" i="154"/>
  <c r="Z402" i="154"/>
  <c r="AA236" i="154"/>
  <c r="AD236" i="154"/>
  <c r="Y236" i="154"/>
  <c r="Y251" i="154"/>
  <c r="AD251" i="154"/>
  <c r="AA251" i="154"/>
  <c r="U314" i="154"/>
  <c r="AD314" i="154" s="1"/>
  <c r="AD265" i="154"/>
  <c r="AA265" i="154"/>
  <c r="Y265" i="154"/>
  <c r="P187" i="154"/>
  <c r="P22" i="154" s="1"/>
  <c r="U287" i="154"/>
  <c r="AD287" i="154" s="1"/>
  <c r="Z209" i="154"/>
  <c r="AB210" i="154"/>
  <c r="AB209" i="154" s="1"/>
  <c r="AA204" i="154"/>
  <c r="Y204" i="154"/>
  <c r="AD204" i="154"/>
  <c r="X180" i="154"/>
  <c r="S167" i="154"/>
  <c r="AD153" i="154"/>
  <c r="U29" i="154"/>
  <c r="Z29" i="154"/>
  <c r="X29" i="154"/>
  <c r="V29" i="154"/>
  <c r="AD149" i="154"/>
  <c r="AA78" i="154"/>
  <c r="AD26" i="154"/>
  <c r="X30" i="154"/>
  <c r="V30" i="154"/>
  <c r="U30" i="154"/>
  <c r="Z30" i="154"/>
  <c r="AB30" i="154" s="1"/>
  <c r="N10" i="154"/>
  <c r="U432" i="154" l="1"/>
  <c r="Z171" i="154"/>
  <c r="X410" i="154"/>
  <c r="AB917" i="154"/>
  <c r="AB916" i="154" s="1"/>
  <c r="J7" i="154"/>
  <c r="AA899" i="154"/>
  <c r="AA895" i="154" s="1"/>
  <c r="AA892" i="154" s="1"/>
  <c r="Y899" i="154"/>
  <c r="Y895" i="154" s="1"/>
  <c r="Y892" i="154" s="1"/>
  <c r="Y891" i="154" s="1"/>
  <c r="AA65" i="154"/>
  <c r="X890" i="154"/>
  <c r="X889" i="154" s="1"/>
  <c r="X888" i="154" s="1"/>
  <c r="AD618" i="154"/>
  <c r="Y485" i="154"/>
  <c r="Y484" i="154" s="1"/>
  <c r="V727" i="154"/>
  <c r="Y462" i="154"/>
  <c r="Y461" i="154" s="1"/>
  <c r="AA60" i="154"/>
  <c r="D7" i="154"/>
  <c r="R459" i="154"/>
  <c r="R187" i="154" s="1"/>
  <c r="R22" i="154" s="1"/>
  <c r="R7" i="154" s="1"/>
  <c r="R9" i="154" s="1"/>
  <c r="AA384" i="154"/>
  <c r="U932" i="154"/>
  <c r="AD932" i="154" s="1"/>
  <c r="AD933" i="154"/>
  <c r="AA406" i="154"/>
  <c r="M187" i="154"/>
  <c r="M22" i="154" s="1"/>
  <c r="M7" i="154" s="1"/>
  <c r="M9" i="154" s="1"/>
  <c r="AB71" i="154"/>
  <c r="AB70" i="154" s="1"/>
  <c r="AA244" i="154"/>
  <c r="AB410" i="154"/>
  <c r="AA272" i="154"/>
  <c r="Y36" i="154"/>
  <c r="AA36" i="154"/>
  <c r="V25" i="154"/>
  <c r="AA445" i="154"/>
  <c r="X171" i="154"/>
  <c r="X167" i="154" s="1"/>
  <c r="X166" i="154" s="1"/>
  <c r="AA359" i="154"/>
  <c r="Z917" i="154"/>
  <c r="Z916" i="154" s="1"/>
  <c r="Y927" i="154"/>
  <c r="Y917" i="154" s="1"/>
  <c r="Y916" i="154" s="1"/>
  <c r="Y244" i="154"/>
  <c r="AA224" i="154"/>
  <c r="AA462" i="154"/>
  <c r="AA461" i="154" s="1"/>
  <c r="AA642" i="154"/>
  <c r="AA641" i="154" s="1"/>
  <c r="V70" i="154"/>
  <c r="Y642" i="154"/>
  <c r="Y641" i="154" s="1"/>
  <c r="AA172" i="154"/>
  <c r="AA171" i="154" s="1"/>
  <c r="AA167" i="154" s="1"/>
  <c r="AA166" i="154" s="1"/>
  <c r="Y331" i="154"/>
  <c r="X483" i="154"/>
  <c r="X482" i="154" s="1"/>
  <c r="X481" i="154" s="1"/>
  <c r="Z142" i="154"/>
  <c r="Z134" i="154" s="1"/>
  <c r="Z133" i="154" s="1"/>
  <c r="AD433" i="154"/>
  <c r="Y191" i="154"/>
  <c r="Y272" i="154"/>
  <c r="Y423" i="154"/>
  <c r="AA618" i="154"/>
  <c r="AA617" i="154" s="1"/>
  <c r="X223" i="154"/>
  <c r="AA191" i="154"/>
  <c r="AB330" i="154"/>
  <c r="Y694" i="154"/>
  <c r="Y693" i="154" s="1"/>
  <c r="AA891" i="154"/>
  <c r="Y359" i="154"/>
  <c r="AB483" i="154"/>
  <c r="AA345" i="154"/>
  <c r="Z663" i="154"/>
  <c r="Y345" i="154"/>
  <c r="X142" i="154"/>
  <c r="X134" i="154" s="1"/>
  <c r="X133" i="154" s="1"/>
  <c r="P7" i="154"/>
  <c r="P9" i="154" s="1"/>
  <c r="AA216" i="154"/>
  <c r="Z461" i="154"/>
  <c r="Y373" i="154"/>
  <c r="Y72" i="154"/>
  <c r="Y71" i="154" s="1"/>
  <c r="Y70" i="154" s="1"/>
  <c r="AA72" i="154"/>
  <c r="AA71" i="154" s="1"/>
  <c r="AA70" i="154" s="1"/>
  <c r="AD72" i="154"/>
  <c r="Y537" i="154"/>
  <c r="Y536" i="154" s="1"/>
  <c r="AA145" i="154"/>
  <c r="Y419" i="154"/>
  <c r="Y224" i="154"/>
  <c r="Y314" i="154"/>
  <c r="AA433" i="154"/>
  <c r="X190" i="154"/>
  <c r="Y650" i="154"/>
  <c r="AA388" i="154"/>
  <c r="X84" i="154"/>
  <c r="X83" i="154" s="1"/>
  <c r="X82" i="154" s="1"/>
  <c r="N482" i="154"/>
  <c r="V681" i="154"/>
  <c r="T663" i="154"/>
  <c r="V663" i="154" s="1"/>
  <c r="AB142" i="154"/>
  <c r="AB134" i="154" s="1"/>
  <c r="AB133" i="154" s="1"/>
  <c r="U330" i="154"/>
  <c r="AD330" i="154" s="1"/>
  <c r="AD331" i="154"/>
  <c r="Y406" i="154"/>
  <c r="Z483" i="154"/>
  <c r="U708" i="154"/>
  <c r="AD708" i="154" s="1"/>
  <c r="AD709" i="154"/>
  <c r="U917" i="154"/>
  <c r="AD115" i="154"/>
  <c r="AA238" i="154"/>
  <c r="O188" i="154"/>
  <c r="AD432" i="154"/>
  <c r="O482" i="154"/>
  <c r="O481" i="154" s="1"/>
  <c r="O459" i="154" s="1"/>
  <c r="O187" i="154" s="1"/>
  <c r="V895" i="154"/>
  <c r="T892" i="154"/>
  <c r="AA18" i="154"/>
  <c r="AA17" i="154" s="1"/>
  <c r="AA16" i="154" s="1"/>
  <c r="AA15" i="154" s="1"/>
  <c r="AA10" i="154" s="1"/>
  <c r="Y18" i="154"/>
  <c r="Y17" i="154" s="1"/>
  <c r="Y16" i="154" s="1"/>
  <c r="Y15" i="154" s="1"/>
  <c r="Y10" i="154" s="1"/>
  <c r="U17" i="154"/>
  <c r="AD18" i="154"/>
  <c r="Y258" i="154"/>
  <c r="AB911" i="154"/>
  <c r="AB910" i="154" s="1"/>
  <c r="AB909" i="154" s="1"/>
  <c r="AB908" i="154" s="1"/>
  <c r="Z910" i="154"/>
  <c r="Z909" i="154" s="1"/>
  <c r="Z908" i="154" s="1"/>
  <c r="AD467" i="154"/>
  <c r="U462" i="154"/>
  <c r="V135" i="154"/>
  <c r="T134" i="154"/>
  <c r="U171" i="154"/>
  <c r="AD171" i="154" s="1"/>
  <c r="AD172" i="154"/>
  <c r="Z432" i="154"/>
  <c r="AA682" i="154"/>
  <c r="AA681" i="154" s="1"/>
  <c r="O23" i="154"/>
  <c r="V910" i="154"/>
  <c r="T909" i="154"/>
  <c r="N189" i="154"/>
  <c r="U430" i="154"/>
  <c r="AD430" i="154" s="1"/>
  <c r="Y431" i="154"/>
  <c r="Y430" i="154" s="1"/>
  <c r="AA431" i="154"/>
  <c r="AA430" i="154" s="1"/>
  <c r="AD431" i="154"/>
  <c r="T725" i="154"/>
  <c r="V24" i="154"/>
  <c r="T23" i="154"/>
  <c r="Z84" i="154"/>
  <c r="Z83" i="154" s="1"/>
  <c r="AB85" i="154"/>
  <c r="AB84" i="154" s="1"/>
  <c r="AB83" i="154" s="1"/>
  <c r="AB82" i="154" s="1"/>
  <c r="X25" i="154"/>
  <c r="X24" i="154" s="1"/>
  <c r="X23" i="154" s="1"/>
  <c r="Y618" i="154"/>
  <c r="Y617" i="154" s="1"/>
  <c r="AD135" i="154"/>
  <c r="Z115" i="154"/>
  <c r="Z114" i="154" s="1"/>
  <c r="AA85" i="154"/>
  <c r="Y85" i="154"/>
  <c r="U84" i="154"/>
  <c r="AD85" i="154"/>
  <c r="AD168" i="154"/>
  <c r="AB190" i="154"/>
  <c r="U672" i="154"/>
  <c r="AD672" i="154" s="1"/>
  <c r="AD673" i="154"/>
  <c r="AA694" i="154"/>
  <c r="AA693" i="154" s="1"/>
  <c r="AA113" i="154"/>
  <c r="Y113" i="154"/>
  <c r="AD113" i="154"/>
  <c r="U895" i="154"/>
  <c r="AD899" i="154"/>
  <c r="V115" i="154"/>
  <c r="T114" i="154"/>
  <c r="V114" i="154" s="1"/>
  <c r="Y682" i="154"/>
  <c r="Y681" i="154" s="1"/>
  <c r="N890" i="154"/>
  <c r="U71" i="154"/>
  <c r="U190" i="154"/>
  <c r="AD191" i="154"/>
  <c r="AA419" i="154"/>
  <c r="Y209" i="154"/>
  <c r="AA258" i="154"/>
  <c r="AA911" i="154"/>
  <c r="AA910" i="154" s="1"/>
  <c r="AA909" i="154" s="1"/>
  <c r="AA908" i="154" s="1"/>
  <c r="Y911" i="154"/>
  <c r="Y910" i="154" s="1"/>
  <c r="Y909" i="154" s="1"/>
  <c r="Y908" i="154" s="1"/>
  <c r="U910" i="154"/>
  <c r="AD911" i="154"/>
  <c r="S10" i="154"/>
  <c r="AJ15" i="154"/>
  <c r="AB29" i="154"/>
  <c r="AB25" i="154" s="1"/>
  <c r="AB24" i="154" s="1"/>
  <c r="AB23" i="154" s="1"/>
  <c r="Z25" i="154"/>
  <c r="Z24" i="154" s="1"/>
  <c r="Z23" i="154" s="1"/>
  <c r="AA718" i="154"/>
  <c r="AA715" i="154" s="1"/>
  <c r="Y718" i="154"/>
  <c r="Y715" i="154" s="1"/>
  <c r="AD718" i="154"/>
  <c r="T189" i="154"/>
  <c r="V190" i="154"/>
  <c r="T483" i="154"/>
  <c r="Z190" i="154"/>
  <c r="U693" i="154"/>
  <c r="AD693" i="154" s="1"/>
  <c r="AD694" i="154"/>
  <c r="U641" i="154"/>
  <c r="AD641" i="154" s="1"/>
  <c r="AD642" i="154"/>
  <c r="AA209" i="154"/>
  <c r="Y384" i="154"/>
  <c r="U650" i="154"/>
  <c r="AD650" i="154" s="1"/>
  <c r="AD653" i="154"/>
  <c r="T916" i="154"/>
  <c r="V916" i="154" s="1"/>
  <c r="V917" i="154"/>
  <c r="Y30" i="154"/>
  <c r="AA30" i="154"/>
  <c r="AD30" i="154"/>
  <c r="AA156" i="154"/>
  <c r="Y156" i="154"/>
  <c r="AD156" i="154"/>
  <c r="AA29" i="154"/>
  <c r="Y29" i="154"/>
  <c r="AD29" i="154"/>
  <c r="U410" i="154"/>
  <c r="AD410" i="154" s="1"/>
  <c r="AD411" i="154"/>
  <c r="Y433" i="154"/>
  <c r="U659" i="154"/>
  <c r="AD659" i="154" s="1"/>
  <c r="AD660" i="154"/>
  <c r="U142" i="154"/>
  <c r="AD142" i="154" s="1"/>
  <c r="AD143" i="154"/>
  <c r="Z715" i="154"/>
  <c r="AA35" i="154"/>
  <c r="Y35" i="154"/>
  <c r="AD35" i="154"/>
  <c r="AB663" i="154"/>
  <c r="V12" i="154"/>
  <c r="T11" i="154"/>
  <c r="Y126" i="154"/>
  <c r="Y115" i="154" s="1"/>
  <c r="Y114" i="154" s="1"/>
  <c r="AA126" i="154"/>
  <c r="AA115" i="154" s="1"/>
  <c r="AA114" i="154" s="1"/>
  <c r="AD126" i="154"/>
  <c r="S482" i="154"/>
  <c r="AJ483" i="154"/>
  <c r="U681" i="154"/>
  <c r="AD682" i="154"/>
  <c r="S82" i="154"/>
  <c r="AJ83" i="154"/>
  <c r="S23" i="154"/>
  <c r="AJ24" i="154"/>
  <c r="Z430" i="154"/>
  <c r="AB431" i="154"/>
  <c r="AB430" i="154" s="1"/>
  <c r="AA373" i="154"/>
  <c r="Z460" i="154"/>
  <c r="U223" i="154"/>
  <c r="AD223" i="154" s="1"/>
  <c r="AB715" i="154"/>
  <c r="Y294" i="154"/>
  <c r="Z330" i="154"/>
  <c r="X461" i="154"/>
  <c r="X460" i="154"/>
  <c r="V17" i="154"/>
  <c r="T16" i="154"/>
  <c r="AB167" i="154"/>
  <c r="AB166" i="154" s="1"/>
  <c r="AD727" i="154"/>
  <c r="N726" i="154"/>
  <c r="AB892" i="154"/>
  <c r="AB891" i="154" s="1"/>
  <c r="S166" i="154"/>
  <c r="AJ166" i="154" s="1"/>
  <c r="AJ167" i="154"/>
  <c r="Y388" i="154"/>
  <c r="U12" i="154"/>
  <c r="AD13" i="154"/>
  <c r="V84" i="154"/>
  <c r="T83" i="154"/>
  <c r="Z223" i="154"/>
  <c r="Z410" i="154"/>
  <c r="AB223" i="154"/>
  <c r="AA294" i="154"/>
  <c r="AA451" i="154"/>
  <c r="Y451" i="154"/>
  <c r="AD451" i="154"/>
  <c r="T461" i="154"/>
  <c r="V461" i="154" s="1"/>
  <c r="V462" i="154"/>
  <c r="T460" i="154"/>
  <c r="AA537" i="154"/>
  <c r="AA536" i="154" s="1"/>
  <c r="U715" i="154"/>
  <c r="AD715" i="154" s="1"/>
  <c r="V171" i="154"/>
  <c r="T167" i="154"/>
  <c r="AA314" i="154"/>
  <c r="AA55" i="154"/>
  <c r="Y55" i="154"/>
  <c r="AD55" i="154"/>
  <c r="Y145" i="154"/>
  <c r="Y172" i="154"/>
  <c r="Y171" i="154" s="1"/>
  <c r="Y167" i="154" s="1"/>
  <c r="Y166" i="154" s="1"/>
  <c r="U25" i="154"/>
  <c r="Z167" i="154"/>
  <c r="Z166" i="154" s="1"/>
  <c r="AA423" i="154"/>
  <c r="Z892" i="154"/>
  <c r="Z891" i="154" s="1"/>
  <c r="AA142" i="154"/>
  <c r="AA134" i="154" s="1"/>
  <c r="AA133" i="154" s="1"/>
  <c r="AA331" i="154"/>
  <c r="U484" i="154"/>
  <c r="AD485" i="154"/>
  <c r="AJ114" i="154"/>
  <c r="AD114" i="154"/>
  <c r="AA88" i="154"/>
  <c r="Y88" i="154"/>
  <c r="AD88" i="154"/>
  <c r="AA485" i="154"/>
  <c r="AA484" i="154" s="1"/>
  <c r="Z17" i="154"/>
  <c r="Z16" i="154" s="1"/>
  <c r="Z15" i="154" s="1"/>
  <c r="Z10" i="154" s="1"/>
  <c r="AB18" i="154"/>
  <c r="AB17" i="154" s="1"/>
  <c r="AB16" i="154" s="1"/>
  <c r="AB15" i="154" s="1"/>
  <c r="AB10" i="154" s="1"/>
  <c r="AA917" i="154"/>
  <c r="AA916" i="154" s="1"/>
  <c r="Y142" i="154" l="1"/>
  <c r="Y134" i="154" s="1"/>
  <c r="Y133" i="154" s="1"/>
  <c r="Y460" i="154"/>
  <c r="O22" i="154"/>
  <c r="O7" i="154" s="1"/>
  <c r="O9" i="154" s="1"/>
  <c r="AA460" i="154"/>
  <c r="U167" i="154"/>
  <c r="AD167" i="154" s="1"/>
  <c r="Z482" i="154"/>
  <c r="Z481" i="154" s="1"/>
  <c r="Z459" i="154" s="1"/>
  <c r="Y410" i="154"/>
  <c r="Y663" i="154"/>
  <c r="Y190" i="154"/>
  <c r="X189" i="154"/>
  <c r="X188" i="154" s="1"/>
  <c r="Y890" i="154"/>
  <c r="AA890" i="154"/>
  <c r="AA889" i="154" s="1"/>
  <c r="AA888" i="154" s="1"/>
  <c r="AA330" i="154"/>
  <c r="Y330" i="154"/>
  <c r="AA432" i="154"/>
  <c r="Y889" i="154"/>
  <c r="Y888" i="154" s="1"/>
  <c r="AA190" i="154"/>
  <c r="Y483" i="154"/>
  <c r="AA223" i="154"/>
  <c r="AB482" i="154"/>
  <c r="AB481" i="154" s="1"/>
  <c r="AB459" i="154" s="1"/>
  <c r="AA410" i="154"/>
  <c r="Y223" i="154"/>
  <c r="AB189" i="154"/>
  <c r="AB188" i="154" s="1"/>
  <c r="AA483" i="154"/>
  <c r="AB890" i="154"/>
  <c r="AB889" i="154" s="1"/>
  <c r="AB888" i="154" s="1"/>
  <c r="U24" i="154"/>
  <c r="AD25" i="154"/>
  <c r="V167" i="154"/>
  <c r="T166" i="154"/>
  <c r="V166" i="154" s="1"/>
  <c r="U189" i="154"/>
  <c r="U188" i="154" s="1"/>
  <c r="AD190" i="154"/>
  <c r="U892" i="154"/>
  <c r="AD895" i="154"/>
  <c r="V23" i="154"/>
  <c r="N188" i="154"/>
  <c r="U916" i="154"/>
  <c r="AD916" i="154" s="1"/>
  <c r="AD917" i="154"/>
  <c r="AD726" i="154"/>
  <c r="N725" i="154"/>
  <c r="V725" i="154" s="1"/>
  <c r="U663" i="154"/>
  <c r="AD663" i="154" s="1"/>
  <c r="AD681" i="154"/>
  <c r="Y25" i="154"/>
  <c r="Y24" i="154" s="1"/>
  <c r="Y23" i="154" s="1"/>
  <c r="U909" i="154"/>
  <c r="AD910" i="154"/>
  <c r="U70" i="154"/>
  <c r="AD70" i="154" s="1"/>
  <c r="AD71" i="154"/>
  <c r="U134" i="154"/>
  <c r="U11" i="154"/>
  <c r="AD12" i="154"/>
  <c r="AA25" i="154"/>
  <c r="AA24" i="154" s="1"/>
  <c r="AA23" i="154" s="1"/>
  <c r="T724" i="154"/>
  <c r="V909" i="154"/>
  <c r="T908" i="154"/>
  <c r="V908" i="154" s="1"/>
  <c r="N481" i="154"/>
  <c r="AJ23" i="154"/>
  <c r="S481" i="154"/>
  <c r="AJ482" i="154"/>
  <c r="Z189" i="154"/>
  <c r="Z188" i="154" s="1"/>
  <c r="N889" i="154"/>
  <c r="V726" i="154"/>
  <c r="T133" i="154"/>
  <c r="V133" i="154" s="1"/>
  <c r="V134" i="154"/>
  <c r="V460" i="154"/>
  <c r="V16" i="154"/>
  <c r="T15" i="154"/>
  <c r="V15" i="154" s="1"/>
  <c r="T482" i="154"/>
  <c r="V483" i="154"/>
  <c r="U83" i="154"/>
  <c r="AD84" i="154"/>
  <c r="U16" i="154"/>
  <c r="AD17" i="154"/>
  <c r="Z890" i="154"/>
  <c r="Z889" i="154" s="1"/>
  <c r="Z888" i="154" s="1"/>
  <c r="Y432" i="154"/>
  <c r="Y84" i="154"/>
  <c r="Y83" i="154" s="1"/>
  <c r="Y82" i="154" s="1"/>
  <c r="U460" i="154"/>
  <c r="U461" i="154"/>
  <c r="AD461" i="154" s="1"/>
  <c r="AD462" i="154"/>
  <c r="X459" i="154"/>
  <c r="AJ82" i="154"/>
  <c r="T188" i="154"/>
  <c r="V189" i="154"/>
  <c r="AA84" i="154"/>
  <c r="AA83" i="154" s="1"/>
  <c r="AA82" i="154" s="1"/>
  <c r="T82" i="154"/>
  <c r="V82" i="154" s="1"/>
  <c r="V83" i="154"/>
  <c r="V11" i="154"/>
  <c r="Z82" i="154"/>
  <c r="AA663" i="154"/>
  <c r="T891" i="154"/>
  <c r="V892" i="154"/>
  <c r="U483" i="154"/>
  <c r="AD484" i="154"/>
  <c r="AB187" i="154" l="1"/>
  <c r="AB22" i="154" s="1"/>
  <c r="Y482" i="154"/>
  <c r="Y481" i="154" s="1"/>
  <c r="Y459" i="154" s="1"/>
  <c r="U166" i="154"/>
  <c r="AD166" i="154" s="1"/>
  <c r="AA482" i="154"/>
  <c r="AA481" i="154" s="1"/>
  <c r="AA459" i="154" s="1"/>
  <c r="X187" i="154"/>
  <c r="X22" i="154" s="1"/>
  <c r="X7" i="154" s="1"/>
  <c r="X9" i="154" s="1"/>
  <c r="Z187" i="154"/>
  <c r="Z22" i="154" s="1"/>
  <c r="Z7" i="154" s="1"/>
  <c r="Z9" i="154" s="1"/>
  <c r="Y189" i="154"/>
  <c r="Y188" i="154" s="1"/>
  <c r="Y187" i="154" s="1"/>
  <c r="Y22" i="154" s="1"/>
  <c r="Y7" i="154" s="1"/>
  <c r="Y9" i="154" s="1"/>
  <c r="AB7" i="154"/>
  <c r="AB9" i="154" s="1"/>
  <c r="AD189" i="154"/>
  <c r="T10" i="154"/>
  <c r="V10" i="154" s="1"/>
  <c r="AA189" i="154"/>
  <c r="AA188" i="154" s="1"/>
  <c r="U15" i="154"/>
  <c r="AD15" i="154" s="1"/>
  <c r="AD16" i="154"/>
  <c r="AD11" i="154"/>
  <c r="AD188" i="154"/>
  <c r="V188" i="154"/>
  <c r="AD460" i="154"/>
  <c r="U82" i="154"/>
  <c r="AD82" i="154" s="1"/>
  <c r="AD83" i="154"/>
  <c r="T723" i="154"/>
  <c r="U133" i="154"/>
  <c r="AD133" i="154" s="1"/>
  <c r="AD134" i="154"/>
  <c r="AD725" i="154"/>
  <c r="N724" i="154"/>
  <c r="V724" i="154" s="1"/>
  <c r="S459" i="154"/>
  <c r="AJ481" i="154"/>
  <c r="U482" i="154"/>
  <c r="AD483" i="154"/>
  <c r="V482" i="154"/>
  <c r="T481" i="154"/>
  <c r="U23" i="154"/>
  <c r="AD24" i="154"/>
  <c r="N888" i="154"/>
  <c r="T890" i="154"/>
  <c r="V891" i="154"/>
  <c r="N459" i="154"/>
  <c r="N187" i="154" s="1"/>
  <c r="U908" i="154"/>
  <c r="AD908" i="154" s="1"/>
  <c r="AD909" i="154"/>
  <c r="U891" i="154"/>
  <c r="AD892" i="154"/>
  <c r="AA187" i="154" l="1"/>
  <c r="AA22" i="154" s="1"/>
  <c r="AA7" i="154" s="1"/>
  <c r="AA9" i="154" s="1"/>
  <c r="N22" i="154"/>
  <c r="AD23" i="154"/>
  <c r="AJ459" i="154"/>
  <c r="S187" i="154"/>
  <c r="V481" i="154"/>
  <c r="T459" i="154"/>
  <c r="U10" i="154"/>
  <c r="V890" i="154"/>
  <c r="T889" i="154"/>
  <c r="AD724" i="154"/>
  <c r="N723" i="154"/>
  <c r="AD723" i="154" s="1"/>
  <c r="U481" i="154"/>
  <c r="AD482" i="154"/>
  <c r="U890" i="154"/>
  <c r="AD891" i="154"/>
  <c r="AJ187" i="154" l="1"/>
  <c r="S22" i="154"/>
  <c r="V889" i="154"/>
  <c r="T888" i="154"/>
  <c r="V888" i="154" s="1"/>
  <c r="V723" i="154"/>
  <c r="U889" i="154"/>
  <c r="AD890" i="154"/>
  <c r="U459" i="154"/>
  <c r="AD481" i="154"/>
  <c r="AE10" i="154"/>
  <c r="V459" i="154"/>
  <c r="T187" i="154"/>
  <c r="N7" i="154"/>
  <c r="N9" i="154" s="1"/>
  <c r="U187" i="154" l="1"/>
  <c r="AD459" i="154"/>
  <c r="V187" i="154"/>
  <c r="T22" i="154"/>
  <c r="U888" i="154"/>
  <c r="AD888" i="154" s="1"/>
  <c r="AD889" i="154"/>
  <c r="AJ22" i="154"/>
  <c r="S7" i="154"/>
  <c r="S9" i="154" s="1"/>
  <c r="V22" i="154" l="1"/>
  <c r="T7" i="154"/>
  <c r="U22" i="154"/>
  <c r="AD187" i="154"/>
  <c r="U7" i="154" l="1"/>
  <c r="U9" i="154" s="1"/>
  <c r="AD22" i="154"/>
  <c r="V7" i="154"/>
  <c r="T9" i="154"/>
  <c r="V9" i="154" s="1"/>
  <c r="D77" i="131" l="1"/>
  <c r="O29" i="127"/>
  <c r="N30" i="127"/>
  <c r="N29" i="127"/>
  <c r="O30" i="127"/>
  <c r="M30" i="127"/>
  <c r="M29" i="127"/>
  <c r="O16" i="127"/>
  <c r="O11" i="127"/>
  <c r="O23" i="126"/>
  <c r="O22" i="126"/>
  <c r="N23" i="126"/>
  <c r="N22" i="126"/>
  <c r="M23" i="126"/>
  <c r="M22" i="126"/>
  <c r="P29" i="127" l="1"/>
  <c r="D13" i="131" l="1"/>
  <c r="F26" i="152" l="1"/>
  <c r="E26" i="152"/>
  <c r="D26" i="152"/>
  <c r="F24" i="152"/>
  <c r="F23" i="152" s="1"/>
  <c r="E24" i="152"/>
  <c r="E23" i="152" s="1"/>
  <c r="C24" i="152"/>
  <c r="C23" i="152" s="1"/>
  <c r="B24" i="152"/>
  <c r="B23" i="152" s="1"/>
  <c r="B20" i="152"/>
  <c r="D18" i="152"/>
  <c r="C18" i="152"/>
  <c r="B18" i="152"/>
  <c r="B16" i="152" s="1"/>
  <c r="D16" i="152"/>
  <c r="C16" i="152"/>
  <c r="D13" i="152"/>
  <c r="C13" i="152"/>
  <c r="D10" i="152"/>
  <c r="C10" i="152"/>
  <c r="B10" i="152"/>
  <c r="E7" i="152"/>
  <c r="D7" i="152"/>
  <c r="C7" i="152"/>
  <c r="B7" i="152"/>
  <c r="E5" i="152"/>
  <c r="E4" i="152" s="1"/>
  <c r="D5" i="152"/>
  <c r="D4" i="152" s="1"/>
  <c r="C5" i="152"/>
  <c r="C4" i="152" s="1"/>
  <c r="B5" i="152"/>
  <c r="E187" i="131" l="1"/>
  <c r="E185" i="131" s="1"/>
  <c r="E15" i="152"/>
  <c r="E13" i="152" s="1"/>
  <c r="E17" i="152"/>
  <c r="E16" i="152" s="1"/>
  <c r="E19" i="152"/>
  <c r="E18" i="152" s="1"/>
  <c r="F22" i="152"/>
  <c r="E12" i="152"/>
  <c r="E21" i="152"/>
  <c r="F15" i="152"/>
  <c r="E22" i="152"/>
  <c r="F12" i="152"/>
  <c r="B4" i="152"/>
  <c r="B1" i="152" s="1"/>
  <c r="D93" i="131"/>
  <c r="B15" i="152"/>
  <c r="B13" i="152" s="1"/>
  <c r="F8" i="152"/>
  <c r="G8" i="152" s="1"/>
  <c r="E42" i="131"/>
  <c r="F135" i="131"/>
  <c r="F6" i="152"/>
  <c r="D1" i="152"/>
  <c r="C1" i="152"/>
  <c r="E1" i="152"/>
  <c r="E167" i="131"/>
  <c r="D167" i="131"/>
  <c r="C167" i="131"/>
  <c r="B167" i="131"/>
  <c r="B166" i="131" s="1"/>
  <c r="E153" i="131"/>
  <c r="D153" i="131"/>
  <c r="C153" i="131"/>
  <c r="B153" i="131"/>
  <c r="G154" i="131"/>
  <c r="Q959" i="132"/>
  <c r="J959" i="132"/>
  <c r="I959" i="132"/>
  <c r="Q958" i="132"/>
  <c r="H958" i="132"/>
  <c r="G958" i="132"/>
  <c r="F958" i="132"/>
  <c r="E958" i="132"/>
  <c r="D958" i="132"/>
  <c r="Q957" i="132"/>
  <c r="J957" i="132"/>
  <c r="I957" i="132"/>
  <c r="Q956" i="132"/>
  <c r="J956" i="132"/>
  <c r="I956" i="132"/>
  <c r="Q955" i="132"/>
  <c r="T952" i="132" s="1"/>
  <c r="H955" i="132"/>
  <c r="G955" i="132"/>
  <c r="F955" i="132"/>
  <c r="E955" i="132"/>
  <c r="D955" i="132"/>
  <c r="Q954" i="132"/>
  <c r="T951" i="132" s="1"/>
  <c r="Q953" i="132"/>
  <c r="T950" i="132" s="1"/>
  <c r="J953" i="132"/>
  <c r="I953" i="132"/>
  <c r="S952" i="132"/>
  <c r="R952" i="132"/>
  <c r="P952" i="132"/>
  <c r="O952" i="132"/>
  <c r="J952" i="132"/>
  <c r="I952" i="132"/>
  <c r="Q951" i="132"/>
  <c r="T948" i="132" s="1"/>
  <c r="J951" i="132"/>
  <c r="I951" i="132"/>
  <c r="Q950" i="132"/>
  <c r="T947" i="132" s="1"/>
  <c r="J950" i="132"/>
  <c r="I950" i="132"/>
  <c r="AF949" i="132"/>
  <c r="AE949" i="132"/>
  <c r="AD949" i="132"/>
  <c r="AC949" i="132"/>
  <c r="AB949" i="132"/>
  <c r="AA949" i="132"/>
  <c r="Z949" i="132"/>
  <c r="Y949" i="132"/>
  <c r="X949" i="132"/>
  <c r="W949" i="132"/>
  <c r="V949" i="132"/>
  <c r="U949" i="132"/>
  <c r="Q949" i="132"/>
  <c r="T946" i="132" s="1"/>
  <c r="N949" i="132"/>
  <c r="M949" i="132"/>
  <c r="H949" i="132"/>
  <c r="G949" i="132"/>
  <c r="F949" i="132"/>
  <c r="E949" i="132"/>
  <c r="D949" i="132"/>
  <c r="Q948" i="132"/>
  <c r="T945" i="132" s="1"/>
  <c r="J948" i="132"/>
  <c r="I948" i="132"/>
  <c r="Q947" i="132"/>
  <c r="T944" i="132" s="1"/>
  <c r="J947" i="132"/>
  <c r="I947" i="132"/>
  <c r="Q946" i="132"/>
  <c r="T943" i="132" s="1"/>
  <c r="H946" i="132"/>
  <c r="G946" i="132"/>
  <c r="F946" i="132"/>
  <c r="E946" i="132"/>
  <c r="D946" i="132"/>
  <c r="Q945" i="132"/>
  <c r="T942" i="132" s="1"/>
  <c r="J945" i="132"/>
  <c r="I945" i="132"/>
  <c r="Q944" i="132"/>
  <c r="T941" i="132" s="1"/>
  <c r="J944" i="132"/>
  <c r="I944" i="132"/>
  <c r="AB943" i="132"/>
  <c r="AB938" i="132" s="1"/>
  <c r="U943" i="132"/>
  <c r="U938" i="132" s="1"/>
  <c r="Q943" i="132"/>
  <c r="T940" i="132" s="1"/>
  <c r="L943" i="132"/>
  <c r="J943" i="132"/>
  <c r="I943" i="132"/>
  <c r="Q942" i="132"/>
  <c r="T939" i="132" s="1"/>
  <c r="H942" i="132"/>
  <c r="G942" i="132"/>
  <c r="F942" i="132"/>
  <c r="E942" i="132"/>
  <c r="D942" i="132"/>
  <c r="S941" i="132"/>
  <c r="R941" i="132"/>
  <c r="P941" i="132"/>
  <c r="O941" i="132"/>
  <c r="Q939" i="132"/>
  <c r="T936" i="132" s="1"/>
  <c r="L939" i="132"/>
  <c r="L593" i="132" s="1"/>
  <c r="J939" i="132"/>
  <c r="I939" i="132"/>
  <c r="AF938" i="132"/>
  <c r="AE938" i="132"/>
  <c r="AD938" i="132"/>
  <c r="AD937" i="132" s="1"/>
  <c r="AD914" i="132" s="1"/>
  <c r="AC938" i="132"/>
  <c r="AA938" i="132"/>
  <c r="Z938" i="132"/>
  <c r="Y938" i="132"/>
  <c r="X938" i="132"/>
  <c r="W938" i="132"/>
  <c r="V938" i="132"/>
  <c r="V937" i="132" s="1"/>
  <c r="V914" i="132" s="1"/>
  <c r="V913" i="132" s="1"/>
  <c r="V888" i="132" s="1"/>
  <c r="V734" i="132" s="1"/>
  <c r="V732" i="132" s="1"/>
  <c r="Q938" i="132"/>
  <c r="T935" i="132" s="1"/>
  <c r="N938" i="132"/>
  <c r="N937" i="132" s="1"/>
  <c r="M938" i="132"/>
  <c r="M937" i="132" s="1"/>
  <c r="K938" i="132"/>
  <c r="K937" i="132" s="1"/>
  <c r="G938" i="132"/>
  <c r="G937" i="132" s="1"/>
  <c r="F938" i="132"/>
  <c r="F937" i="132" s="1"/>
  <c r="E938" i="132"/>
  <c r="D938" i="132"/>
  <c r="D937" i="132" s="1"/>
  <c r="S937" i="132"/>
  <c r="R937" i="132"/>
  <c r="P937" i="132"/>
  <c r="O937" i="132"/>
  <c r="H937" i="132"/>
  <c r="AA936" i="132"/>
  <c r="Q936" i="132"/>
  <c r="J936" i="132"/>
  <c r="I936" i="132"/>
  <c r="AA935" i="132"/>
  <c r="Q935" i="132"/>
  <c r="J935" i="132"/>
  <c r="I935" i="132"/>
  <c r="AA934" i="132"/>
  <c r="AA586" i="132" s="1"/>
  <c r="Q934" i="132"/>
  <c r="H934" i="132"/>
  <c r="H933" i="132" s="1"/>
  <c r="H932" i="132" s="1"/>
  <c r="G934" i="132"/>
  <c r="G933" i="132" s="1"/>
  <c r="G932" i="132" s="1"/>
  <c r="F934" i="132"/>
  <c r="F933" i="132" s="1"/>
  <c r="F932" i="132" s="1"/>
  <c r="E934" i="132"/>
  <c r="E933" i="132" s="1"/>
  <c r="D934" i="132"/>
  <c r="D933" i="132" s="1"/>
  <c r="D932" i="132" s="1"/>
  <c r="Q933" i="132"/>
  <c r="T930" i="132" s="1"/>
  <c r="S932" i="132"/>
  <c r="R932" i="132"/>
  <c r="P932" i="132"/>
  <c r="O932" i="132"/>
  <c r="N932" i="132"/>
  <c r="M932" i="132"/>
  <c r="L932" i="132"/>
  <c r="K932" i="132"/>
  <c r="Q931" i="132"/>
  <c r="J931" i="132"/>
  <c r="I931" i="132"/>
  <c r="AA930" i="132"/>
  <c r="S930" i="132"/>
  <c r="R930" i="132"/>
  <c r="P930" i="132"/>
  <c r="O930" i="132"/>
  <c r="N930" i="132"/>
  <c r="M930" i="132"/>
  <c r="L930" i="132"/>
  <c r="K930" i="132"/>
  <c r="H930" i="132"/>
  <c r="G930" i="132"/>
  <c r="F930" i="132"/>
  <c r="E930" i="132"/>
  <c r="D930" i="132"/>
  <c r="Q929" i="132"/>
  <c r="J929" i="132"/>
  <c r="I929" i="132"/>
  <c r="Q928" i="132"/>
  <c r="J928" i="132"/>
  <c r="I928" i="132"/>
  <c r="AA927" i="132"/>
  <c r="Z927" i="132"/>
  <c r="Y927" i="132"/>
  <c r="Q927" i="132"/>
  <c r="J927" i="132"/>
  <c r="I927" i="132"/>
  <c r="Q926" i="132"/>
  <c r="J926" i="132"/>
  <c r="I926" i="132"/>
  <c r="Q925" i="132"/>
  <c r="J925" i="132"/>
  <c r="I925" i="132"/>
  <c r="Q924" i="132"/>
  <c r="J924" i="132"/>
  <c r="I924" i="132"/>
  <c r="S923" i="132"/>
  <c r="S919" i="132" s="1"/>
  <c r="R923" i="132"/>
  <c r="R919" i="132" s="1"/>
  <c r="P923" i="132"/>
  <c r="P919" i="132" s="1"/>
  <c r="O923" i="132"/>
  <c r="N923" i="132"/>
  <c r="N919" i="132" s="1"/>
  <c r="M923" i="132"/>
  <c r="M919" i="132" s="1"/>
  <c r="L923" i="132"/>
  <c r="L919" i="132" s="1"/>
  <c r="K923" i="132"/>
  <c r="K919" i="132" s="1"/>
  <c r="H923" i="132"/>
  <c r="H919" i="132" s="1"/>
  <c r="G923" i="132"/>
  <c r="F923" i="132"/>
  <c r="F919" i="132" s="1"/>
  <c r="E923" i="132"/>
  <c r="D923" i="132"/>
  <c r="D919" i="132" s="1"/>
  <c r="Q922" i="132"/>
  <c r="T919" i="132" s="1"/>
  <c r="J922" i="132"/>
  <c r="I922" i="132"/>
  <c r="Q921" i="132"/>
  <c r="J921" i="132"/>
  <c r="I921" i="132"/>
  <c r="AA920" i="132"/>
  <c r="Z920" i="132"/>
  <c r="Y920" i="132"/>
  <c r="Q920" i="132"/>
  <c r="T917" i="132" s="1"/>
  <c r="J920" i="132"/>
  <c r="I920" i="132"/>
  <c r="AA919" i="132"/>
  <c r="Z919" i="132"/>
  <c r="Y919" i="132"/>
  <c r="Q918" i="132"/>
  <c r="T915" i="132" s="1"/>
  <c r="J918" i="132"/>
  <c r="I918" i="132"/>
  <c r="AA917" i="132"/>
  <c r="Z917" i="132"/>
  <c r="Y917" i="132"/>
  <c r="S917" i="132"/>
  <c r="R917" i="132"/>
  <c r="P917" i="132"/>
  <c r="O917" i="132"/>
  <c r="N917" i="132"/>
  <c r="M917" i="132"/>
  <c r="L917" i="132"/>
  <c r="K917" i="132"/>
  <c r="H917" i="132"/>
  <c r="G917" i="132"/>
  <c r="F917" i="132"/>
  <c r="E917" i="132"/>
  <c r="D917" i="132"/>
  <c r="AA915" i="132"/>
  <c r="Z915" i="132"/>
  <c r="Y915" i="132"/>
  <c r="AF913" i="132"/>
  <c r="AF888" i="132" s="1"/>
  <c r="AE913" i="132"/>
  <c r="AE888" i="132" s="1"/>
  <c r="AB913" i="132"/>
  <c r="AB888" i="132" s="1"/>
  <c r="AA913" i="132"/>
  <c r="G906" i="132"/>
  <c r="F906" i="132"/>
  <c r="G890" i="132"/>
  <c r="F890" i="132"/>
  <c r="Q889" i="132"/>
  <c r="AD888" i="132"/>
  <c r="AC888" i="132"/>
  <c r="Q888" i="132"/>
  <c r="G863" i="132"/>
  <c r="G862" i="132" s="1"/>
  <c r="F863" i="132"/>
  <c r="F862" i="132" s="1"/>
  <c r="Q862" i="132"/>
  <c r="G834" i="132"/>
  <c r="G833" i="132" s="1"/>
  <c r="F834" i="132"/>
  <c r="F833" i="132" s="1"/>
  <c r="Q833" i="132"/>
  <c r="G805" i="132"/>
  <c r="G804" i="132" s="1"/>
  <c r="F805" i="132"/>
  <c r="F804" i="132" s="1"/>
  <c r="Q804" i="132"/>
  <c r="G791" i="132"/>
  <c r="G790" i="132" s="1"/>
  <c r="F791" i="132"/>
  <c r="F790" i="132" s="1"/>
  <c r="Q790" i="132"/>
  <c r="G735" i="132"/>
  <c r="G734" i="132" s="1"/>
  <c r="F735" i="132"/>
  <c r="F734" i="132" s="1"/>
  <c r="Q734" i="132"/>
  <c r="S732" i="132"/>
  <c r="S731" i="132" s="1"/>
  <c r="S730" i="132" s="1"/>
  <c r="S729" i="132" s="1"/>
  <c r="R732" i="132"/>
  <c r="R731" i="132" s="1"/>
  <c r="R730" i="132" s="1"/>
  <c r="R729" i="132" s="1"/>
  <c r="O732" i="132"/>
  <c r="E732" i="132"/>
  <c r="E731" i="132" s="1"/>
  <c r="AF731" i="132"/>
  <c r="AF730" i="132" s="1"/>
  <c r="AF729" i="132" s="1"/>
  <c r="AF728" i="132" s="1"/>
  <c r="AE731" i="132"/>
  <c r="AE730" i="132" s="1"/>
  <c r="AE729" i="132" s="1"/>
  <c r="AE728" i="132" s="1"/>
  <c r="AC731" i="132"/>
  <c r="AC730" i="132" s="1"/>
  <c r="AC729" i="132" s="1"/>
  <c r="AC728" i="132" s="1"/>
  <c r="AB731" i="132"/>
  <c r="AB730" i="132" s="1"/>
  <c r="AB729" i="132" s="1"/>
  <c r="AB728" i="132" s="1"/>
  <c r="AA731" i="132"/>
  <c r="AA730" i="132" s="1"/>
  <c r="AA729" i="132" s="1"/>
  <c r="AA728" i="132" s="1"/>
  <c r="Z731" i="132"/>
  <c r="Z730" i="132" s="1"/>
  <c r="Z729" i="132" s="1"/>
  <c r="Z728" i="132" s="1"/>
  <c r="Y731" i="132"/>
  <c r="Y730" i="132" s="1"/>
  <c r="Y729" i="132" s="1"/>
  <c r="Y728" i="132" s="1"/>
  <c r="X731" i="132"/>
  <c r="X730" i="132" s="1"/>
  <c r="X729" i="132" s="1"/>
  <c r="X728" i="132" s="1"/>
  <c r="W731" i="132"/>
  <c r="W730" i="132" s="1"/>
  <c r="W729" i="132" s="1"/>
  <c r="W728" i="132" s="1"/>
  <c r="V731" i="132"/>
  <c r="V730" i="132" s="1"/>
  <c r="V729" i="132" s="1"/>
  <c r="V728" i="132" s="1"/>
  <c r="U731" i="132"/>
  <c r="U730" i="132" s="1"/>
  <c r="U729" i="132" s="1"/>
  <c r="U728" i="132" s="1"/>
  <c r="H731" i="132"/>
  <c r="H730" i="132" s="1"/>
  <c r="H729" i="132" s="1"/>
  <c r="AD730" i="132"/>
  <c r="Q728" i="132"/>
  <c r="J728" i="132"/>
  <c r="I728" i="132"/>
  <c r="Q727" i="132"/>
  <c r="J727" i="132"/>
  <c r="I727" i="132"/>
  <c r="Q726" i="132"/>
  <c r="T725" i="132" s="1"/>
  <c r="J726" i="132"/>
  <c r="I726" i="132"/>
  <c r="AA725" i="132"/>
  <c r="Z725" i="132"/>
  <c r="Y725" i="132"/>
  <c r="W725" i="132"/>
  <c r="Q725" i="132"/>
  <c r="T724" i="132" s="1"/>
  <c r="J725" i="132"/>
  <c r="I725" i="132"/>
  <c r="Q724" i="132"/>
  <c r="T723" i="132" s="1"/>
  <c r="J724" i="132"/>
  <c r="I724" i="132"/>
  <c r="V723" i="132"/>
  <c r="W723" i="132" s="1"/>
  <c r="X723" i="132" s="1"/>
  <c r="Q723" i="132"/>
  <c r="J723" i="132"/>
  <c r="I723" i="132"/>
  <c r="Q722" i="132"/>
  <c r="T721" i="132" s="1"/>
  <c r="J722" i="132"/>
  <c r="I722" i="132"/>
  <c r="AA721" i="132"/>
  <c r="Z721" i="132"/>
  <c r="Y721" i="132"/>
  <c r="V721" i="132"/>
  <c r="W721" i="132" s="1"/>
  <c r="Q721" i="132"/>
  <c r="T720" i="132" s="1"/>
  <c r="J721" i="132"/>
  <c r="I721" i="132"/>
  <c r="V720" i="132"/>
  <c r="S720" i="132"/>
  <c r="R720" i="132"/>
  <c r="P720" i="132"/>
  <c r="Q720" i="132" s="1"/>
  <c r="O720" i="132"/>
  <c r="H720" i="132"/>
  <c r="G720" i="132"/>
  <c r="F720" i="132"/>
  <c r="E720" i="132"/>
  <c r="D720" i="132"/>
  <c r="AF719" i="132"/>
  <c r="AE719" i="132"/>
  <c r="AD719" i="132"/>
  <c r="AC719" i="132"/>
  <c r="AB719" i="132"/>
  <c r="U719" i="132"/>
  <c r="Q719" i="132"/>
  <c r="J719" i="132"/>
  <c r="I719" i="132"/>
  <c r="R718" i="132"/>
  <c r="R717" i="132" s="1"/>
  <c r="Q718" i="132"/>
  <c r="J718" i="132"/>
  <c r="I718" i="132"/>
  <c r="AA717" i="132"/>
  <c r="AA665" i="132" s="1"/>
  <c r="Z717" i="132"/>
  <c r="Z665" i="132" s="1"/>
  <c r="Y717" i="132"/>
  <c r="Y665" i="132" s="1"/>
  <c r="S717" i="132"/>
  <c r="P717" i="132"/>
  <c r="O717" i="132"/>
  <c r="H717" i="132"/>
  <c r="G717" i="132"/>
  <c r="F717" i="132"/>
  <c r="E717" i="132"/>
  <c r="D717" i="132"/>
  <c r="G715" i="132"/>
  <c r="G714" i="132" s="1"/>
  <c r="J714" i="132" s="1"/>
  <c r="F715" i="132"/>
  <c r="F714" i="132" s="1"/>
  <c r="Q714" i="132"/>
  <c r="G712" i="132"/>
  <c r="G711" i="132" s="1"/>
  <c r="F712" i="132"/>
  <c r="F711" i="132" s="1"/>
  <c r="Q711" i="132"/>
  <c r="G704" i="132"/>
  <c r="G703" i="132" s="1"/>
  <c r="F704" i="132"/>
  <c r="F703" i="132" s="1"/>
  <c r="Q703" i="132"/>
  <c r="G701" i="132"/>
  <c r="G700" i="132" s="1"/>
  <c r="F701" i="132"/>
  <c r="F700" i="132" s="1"/>
  <c r="Q700" i="132"/>
  <c r="G689" i="132"/>
  <c r="G688" i="132" s="1"/>
  <c r="I688" i="132" s="1"/>
  <c r="F689" i="132"/>
  <c r="F688" i="132" s="1"/>
  <c r="Q688" i="132"/>
  <c r="G685" i="132"/>
  <c r="F685" i="132"/>
  <c r="G674" i="132"/>
  <c r="F674" i="132"/>
  <c r="Q673" i="132"/>
  <c r="G670" i="132"/>
  <c r="G667" i="132" s="1"/>
  <c r="G666" i="132" s="1"/>
  <c r="F667" i="132"/>
  <c r="F666" i="132" s="1"/>
  <c r="Q666" i="132"/>
  <c r="AF665" i="132"/>
  <c r="AE665" i="132"/>
  <c r="AD665" i="132"/>
  <c r="AC665" i="132"/>
  <c r="AB665" i="132"/>
  <c r="X665" i="132"/>
  <c r="W665" i="132"/>
  <c r="V665" i="132"/>
  <c r="U665" i="132"/>
  <c r="Q665" i="132"/>
  <c r="T487" i="132" s="1"/>
  <c r="G652" i="132"/>
  <c r="G651" i="132" s="1"/>
  <c r="F652" i="132"/>
  <c r="F651" i="132" s="1"/>
  <c r="AF651" i="132"/>
  <c r="AE651" i="132"/>
  <c r="AD651" i="132"/>
  <c r="AC651" i="132"/>
  <c r="AB651" i="132"/>
  <c r="AA651" i="132"/>
  <c r="Z651" i="132"/>
  <c r="Y651" i="132"/>
  <c r="X651" i="132"/>
  <c r="W651" i="132"/>
  <c r="V651" i="132"/>
  <c r="U651" i="132"/>
  <c r="T651" i="132"/>
  <c r="Q651" i="132"/>
  <c r="N651" i="132"/>
  <c r="M651" i="132"/>
  <c r="L651" i="132"/>
  <c r="K651" i="132"/>
  <c r="G646" i="132"/>
  <c r="G645" i="132" s="1"/>
  <c r="F646" i="132"/>
  <c r="F645" i="132" s="1"/>
  <c r="AF645" i="132"/>
  <c r="AE645" i="132"/>
  <c r="AD645" i="132"/>
  <c r="AC645" i="132"/>
  <c r="AB645" i="132"/>
  <c r="AA645" i="132"/>
  <c r="Z645" i="132"/>
  <c r="Y645" i="132"/>
  <c r="X645" i="132"/>
  <c r="W645" i="132"/>
  <c r="V645" i="132"/>
  <c r="U645" i="132"/>
  <c r="T645" i="132"/>
  <c r="Q645" i="132"/>
  <c r="N645" i="132"/>
  <c r="M645" i="132"/>
  <c r="L645" i="132"/>
  <c r="K645" i="132"/>
  <c r="G636" i="132"/>
  <c r="G635" i="132" s="1"/>
  <c r="J635" i="132" s="1"/>
  <c r="F636" i="132"/>
  <c r="F635" i="132" s="1"/>
  <c r="AF635" i="132"/>
  <c r="AE635" i="132"/>
  <c r="AD635" i="132"/>
  <c r="AC635" i="132"/>
  <c r="AB635" i="132"/>
  <c r="AA635" i="132"/>
  <c r="Z635" i="132"/>
  <c r="Y635" i="132"/>
  <c r="X635" i="132"/>
  <c r="W635" i="132"/>
  <c r="V635" i="132"/>
  <c r="U635" i="132"/>
  <c r="T635" i="132"/>
  <c r="Q635" i="132"/>
  <c r="N635" i="132"/>
  <c r="M635" i="132"/>
  <c r="L635" i="132"/>
  <c r="K635" i="132"/>
  <c r="G594" i="132"/>
  <c r="G593" i="132" s="1"/>
  <c r="J593" i="132" s="1"/>
  <c r="F594" i="132"/>
  <c r="F593" i="132" s="1"/>
  <c r="AF593" i="132"/>
  <c r="AE593" i="132"/>
  <c r="AD593" i="132"/>
  <c r="AC593" i="132"/>
  <c r="AB593" i="132"/>
  <c r="AA593" i="132"/>
  <c r="Z593" i="132"/>
  <c r="Y593" i="132"/>
  <c r="X593" i="132"/>
  <c r="W593" i="132"/>
  <c r="V593" i="132"/>
  <c r="U593" i="132"/>
  <c r="T593" i="132"/>
  <c r="Q593" i="132"/>
  <c r="N593" i="132"/>
  <c r="M593" i="132"/>
  <c r="K593" i="132"/>
  <c r="G591" i="132"/>
  <c r="F591" i="132"/>
  <c r="G587" i="132"/>
  <c r="F587" i="132"/>
  <c r="AF586" i="132"/>
  <c r="AE586" i="132"/>
  <c r="AD586" i="132"/>
  <c r="AC586" i="132"/>
  <c r="AB586" i="132"/>
  <c r="Z586" i="132"/>
  <c r="Y586" i="132"/>
  <c r="X586" i="132"/>
  <c r="W586" i="132"/>
  <c r="V586" i="132"/>
  <c r="U586" i="132"/>
  <c r="Q586" i="132"/>
  <c r="N586" i="132"/>
  <c r="M586" i="132"/>
  <c r="L586" i="132"/>
  <c r="K586" i="132"/>
  <c r="G489" i="132"/>
  <c r="G488" i="132" s="1"/>
  <c r="F489" i="132"/>
  <c r="F488" i="132" s="1"/>
  <c r="AF488" i="132"/>
  <c r="AE488" i="132"/>
  <c r="AD488" i="132"/>
  <c r="AC488" i="132"/>
  <c r="AB488" i="132"/>
  <c r="AA488" i="132"/>
  <c r="Z488" i="132"/>
  <c r="Y488" i="132"/>
  <c r="X488" i="132"/>
  <c r="W488" i="132"/>
  <c r="V488" i="132"/>
  <c r="U488" i="132"/>
  <c r="T488" i="132"/>
  <c r="Q488" i="132"/>
  <c r="N488" i="132"/>
  <c r="M488" i="132"/>
  <c r="L488" i="132"/>
  <c r="K488" i="132"/>
  <c r="Q487" i="132"/>
  <c r="T486" i="132" s="1"/>
  <c r="Q486" i="132"/>
  <c r="T485" i="132" s="1"/>
  <c r="H486" i="132"/>
  <c r="H485" i="132" s="1"/>
  <c r="E486" i="132"/>
  <c r="E485" i="132" s="1"/>
  <c r="AF485" i="132"/>
  <c r="AF484" i="132" s="1"/>
  <c r="AE485" i="132"/>
  <c r="AE484" i="132" s="1"/>
  <c r="AD485" i="132"/>
  <c r="AD484" i="132" s="1"/>
  <c r="AC485" i="132"/>
  <c r="AC484" i="132" s="1"/>
  <c r="AB485" i="132"/>
  <c r="AB484" i="132" s="1"/>
  <c r="AA485" i="132"/>
  <c r="AA484" i="132" s="1"/>
  <c r="Z485" i="132"/>
  <c r="Z484" i="132" s="1"/>
  <c r="Y485" i="132"/>
  <c r="Y484" i="132" s="1"/>
  <c r="X485" i="132"/>
  <c r="X484" i="132" s="1"/>
  <c r="W485" i="132"/>
  <c r="W484" i="132" s="1"/>
  <c r="V485" i="132"/>
  <c r="V484" i="132" s="1"/>
  <c r="U485" i="132"/>
  <c r="U484" i="132" s="1"/>
  <c r="S485" i="132"/>
  <c r="R485" i="132"/>
  <c r="P485" i="132"/>
  <c r="O485" i="132"/>
  <c r="N485" i="132"/>
  <c r="N484" i="132" s="1"/>
  <c r="M485" i="132"/>
  <c r="M484" i="132" s="1"/>
  <c r="L485" i="132"/>
  <c r="L484" i="132" s="1"/>
  <c r="K485" i="132"/>
  <c r="K484" i="132" s="1"/>
  <c r="R484" i="132"/>
  <c r="Q484" i="132"/>
  <c r="J484" i="132"/>
  <c r="I484" i="132"/>
  <c r="R483" i="132"/>
  <c r="Q483" i="132"/>
  <c r="J483" i="132"/>
  <c r="I483" i="132"/>
  <c r="R482" i="132"/>
  <c r="Q482" i="132"/>
  <c r="J482" i="132"/>
  <c r="I482" i="132"/>
  <c r="R481" i="132"/>
  <c r="Q481" i="132"/>
  <c r="J481" i="132"/>
  <c r="I481" i="132"/>
  <c r="S480" i="132"/>
  <c r="P480" i="132"/>
  <c r="O480" i="132"/>
  <c r="H480" i="132"/>
  <c r="G480" i="132"/>
  <c r="F480" i="132"/>
  <c r="E480" i="132"/>
  <c r="D480" i="132"/>
  <c r="AF479" i="132"/>
  <c r="AE479" i="132"/>
  <c r="AD479" i="132"/>
  <c r="AC479" i="132"/>
  <c r="AB479" i="132"/>
  <c r="AA479" i="132"/>
  <c r="Z479" i="132"/>
  <c r="Y479" i="132"/>
  <c r="X479" i="132"/>
  <c r="W479" i="132"/>
  <c r="V479" i="132"/>
  <c r="U479" i="132"/>
  <c r="R479" i="132"/>
  <c r="Q479" i="132"/>
  <c r="N479" i="132"/>
  <c r="M479" i="132"/>
  <c r="L479" i="132"/>
  <c r="J479" i="132"/>
  <c r="I479" i="132"/>
  <c r="D479" i="132"/>
  <c r="D476" i="132" s="1"/>
  <c r="R478" i="132"/>
  <c r="Q478" i="132"/>
  <c r="J478" i="132"/>
  <c r="I478" i="132"/>
  <c r="R477" i="132"/>
  <c r="Q477" i="132"/>
  <c r="J477" i="132"/>
  <c r="I477" i="132"/>
  <c r="S476" i="132"/>
  <c r="P476" i="132"/>
  <c r="O476" i="132"/>
  <c r="H476" i="132"/>
  <c r="G476" i="132"/>
  <c r="F476" i="132"/>
  <c r="E476" i="132"/>
  <c r="AF475" i="132"/>
  <c r="AE475" i="132"/>
  <c r="AD475" i="132"/>
  <c r="AC475" i="132"/>
  <c r="AB475" i="132"/>
  <c r="AA475" i="132"/>
  <c r="Z475" i="132"/>
  <c r="Y475" i="132"/>
  <c r="X475" i="132"/>
  <c r="W475" i="132"/>
  <c r="V475" i="132"/>
  <c r="U475" i="132"/>
  <c r="Q475" i="132"/>
  <c r="T474" i="132" s="1"/>
  <c r="N475" i="132"/>
  <c r="M475" i="132"/>
  <c r="L475" i="132"/>
  <c r="J475" i="132"/>
  <c r="I475" i="132"/>
  <c r="V474" i="132"/>
  <c r="W474" i="132" s="1"/>
  <c r="Q474" i="132"/>
  <c r="T473" i="132" s="1"/>
  <c r="J474" i="132"/>
  <c r="I474" i="132"/>
  <c r="Q473" i="132"/>
  <c r="T472" i="132" s="1"/>
  <c r="J473" i="132"/>
  <c r="I473" i="132"/>
  <c r="Q472" i="132"/>
  <c r="T471" i="132" s="1"/>
  <c r="J472" i="132"/>
  <c r="I472" i="132"/>
  <c r="Q471" i="132"/>
  <c r="T470" i="132" s="1"/>
  <c r="H471" i="132"/>
  <c r="H466" i="132" s="1"/>
  <c r="G471" i="132"/>
  <c r="F471" i="132"/>
  <c r="F466" i="132" s="1"/>
  <c r="E471" i="132"/>
  <c r="E466" i="132" s="1"/>
  <c r="D471" i="132"/>
  <c r="AE470" i="132"/>
  <c r="AE465" i="132" s="1"/>
  <c r="AB470" i="132"/>
  <c r="AB465" i="132" s="1"/>
  <c r="AA470" i="132"/>
  <c r="Z470" i="132"/>
  <c r="Y470" i="132"/>
  <c r="X470" i="132"/>
  <c r="W470" i="132"/>
  <c r="V470" i="132"/>
  <c r="U470" i="132"/>
  <c r="U465" i="132" s="1"/>
  <c r="R470" i="132"/>
  <c r="Q470" i="132"/>
  <c r="J470" i="132"/>
  <c r="I470" i="132"/>
  <c r="D470" i="132"/>
  <c r="R469" i="132"/>
  <c r="Q469" i="132"/>
  <c r="J469" i="132"/>
  <c r="I469" i="132"/>
  <c r="Q468" i="132"/>
  <c r="T467" i="132" s="1"/>
  <c r="J468" i="132"/>
  <c r="I468" i="132"/>
  <c r="R467" i="132"/>
  <c r="Q467" i="132"/>
  <c r="J467" i="132"/>
  <c r="I467" i="132"/>
  <c r="S466" i="132"/>
  <c r="P466" i="132"/>
  <c r="O466" i="132"/>
  <c r="AF465" i="132"/>
  <c r="AD465" i="132"/>
  <c r="AC465" i="132"/>
  <c r="N465" i="132"/>
  <c r="N464" i="132" s="1"/>
  <c r="M465" i="132"/>
  <c r="M464" i="132" s="1"/>
  <c r="L465" i="132"/>
  <c r="L464" i="132" s="1"/>
  <c r="K465" i="132"/>
  <c r="K464" i="132" s="1"/>
  <c r="Q462" i="132"/>
  <c r="T461" i="132" s="1"/>
  <c r="J462" i="132"/>
  <c r="I462" i="132"/>
  <c r="Q461" i="132"/>
  <c r="J461" i="132"/>
  <c r="I461" i="132"/>
  <c r="Q460" i="132"/>
  <c r="T459" i="132" s="1"/>
  <c r="J460" i="132"/>
  <c r="I460" i="132"/>
  <c r="AA459" i="132"/>
  <c r="Z459" i="132"/>
  <c r="Y459" i="132"/>
  <c r="V459" i="132"/>
  <c r="W459" i="132" s="1"/>
  <c r="Q459" i="132"/>
  <c r="T458" i="132" s="1"/>
  <c r="J459" i="132"/>
  <c r="I459" i="132"/>
  <c r="Q458" i="132"/>
  <c r="T457" i="132" s="1"/>
  <c r="J458" i="132"/>
  <c r="I458" i="132"/>
  <c r="AA457" i="132"/>
  <c r="Z457" i="132"/>
  <c r="Y457" i="132"/>
  <c r="V457" i="132"/>
  <c r="Q457" i="132"/>
  <c r="T456" i="132" s="1"/>
  <c r="J457" i="132"/>
  <c r="I457" i="132"/>
  <c r="AA456" i="132"/>
  <c r="Z456" i="132"/>
  <c r="Y456" i="132"/>
  <c r="V456" i="132"/>
  <c r="W456" i="132" s="1"/>
  <c r="Q456" i="132"/>
  <c r="T455" i="132" s="1"/>
  <c r="J456" i="132"/>
  <c r="I456" i="132"/>
  <c r="AA455" i="132"/>
  <c r="Z455" i="132"/>
  <c r="Y455" i="132"/>
  <c r="V455" i="132"/>
  <c r="W455" i="132" s="1"/>
  <c r="Q455" i="132"/>
  <c r="T454" i="132" s="1"/>
  <c r="J455" i="132"/>
  <c r="I455" i="132"/>
  <c r="Q454" i="132"/>
  <c r="T453" i="132" s="1"/>
  <c r="J454" i="132"/>
  <c r="I454" i="132"/>
  <c r="AA453" i="132"/>
  <c r="Z453" i="132"/>
  <c r="Y453" i="132"/>
  <c r="V453" i="132"/>
  <c r="W453" i="132" s="1"/>
  <c r="Q453" i="132"/>
  <c r="J453" i="132"/>
  <c r="I453" i="132"/>
  <c r="Q452" i="132"/>
  <c r="J452" i="132"/>
  <c r="I452" i="132"/>
  <c r="Q451" i="132"/>
  <c r="T450" i="132" s="1"/>
  <c r="J451" i="132"/>
  <c r="I451" i="132"/>
  <c r="Q450" i="132"/>
  <c r="T449" i="132" s="1"/>
  <c r="J450" i="132"/>
  <c r="I450" i="132"/>
  <c r="D450" i="132"/>
  <c r="D448" i="132" s="1"/>
  <c r="Q449" i="132"/>
  <c r="T448" i="132" s="1"/>
  <c r="J449" i="132"/>
  <c r="I449" i="132"/>
  <c r="Q448" i="132"/>
  <c r="T447" i="132" s="1"/>
  <c r="H448" i="132"/>
  <c r="G448" i="132"/>
  <c r="F448" i="132"/>
  <c r="E448" i="132"/>
  <c r="AA447" i="132"/>
  <c r="Z447" i="132"/>
  <c r="Y447" i="132"/>
  <c r="U447" i="132"/>
  <c r="Q447" i="132"/>
  <c r="M447" i="132"/>
  <c r="K447" i="132"/>
  <c r="J447" i="132"/>
  <c r="I447" i="132"/>
  <c r="Q446" i="132"/>
  <c r="T445" i="132" s="1"/>
  <c r="J446" i="132"/>
  <c r="I446" i="132"/>
  <c r="Q445" i="132"/>
  <c r="J445" i="132"/>
  <c r="I445" i="132"/>
  <c r="Q444" i="132"/>
  <c r="J444" i="132"/>
  <c r="I444" i="132"/>
  <c r="Q443" i="132"/>
  <c r="J443" i="132"/>
  <c r="I443" i="132"/>
  <c r="Q442" i="132"/>
  <c r="J442" i="132"/>
  <c r="I442" i="132"/>
  <c r="Q441" i="132"/>
  <c r="J441" i="132"/>
  <c r="I441" i="132"/>
  <c r="Q440" i="132"/>
  <c r="J440" i="132"/>
  <c r="I440" i="132"/>
  <c r="Q439" i="132"/>
  <c r="J439" i="132"/>
  <c r="I439" i="132"/>
  <c r="Q438" i="132"/>
  <c r="J438" i="132"/>
  <c r="I438" i="132"/>
  <c r="R437" i="132"/>
  <c r="R436" i="132" s="1"/>
  <c r="Q437" i="132"/>
  <c r="H437" i="132"/>
  <c r="G437" i="132"/>
  <c r="F437" i="132"/>
  <c r="E437" i="132"/>
  <c r="D437" i="132"/>
  <c r="AF436" i="132"/>
  <c r="AF435" i="132" s="1"/>
  <c r="AE436" i="132"/>
  <c r="AE435" i="132" s="1"/>
  <c r="AA436" i="132"/>
  <c r="Z436" i="132"/>
  <c r="Y436" i="132"/>
  <c r="U436" i="132"/>
  <c r="S436" i="132"/>
  <c r="P436" i="132"/>
  <c r="O436" i="132"/>
  <c r="N436" i="132"/>
  <c r="M436" i="132"/>
  <c r="L436" i="132"/>
  <c r="K436" i="132"/>
  <c r="AD435" i="132"/>
  <c r="AC435" i="132"/>
  <c r="AB435" i="132"/>
  <c r="X435" i="132"/>
  <c r="Q435" i="132"/>
  <c r="T434" i="132" s="1"/>
  <c r="J435" i="132"/>
  <c r="I435" i="132"/>
  <c r="AA434" i="132"/>
  <c r="AA433" i="132" s="1"/>
  <c r="Z434" i="132"/>
  <c r="Z433" i="132" s="1"/>
  <c r="Y434" i="132"/>
  <c r="Y433" i="132" s="1"/>
  <c r="S434" i="132"/>
  <c r="R434" i="132"/>
  <c r="P434" i="132"/>
  <c r="O434" i="132"/>
  <c r="N434" i="132"/>
  <c r="N433" i="132" s="1"/>
  <c r="M434" i="132"/>
  <c r="M433" i="132" s="1"/>
  <c r="L434" i="132"/>
  <c r="L433" i="132" s="1"/>
  <c r="K434" i="132"/>
  <c r="K433" i="132" s="1"/>
  <c r="H434" i="132"/>
  <c r="I434" i="132" s="1"/>
  <c r="E434" i="132"/>
  <c r="J434" i="132" s="1"/>
  <c r="D434" i="132"/>
  <c r="AF433" i="132"/>
  <c r="AE433" i="132"/>
  <c r="AD433" i="132"/>
  <c r="AC433" i="132"/>
  <c r="AB433" i="132"/>
  <c r="X433" i="132"/>
  <c r="W433" i="132"/>
  <c r="V433" i="132"/>
  <c r="U433" i="132"/>
  <c r="Q433" i="132"/>
  <c r="T432" i="132" s="1"/>
  <c r="J433" i="132"/>
  <c r="I433" i="132"/>
  <c r="Q432" i="132"/>
  <c r="T431" i="132" s="1"/>
  <c r="J432" i="132"/>
  <c r="I432" i="132"/>
  <c r="Q431" i="132"/>
  <c r="T430" i="132" s="1"/>
  <c r="H431" i="132"/>
  <c r="I431" i="132" s="1"/>
  <c r="G431" i="132"/>
  <c r="E431" i="132"/>
  <c r="D431" i="132"/>
  <c r="AA430" i="132"/>
  <c r="Z430" i="132"/>
  <c r="Y430" i="132"/>
  <c r="U430" i="132"/>
  <c r="Q430" i="132"/>
  <c r="T429" i="132" s="1"/>
  <c r="M430" i="132"/>
  <c r="L430" i="132"/>
  <c r="K430" i="132"/>
  <c r="J430" i="132"/>
  <c r="I430" i="132"/>
  <c r="Q429" i="132"/>
  <c r="T428" i="132" s="1"/>
  <c r="J429" i="132"/>
  <c r="I429" i="132"/>
  <c r="Q428" i="132"/>
  <c r="T427" i="132" s="1"/>
  <c r="J428" i="132"/>
  <c r="I428" i="132"/>
  <c r="O427" i="132"/>
  <c r="Q427" i="132" s="1"/>
  <c r="T426" i="132" s="1"/>
  <c r="H427" i="132"/>
  <c r="G427" i="132"/>
  <c r="E427" i="132"/>
  <c r="D427" i="132"/>
  <c r="AA426" i="132"/>
  <c r="Z426" i="132"/>
  <c r="Y426" i="132"/>
  <c r="Q426" i="132"/>
  <c r="T425" i="132" s="1"/>
  <c r="L426" i="132"/>
  <c r="J426" i="132"/>
  <c r="I426" i="132"/>
  <c r="Q425" i="132"/>
  <c r="T424" i="132" s="1"/>
  <c r="J425" i="132"/>
  <c r="I425" i="132"/>
  <c r="Q424" i="132"/>
  <c r="T423" i="132" s="1"/>
  <c r="J424" i="132"/>
  <c r="I424" i="132"/>
  <c r="O423" i="132"/>
  <c r="H423" i="132"/>
  <c r="G423" i="132"/>
  <c r="AG424" i="132" s="1"/>
  <c r="E423" i="132"/>
  <c r="D423" i="132"/>
  <c r="AA422" i="132"/>
  <c r="Z422" i="132"/>
  <c r="Y422" i="132"/>
  <c r="Q422" i="132"/>
  <c r="T421" i="132" s="1"/>
  <c r="L422" i="132"/>
  <c r="J422" i="132"/>
  <c r="I422" i="132"/>
  <c r="Q421" i="132"/>
  <c r="T420" i="132" s="1"/>
  <c r="J421" i="132"/>
  <c r="I421" i="132"/>
  <c r="Q420" i="132"/>
  <c r="T419" i="132" s="1"/>
  <c r="J420" i="132"/>
  <c r="I420" i="132"/>
  <c r="O419" i="132"/>
  <c r="Q419" i="132" s="1"/>
  <c r="T418" i="132" s="1"/>
  <c r="H419" i="132"/>
  <c r="G419" i="132"/>
  <c r="AG420" i="132" s="1"/>
  <c r="E419" i="132"/>
  <c r="D419" i="132"/>
  <c r="AA418" i="132"/>
  <c r="Z418" i="132"/>
  <c r="Y418" i="132"/>
  <c r="Q418" i="132"/>
  <c r="T417" i="132" s="1"/>
  <c r="L418" i="132"/>
  <c r="J418" i="132"/>
  <c r="I418" i="132"/>
  <c r="D418" i="132"/>
  <c r="D415" i="132" s="1"/>
  <c r="Q417" i="132"/>
  <c r="T416" i="132" s="1"/>
  <c r="J417" i="132"/>
  <c r="I417" i="132"/>
  <c r="Q416" i="132"/>
  <c r="T415" i="132" s="1"/>
  <c r="J416" i="132"/>
  <c r="I416" i="132"/>
  <c r="R415" i="132"/>
  <c r="R414" i="132" s="1"/>
  <c r="O415" i="132"/>
  <c r="Q415" i="132" s="1"/>
  <c r="T414" i="132" s="1"/>
  <c r="H415" i="132"/>
  <c r="G415" i="132"/>
  <c r="AG416" i="132" s="1"/>
  <c r="E415" i="132"/>
  <c r="AA414" i="132"/>
  <c r="Z414" i="132"/>
  <c r="Y414" i="132"/>
  <c r="V414" i="132"/>
  <c r="S414" i="132"/>
  <c r="P414" i="132"/>
  <c r="N414" i="132"/>
  <c r="N411" i="132" s="1"/>
  <c r="M414" i="132"/>
  <c r="L414" i="132"/>
  <c r="K414" i="132"/>
  <c r="F414" i="132"/>
  <c r="Q413" i="132"/>
  <c r="J413" i="132"/>
  <c r="I413" i="132"/>
  <c r="S412" i="132"/>
  <c r="H412" i="132"/>
  <c r="I412" i="132" s="1"/>
  <c r="E412" i="132"/>
  <c r="J412" i="132" s="1"/>
  <c r="AF411" i="132"/>
  <c r="AE411" i="132"/>
  <c r="AD411" i="132"/>
  <c r="AC411" i="132"/>
  <c r="AB411" i="132"/>
  <c r="X411" i="132"/>
  <c r="Q411" i="132"/>
  <c r="T410" i="132" s="1"/>
  <c r="J411" i="132"/>
  <c r="I411" i="132"/>
  <c r="Q410" i="132"/>
  <c r="T409" i="132" s="1"/>
  <c r="J410" i="132"/>
  <c r="I410" i="132"/>
  <c r="Q409" i="132"/>
  <c r="T408" i="132" s="1"/>
  <c r="J409" i="132"/>
  <c r="I409" i="132"/>
  <c r="Q408" i="132"/>
  <c r="T407" i="132" s="1"/>
  <c r="H408" i="132"/>
  <c r="G408" i="132"/>
  <c r="AG409" i="132" s="1"/>
  <c r="E408" i="132"/>
  <c r="D408" i="132"/>
  <c r="AA407" i="132"/>
  <c r="Z407" i="132"/>
  <c r="Y407" i="132"/>
  <c r="U407" i="132"/>
  <c r="V407" i="132" s="1"/>
  <c r="Q407" i="132"/>
  <c r="T406" i="132" s="1"/>
  <c r="M407" i="132"/>
  <c r="K407" i="132"/>
  <c r="G407" i="132"/>
  <c r="J407" i="132" s="1"/>
  <c r="Q406" i="132"/>
  <c r="T405" i="132" s="1"/>
  <c r="J406" i="132"/>
  <c r="I406" i="132"/>
  <c r="Q405" i="132"/>
  <c r="T404" i="132" s="1"/>
  <c r="J405" i="132"/>
  <c r="I405" i="132"/>
  <c r="Q404" i="132"/>
  <c r="T403" i="132" s="1"/>
  <c r="J404" i="132"/>
  <c r="I404" i="132"/>
  <c r="Q403" i="132"/>
  <c r="T402" i="132" s="1"/>
  <c r="J403" i="132"/>
  <c r="I403" i="132"/>
  <c r="Q402" i="132"/>
  <c r="T401" i="132" s="1"/>
  <c r="J402" i="132"/>
  <c r="I402" i="132"/>
  <c r="Q401" i="132"/>
  <c r="T400" i="132" s="1"/>
  <c r="J401" i="132"/>
  <c r="I401" i="132"/>
  <c r="Q400" i="132"/>
  <c r="T399" i="132" s="1"/>
  <c r="J400" i="132"/>
  <c r="I400" i="132"/>
  <c r="Q399" i="132"/>
  <c r="T398" i="132" s="1"/>
  <c r="J399" i="132"/>
  <c r="I399" i="132"/>
  <c r="Q398" i="132"/>
  <c r="T397" i="132" s="1"/>
  <c r="J398" i="132"/>
  <c r="I398" i="132"/>
  <c r="Q397" i="132"/>
  <c r="T396" i="132" s="1"/>
  <c r="J397" i="132"/>
  <c r="I397" i="132"/>
  <c r="Q396" i="132"/>
  <c r="T395" i="132" s="1"/>
  <c r="J396" i="132"/>
  <c r="I396" i="132"/>
  <c r="R395" i="132"/>
  <c r="Q395" i="132"/>
  <c r="H395" i="132"/>
  <c r="E395" i="132"/>
  <c r="D395" i="132"/>
  <c r="AA394" i="132"/>
  <c r="Z394" i="132"/>
  <c r="Y394" i="132"/>
  <c r="U394" i="132"/>
  <c r="V394" i="132" s="1"/>
  <c r="Q394" i="132"/>
  <c r="T393" i="132" s="1"/>
  <c r="M394" i="132"/>
  <c r="K394" i="132"/>
  <c r="J394" i="132"/>
  <c r="I394" i="132"/>
  <c r="Q393" i="132"/>
  <c r="J393" i="132"/>
  <c r="I393" i="132"/>
  <c r="Q392" i="132"/>
  <c r="J392" i="132"/>
  <c r="I392" i="132"/>
  <c r="Q391" i="132"/>
  <c r="J391" i="132"/>
  <c r="I391" i="132"/>
  <c r="Q390" i="132"/>
  <c r="T389" i="132" s="1"/>
  <c r="H390" i="132"/>
  <c r="G390" i="132"/>
  <c r="E390" i="132"/>
  <c r="D390" i="132"/>
  <c r="AA389" i="132"/>
  <c r="Z389" i="132"/>
  <c r="Y389" i="132"/>
  <c r="U389" i="132"/>
  <c r="Q389" i="132"/>
  <c r="T388" i="132" s="1"/>
  <c r="M389" i="132"/>
  <c r="K389" i="132"/>
  <c r="J389" i="132"/>
  <c r="I389" i="132"/>
  <c r="Q388" i="132"/>
  <c r="T387" i="132" s="1"/>
  <c r="J388" i="132"/>
  <c r="I388" i="132"/>
  <c r="Q387" i="132"/>
  <c r="T386" i="132" s="1"/>
  <c r="J387" i="132"/>
  <c r="I387" i="132"/>
  <c r="Q386" i="132"/>
  <c r="T385" i="132" s="1"/>
  <c r="J386" i="132"/>
  <c r="I386" i="132"/>
  <c r="Q385" i="132"/>
  <c r="J385" i="132"/>
  <c r="I385" i="132"/>
  <c r="Q384" i="132"/>
  <c r="J384" i="132"/>
  <c r="I384" i="132"/>
  <c r="Q383" i="132"/>
  <c r="J383" i="132"/>
  <c r="I383" i="132"/>
  <c r="Q382" i="132"/>
  <c r="T381" i="132" s="1"/>
  <c r="J382" i="132"/>
  <c r="I382" i="132"/>
  <c r="Q381" i="132"/>
  <c r="J381" i="132"/>
  <c r="I381" i="132"/>
  <c r="Q380" i="132"/>
  <c r="J380" i="132"/>
  <c r="I380" i="132"/>
  <c r="Q379" i="132"/>
  <c r="T378" i="132" s="1"/>
  <c r="H379" i="132"/>
  <c r="G379" i="132"/>
  <c r="E379" i="132"/>
  <c r="D379" i="132"/>
  <c r="AA378" i="132"/>
  <c r="Z378" i="132"/>
  <c r="Y378" i="132"/>
  <c r="U378" i="132"/>
  <c r="Q378" i="132"/>
  <c r="T377" i="132" s="1"/>
  <c r="M378" i="132"/>
  <c r="K378" i="132"/>
  <c r="J378" i="132"/>
  <c r="I378" i="132"/>
  <c r="Q377" i="132"/>
  <c r="T376" i="132" s="1"/>
  <c r="J377" i="132"/>
  <c r="I377" i="132"/>
  <c r="Q376" i="132"/>
  <c r="T375" i="132" s="1"/>
  <c r="J376" i="132"/>
  <c r="I376" i="132"/>
  <c r="Q375" i="132"/>
  <c r="T374" i="132" s="1"/>
  <c r="J375" i="132"/>
  <c r="I375" i="132"/>
  <c r="Q374" i="132"/>
  <c r="T373" i="132" s="1"/>
  <c r="J374" i="132"/>
  <c r="I374" i="132"/>
  <c r="Q373" i="132"/>
  <c r="T372" i="132" s="1"/>
  <c r="J373" i="132"/>
  <c r="I373" i="132"/>
  <c r="Q372" i="132"/>
  <c r="T371" i="132" s="1"/>
  <c r="J372" i="132"/>
  <c r="I372" i="132"/>
  <c r="Q371" i="132"/>
  <c r="T370" i="132" s="1"/>
  <c r="J371" i="132"/>
  <c r="I371" i="132"/>
  <c r="Q370" i="132"/>
  <c r="T369" i="132" s="1"/>
  <c r="J370" i="132"/>
  <c r="I370" i="132"/>
  <c r="Q369" i="132"/>
  <c r="T368" i="132" s="1"/>
  <c r="J369" i="132"/>
  <c r="I369" i="132"/>
  <c r="Q368" i="132"/>
  <c r="T367" i="132" s="1"/>
  <c r="J368" i="132"/>
  <c r="I368" i="132"/>
  <c r="Q367" i="132"/>
  <c r="T366" i="132" s="1"/>
  <c r="J367" i="132"/>
  <c r="I367" i="132"/>
  <c r="Q366" i="132"/>
  <c r="T365" i="132" s="1"/>
  <c r="J366" i="132"/>
  <c r="I366" i="132"/>
  <c r="R365" i="132"/>
  <c r="O365" i="132"/>
  <c r="Q365" i="132" s="1"/>
  <c r="H365" i="132"/>
  <c r="G365" i="132"/>
  <c r="AG366" i="132" s="1"/>
  <c r="E365" i="132"/>
  <c r="D365" i="132"/>
  <c r="AA364" i="132"/>
  <c r="Z364" i="132"/>
  <c r="Y364" i="132"/>
  <c r="Q364" i="132"/>
  <c r="T363" i="132" s="1"/>
  <c r="J364" i="132"/>
  <c r="I364" i="132"/>
  <c r="Q363" i="132"/>
  <c r="T362" i="132" s="1"/>
  <c r="J363" i="132"/>
  <c r="I363" i="132"/>
  <c r="Q362" i="132"/>
  <c r="T361" i="132" s="1"/>
  <c r="J362" i="132"/>
  <c r="I362" i="132"/>
  <c r="Q361" i="132"/>
  <c r="T360" i="132" s="1"/>
  <c r="J361" i="132"/>
  <c r="I361" i="132"/>
  <c r="Q360" i="132"/>
  <c r="T359" i="132" s="1"/>
  <c r="J360" i="132"/>
  <c r="I360" i="132"/>
  <c r="Q359" i="132"/>
  <c r="T358" i="132" s="1"/>
  <c r="J359" i="132"/>
  <c r="I359" i="132"/>
  <c r="Q358" i="132"/>
  <c r="T357" i="132" s="1"/>
  <c r="J358" i="132"/>
  <c r="I358" i="132"/>
  <c r="Q357" i="132"/>
  <c r="T356" i="132" s="1"/>
  <c r="J357" i="132"/>
  <c r="I357" i="132"/>
  <c r="Q356" i="132"/>
  <c r="T355" i="132" s="1"/>
  <c r="J356" i="132"/>
  <c r="I356" i="132"/>
  <c r="Q355" i="132"/>
  <c r="T354" i="132" s="1"/>
  <c r="J355" i="132"/>
  <c r="I355" i="132"/>
  <c r="Q354" i="132"/>
  <c r="T353" i="132" s="1"/>
  <c r="J354" i="132"/>
  <c r="I354" i="132"/>
  <c r="Q353" i="132"/>
  <c r="T352" i="132" s="1"/>
  <c r="J353" i="132"/>
  <c r="I353" i="132"/>
  <c r="Q352" i="132"/>
  <c r="T351" i="132" s="1"/>
  <c r="J352" i="132"/>
  <c r="I352" i="132"/>
  <c r="R351" i="132"/>
  <c r="O351" i="132"/>
  <c r="Q351" i="132" s="1"/>
  <c r="H351" i="132"/>
  <c r="G351" i="132"/>
  <c r="AG352" i="132" s="1"/>
  <c r="E351" i="132"/>
  <c r="D351" i="132"/>
  <c r="AA350" i="132"/>
  <c r="Z350" i="132"/>
  <c r="Y350" i="132"/>
  <c r="Q350" i="132"/>
  <c r="T349" i="132" s="1"/>
  <c r="J350" i="132"/>
  <c r="I350" i="132"/>
  <c r="Q349" i="132"/>
  <c r="T348" i="132" s="1"/>
  <c r="J349" i="132"/>
  <c r="I349" i="132"/>
  <c r="Q348" i="132"/>
  <c r="T347" i="132" s="1"/>
  <c r="J348" i="132"/>
  <c r="I348" i="132"/>
  <c r="Q347" i="132"/>
  <c r="T346" i="132" s="1"/>
  <c r="J347" i="132"/>
  <c r="I347" i="132"/>
  <c r="Q346" i="132"/>
  <c r="T345" i="132" s="1"/>
  <c r="J346" i="132"/>
  <c r="I346" i="132"/>
  <c r="Q345" i="132"/>
  <c r="T344" i="132" s="1"/>
  <c r="J345" i="132"/>
  <c r="I345" i="132"/>
  <c r="Q344" i="132"/>
  <c r="T343" i="132" s="1"/>
  <c r="J344" i="132"/>
  <c r="I344" i="132"/>
  <c r="Q343" i="132"/>
  <c r="T342" i="132" s="1"/>
  <c r="J343" i="132"/>
  <c r="I343" i="132"/>
  <c r="Q342" i="132"/>
  <c r="T341" i="132" s="1"/>
  <c r="J342" i="132"/>
  <c r="I342" i="132"/>
  <c r="Q341" i="132"/>
  <c r="T340" i="132" s="1"/>
  <c r="J341" i="132"/>
  <c r="I341" i="132"/>
  <c r="Q340" i="132"/>
  <c r="T339" i="132" s="1"/>
  <c r="J340" i="132"/>
  <c r="I340" i="132"/>
  <c r="Q339" i="132"/>
  <c r="T338" i="132" s="1"/>
  <c r="J339" i="132"/>
  <c r="I339" i="132"/>
  <c r="Q338" i="132"/>
  <c r="T337" i="132" s="1"/>
  <c r="J338" i="132"/>
  <c r="I338" i="132"/>
  <c r="R337" i="132"/>
  <c r="O337" i="132"/>
  <c r="Q337" i="132" s="1"/>
  <c r="H337" i="132"/>
  <c r="G337" i="132"/>
  <c r="AG338" i="132" s="1"/>
  <c r="E337" i="132"/>
  <c r="D337" i="132"/>
  <c r="AA336" i="132"/>
  <c r="Z336" i="132"/>
  <c r="Y336" i="132"/>
  <c r="S336" i="132"/>
  <c r="F336" i="132"/>
  <c r="AF335" i="132"/>
  <c r="AE335" i="132"/>
  <c r="AD335" i="132"/>
  <c r="AC335" i="132"/>
  <c r="AB335" i="132"/>
  <c r="X335" i="132"/>
  <c r="W335" i="132"/>
  <c r="Q335" i="132"/>
  <c r="T334" i="132" s="1"/>
  <c r="N335" i="132"/>
  <c r="L335" i="132"/>
  <c r="J335" i="132"/>
  <c r="I335" i="132"/>
  <c r="Q334" i="132"/>
  <c r="T333" i="132" s="1"/>
  <c r="J334" i="132"/>
  <c r="I334" i="132"/>
  <c r="Q333" i="132"/>
  <c r="T332" i="132" s="1"/>
  <c r="H333" i="132"/>
  <c r="G333" i="132"/>
  <c r="F333" i="132"/>
  <c r="E333" i="132"/>
  <c r="AA332" i="132"/>
  <c r="Z332" i="132"/>
  <c r="Y332" i="132"/>
  <c r="U332" i="132"/>
  <c r="Q332" i="132"/>
  <c r="T331" i="132" s="1"/>
  <c r="G332" i="132"/>
  <c r="I332" i="132" s="1"/>
  <c r="D332" i="132"/>
  <c r="D320" i="132" s="1"/>
  <c r="Q331" i="132"/>
  <c r="T330" i="132" s="1"/>
  <c r="J331" i="132"/>
  <c r="I331" i="132"/>
  <c r="Q330" i="132"/>
  <c r="T329" i="132" s="1"/>
  <c r="J330" i="132"/>
  <c r="I330" i="132"/>
  <c r="Q329" i="132"/>
  <c r="T328" i="132" s="1"/>
  <c r="J329" i="132"/>
  <c r="I329" i="132"/>
  <c r="Q328" i="132"/>
  <c r="T327" i="132" s="1"/>
  <c r="J328" i="132"/>
  <c r="I328" i="132"/>
  <c r="Q327" i="132"/>
  <c r="T326" i="132" s="1"/>
  <c r="J327" i="132"/>
  <c r="I327" i="132"/>
  <c r="Q326" i="132"/>
  <c r="T325" i="132" s="1"/>
  <c r="J326" i="132"/>
  <c r="I326" i="132"/>
  <c r="Q325" i="132"/>
  <c r="T324" i="132" s="1"/>
  <c r="J325" i="132"/>
  <c r="I325" i="132"/>
  <c r="Q324" i="132"/>
  <c r="T323" i="132" s="1"/>
  <c r="J324" i="132"/>
  <c r="I324" i="132"/>
  <c r="Q323" i="132"/>
  <c r="T322" i="132" s="1"/>
  <c r="J323" i="132"/>
  <c r="I323" i="132"/>
  <c r="Q322" i="132"/>
  <c r="T321" i="132" s="1"/>
  <c r="J322" i="132"/>
  <c r="I322" i="132"/>
  <c r="Q321" i="132"/>
  <c r="T320" i="132" s="1"/>
  <c r="J321" i="132"/>
  <c r="I321" i="132"/>
  <c r="R320" i="132"/>
  <c r="Q320" i="132"/>
  <c r="H320" i="132"/>
  <c r="E320" i="132"/>
  <c r="AA319" i="132"/>
  <c r="Z319" i="132"/>
  <c r="Y319" i="132"/>
  <c r="U319" i="132"/>
  <c r="Q319" i="132"/>
  <c r="T318" i="132" s="1"/>
  <c r="M319" i="132"/>
  <c r="K319" i="132"/>
  <c r="J319" i="132"/>
  <c r="I319" i="132"/>
  <c r="V318" i="132"/>
  <c r="W318" i="132" s="1"/>
  <c r="Q318" i="132"/>
  <c r="T317" i="132" s="1"/>
  <c r="J318" i="132"/>
  <c r="I318" i="132"/>
  <c r="O317" i="132"/>
  <c r="Q317" i="132" s="1"/>
  <c r="T316" i="132" s="1"/>
  <c r="H317" i="132"/>
  <c r="G317" i="132"/>
  <c r="F317" i="132"/>
  <c r="E317" i="132"/>
  <c r="D317" i="132"/>
  <c r="AA316" i="132"/>
  <c r="Z316" i="132"/>
  <c r="Y316" i="132"/>
  <c r="U316" i="132"/>
  <c r="V316" i="132" s="1"/>
  <c r="Q316" i="132"/>
  <c r="T315" i="132" s="1"/>
  <c r="M316" i="132"/>
  <c r="J316" i="132"/>
  <c r="I316" i="132"/>
  <c r="AA315" i="132"/>
  <c r="Z315" i="132"/>
  <c r="Y315" i="132"/>
  <c r="Q315" i="132"/>
  <c r="T314" i="132" s="1"/>
  <c r="J315" i="132"/>
  <c r="I315" i="132"/>
  <c r="AA314" i="132"/>
  <c r="Z314" i="132"/>
  <c r="Y314" i="132"/>
  <c r="Q314" i="132"/>
  <c r="T313" i="132" s="1"/>
  <c r="J314" i="132"/>
  <c r="I314" i="132"/>
  <c r="AA313" i="132"/>
  <c r="Z313" i="132"/>
  <c r="Y313" i="132"/>
  <c r="Q313" i="132"/>
  <c r="T312" i="132" s="1"/>
  <c r="G313" i="132"/>
  <c r="Q312" i="132"/>
  <c r="T311" i="132" s="1"/>
  <c r="J312" i="132"/>
  <c r="I312" i="132"/>
  <c r="Q311" i="132"/>
  <c r="T310" i="132" s="1"/>
  <c r="J311" i="132"/>
  <c r="I311" i="132"/>
  <c r="Q310" i="132"/>
  <c r="T309" i="132" s="1"/>
  <c r="J310" i="132"/>
  <c r="I310" i="132"/>
  <c r="Q309" i="132"/>
  <c r="T308" i="132" s="1"/>
  <c r="J309" i="132"/>
  <c r="I309" i="132"/>
  <c r="Q308" i="132"/>
  <c r="T307" i="132" s="1"/>
  <c r="J308" i="132"/>
  <c r="I308" i="132"/>
  <c r="Q307" i="132"/>
  <c r="T306" i="132" s="1"/>
  <c r="J307" i="132"/>
  <c r="I307" i="132"/>
  <c r="Q306" i="132"/>
  <c r="T305" i="132" s="1"/>
  <c r="J306" i="132"/>
  <c r="I306" i="132"/>
  <c r="Q305" i="132"/>
  <c r="T304" i="132" s="1"/>
  <c r="J305" i="132"/>
  <c r="I305" i="132"/>
  <c r="Q304" i="132"/>
  <c r="T303" i="132" s="1"/>
  <c r="J304" i="132"/>
  <c r="I304" i="132"/>
  <c r="Q303" i="132"/>
  <c r="T302" i="132" s="1"/>
  <c r="J303" i="132"/>
  <c r="I303" i="132"/>
  <c r="Q302" i="132"/>
  <c r="T301" i="132" s="1"/>
  <c r="J302" i="132"/>
  <c r="I302" i="132"/>
  <c r="Q301" i="132"/>
  <c r="T300" i="132" s="1"/>
  <c r="J301" i="132"/>
  <c r="I301" i="132"/>
  <c r="R300" i="132"/>
  <c r="O300" i="132"/>
  <c r="Q300" i="132" s="1"/>
  <c r="H300" i="132"/>
  <c r="E300" i="132"/>
  <c r="D300" i="132"/>
  <c r="X299" i="132"/>
  <c r="Y299" i="132" s="1"/>
  <c r="Q299" i="132"/>
  <c r="T298" i="132" s="1"/>
  <c r="J299" i="132"/>
  <c r="I299" i="132"/>
  <c r="Q298" i="132"/>
  <c r="J298" i="132"/>
  <c r="I298" i="132"/>
  <c r="Q297" i="132"/>
  <c r="J297" i="132"/>
  <c r="I297" i="132"/>
  <c r="Q296" i="132"/>
  <c r="J296" i="132"/>
  <c r="I296" i="132"/>
  <c r="Q295" i="132"/>
  <c r="J295" i="132"/>
  <c r="I295" i="132"/>
  <c r="Q294" i="132"/>
  <c r="T293" i="132" s="1"/>
  <c r="J294" i="132"/>
  <c r="I294" i="132"/>
  <c r="Q293" i="132"/>
  <c r="H293" i="132"/>
  <c r="G293" i="132"/>
  <c r="AG294" i="132" s="1"/>
  <c r="E293" i="132"/>
  <c r="D293" i="132"/>
  <c r="R292" i="132"/>
  <c r="Q292" i="132"/>
  <c r="J292" i="132"/>
  <c r="I292" i="132"/>
  <c r="AA291" i="132"/>
  <c r="Z291" i="132"/>
  <c r="Y291" i="132"/>
  <c r="U291" i="132"/>
  <c r="Q291" i="132"/>
  <c r="T290" i="132" s="1"/>
  <c r="M291" i="132"/>
  <c r="K291" i="132"/>
  <c r="G291" i="132"/>
  <c r="J291" i="132" s="1"/>
  <c r="D291" i="132"/>
  <c r="D278" i="132" s="1"/>
  <c r="Q290" i="132"/>
  <c r="T289" i="132" s="1"/>
  <c r="J290" i="132"/>
  <c r="I290" i="132"/>
  <c r="Q289" i="132"/>
  <c r="T288" i="132" s="1"/>
  <c r="J289" i="132"/>
  <c r="I289" i="132"/>
  <c r="Q288" i="132"/>
  <c r="T287" i="132" s="1"/>
  <c r="J288" i="132"/>
  <c r="I288" i="132"/>
  <c r="Q287" i="132"/>
  <c r="T286" i="132" s="1"/>
  <c r="J287" i="132"/>
  <c r="I287" i="132"/>
  <c r="Q286" i="132"/>
  <c r="T285" i="132" s="1"/>
  <c r="J286" i="132"/>
  <c r="I286" i="132"/>
  <c r="Q285" i="132"/>
  <c r="T284" i="132" s="1"/>
  <c r="J285" i="132"/>
  <c r="I285" i="132"/>
  <c r="Q284" i="132"/>
  <c r="T283" i="132" s="1"/>
  <c r="J284" i="132"/>
  <c r="I284" i="132"/>
  <c r="Q283" i="132"/>
  <c r="T282" i="132" s="1"/>
  <c r="J283" i="132"/>
  <c r="I283" i="132"/>
  <c r="Q282" i="132"/>
  <c r="T281" i="132" s="1"/>
  <c r="J282" i="132"/>
  <c r="I282" i="132"/>
  <c r="Q281" i="132"/>
  <c r="T280" i="132" s="1"/>
  <c r="J281" i="132"/>
  <c r="I281" i="132"/>
  <c r="Q280" i="132"/>
  <c r="T279" i="132" s="1"/>
  <c r="J280" i="132"/>
  <c r="I280" i="132"/>
  <c r="Q279" i="132"/>
  <c r="T278" i="132" s="1"/>
  <c r="J279" i="132"/>
  <c r="I279" i="132"/>
  <c r="R278" i="132"/>
  <c r="O278" i="132"/>
  <c r="Q278" i="132" s="1"/>
  <c r="H278" i="132"/>
  <c r="E278" i="132"/>
  <c r="AA277" i="132"/>
  <c r="Z277" i="132"/>
  <c r="Y277" i="132"/>
  <c r="Q277" i="132"/>
  <c r="T276" i="132" s="1"/>
  <c r="G277" i="132"/>
  <c r="J277" i="132" s="1"/>
  <c r="Q276" i="132"/>
  <c r="T275" i="132" s="1"/>
  <c r="J276" i="132"/>
  <c r="I276" i="132"/>
  <c r="Q275" i="132"/>
  <c r="T274" i="132" s="1"/>
  <c r="J275" i="132"/>
  <c r="I275" i="132"/>
  <c r="Q274" i="132"/>
  <c r="T273" i="132" s="1"/>
  <c r="J274" i="132"/>
  <c r="I274" i="132"/>
  <c r="Q273" i="132"/>
  <c r="T272" i="132" s="1"/>
  <c r="J273" i="132"/>
  <c r="I273" i="132"/>
  <c r="Q272" i="132"/>
  <c r="T271" i="132" s="1"/>
  <c r="J272" i="132"/>
  <c r="I272" i="132"/>
  <c r="Q271" i="132"/>
  <c r="T270" i="132" s="1"/>
  <c r="J271" i="132"/>
  <c r="I271" i="132"/>
  <c r="Q270" i="132"/>
  <c r="T269" i="132" s="1"/>
  <c r="J270" i="132"/>
  <c r="I270" i="132"/>
  <c r="Q269" i="132"/>
  <c r="J269" i="132"/>
  <c r="I269" i="132"/>
  <c r="Q268" i="132"/>
  <c r="T267" i="132" s="1"/>
  <c r="J268" i="132"/>
  <c r="I268" i="132"/>
  <c r="Q267" i="132"/>
  <c r="T266" i="132" s="1"/>
  <c r="J267" i="132"/>
  <c r="I267" i="132"/>
  <c r="Q266" i="132"/>
  <c r="T265" i="132" s="1"/>
  <c r="J266" i="132"/>
  <c r="I266" i="132"/>
  <c r="Q265" i="132"/>
  <c r="T264" i="132" s="1"/>
  <c r="J265" i="132"/>
  <c r="I265" i="132"/>
  <c r="Q264" i="132"/>
  <c r="T263" i="132" s="1"/>
  <c r="H264" i="132"/>
  <c r="E264" i="132"/>
  <c r="D264" i="132"/>
  <c r="AA263" i="132"/>
  <c r="Z263" i="132"/>
  <c r="Y263" i="132"/>
  <c r="U263" i="132"/>
  <c r="V263" i="132" s="1"/>
  <c r="Q263" i="132"/>
  <c r="T262" i="132" s="1"/>
  <c r="M263" i="132"/>
  <c r="K263" i="132"/>
  <c r="J263" i="132"/>
  <c r="I263" i="132"/>
  <c r="Q262" i="132"/>
  <c r="T261" i="132" s="1"/>
  <c r="J262" i="132"/>
  <c r="I262" i="132"/>
  <c r="Q261" i="132"/>
  <c r="T260" i="132" s="1"/>
  <c r="J261" i="132"/>
  <c r="I261" i="132"/>
  <c r="Q260" i="132"/>
  <c r="T259" i="132" s="1"/>
  <c r="J260" i="132"/>
  <c r="I260" i="132"/>
  <c r="Q259" i="132"/>
  <c r="T258" i="132" s="1"/>
  <c r="J259" i="132"/>
  <c r="I259" i="132"/>
  <c r="Q258" i="132"/>
  <c r="T257" i="132" s="1"/>
  <c r="J258" i="132"/>
  <c r="I258" i="132"/>
  <c r="Q257" i="132"/>
  <c r="T256" i="132" s="1"/>
  <c r="J257" i="132"/>
  <c r="I257" i="132"/>
  <c r="Q256" i="132"/>
  <c r="T255" i="132" s="1"/>
  <c r="J256" i="132"/>
  <c r="I256" i="132"/>
  <c r="Q255" i="132"/>
  <c r="T254" i="132" s="1"/>
  <c r="J255" i="132"/>
  <c r="I255" i="132"/>
  <c r="Q254" i="132"/>
  <c r="T253" i="132" s="1"/>
  <c r="J254" i="132"/>
  <c r="I254" i="132"/>
  <c r="Q253" i="132"/>
  <c r="T252" i="132" s="1"/>
  <c r="J253" i="132"/>
  <c r="I253" i="132"/>
  <c r="Q252" i="132"/>
  <c r="T251" i="132" s="1"/>
  <c r="J252" i="132"/>
  <c r="I252" i="132"/>
  <c r="Q251" i="132"/>
  <c r="T250" i="132" s="1"/>
  <c r="J251" i="132"/>
  <c r="I251" i="132"/>
  <c r="O250" i="132"/>
  <c r="Q250" i="132" s="1"/>
  <c r="T249" i="132" s="1"/>
  <c r="H250" i="132"/>
  <c r="G250" i="132"/>
  <c r="E250" i="132"/>
  <c r="D250" i="132"/>
  <c r="AA249" i="132"/>
  <c r="Z249" i="132"/>
  <c r="Y249" i="132"/>
  <c r="Q249" i="132"/>
  <c r="T248" i="132" s="1"/>
  <c r="J249" i="132"/>
  <c r="I249" i="132"/>
  <c r="Q248" i="132"/>
  <c r="T247" i="132" s="1"/>
  <c r="J248" i="132"/>
  <c r="I248" i="132"/>
  <c r="Q247" i="132"/>
  <c r="T246" i="132" s="1"/>
  <c r="J247" i="132"/>
  <c r="I247" i="132"/>
  <c r="Q246" i="132"/>
  <c r="T245" i="132" s="1"/>
  <c r="J246" i="132"/>
  <c r="I246" i="132"/>
  <c r="Q245" i="132"/>
  <c r="T244" i="132" s="1"/>
  <c r="J245" i="132"/>
  <c r="I245" i="132"/>
  <c r="Q244" i="132"/>
  <c r="T243" i="132" s="1"/>
  <c r="H244" i="132"/>
  <c r="G244" i="132"/>
  <c r="E244" i="132"/>
  <c r="D244" i="132"/>
  <c r="AA243" i="132"/>
  <c r="Z243" i="132"/>
  <c r="Y243" i="132"/>
  <c r="U243" i="132"/>
  <c r="V243" i="132" s="1"/>
  <c r="Q243" i="132"/>
  <c r="T242" i="132" s="1"/>
  <c r="M243" i="132"/>
  <c r="K243" i="132"/>
  <c r="J243" i="132"/>
  <c r="I243" i="132"/>
  <c r="Q242" i="132"/>
  <c r="T241" i="132" s="1"/>
  <c r="J242" i="132"/>
  <c r="I242" i="132"/>
  <c r="Q241" i="132"/>
  <c r="T240" i="132" s="1"/>
  <c r="J241" i="132"/>
  <c r="I241" i="132"/>
  <c r="Q240" i="132"/>
  <c r="T239" i="132" s="1"/>
  <c r="J240" i="132"/>
  <c r="I240" i="132"/>
  <c r="Q239" i="132"/>
  <c r="T238" i="132" s="1"/>
  <c r="J239" i="132"/>
  <c r="I239" i="132"/>
  <c r="Q238" i="132"/>
  <c r="T237" i="132" s="1"/>
  <c r="J238" i="132"/>
  <c r="I238" i="132"/>
  <c r="Q237" i="132"/>
  <c r="T236" i="132" s="1"/>
  <c r="J237" i="132"/>
  <c r="I237" i="132"/>
  <c r="Q236" i="132"/>
  <c r="T235" i="132" s="1"/>
  <c r="J236" i="132"/>
  <c r="I236" i="132"/>
  <c r="Q235" i="132"/>
  <c r="T234" i="132" s="1"/>
  <c r="J235" i="132"/>
  <c r="I235" i="132"/>
  <c r="Q234" i="132"/>
  <c r="T233" i="132" s="1"/>
  <c r="J234" i="132"/>
  <c r="I234" i="132"/>
  <c r="Q233" i="132"/>
  <c r="T232" i="132" s="1"/>
  <c r="J233" i="132"/>
  <c r="I233" i="132"/>
  <c r="Q232" i="132"/>
  <c r="T231" i="132" s="1"/>
  <c r="J232" i="132"/>
  <c r="I232" i="132"/>
  <c r="Q231" i="132"/>
  <c r="T230" i="132" s="1"/>
  <c r="J231" i="132"/>
  <c r="I231" i="132"/>
  <c r="R230" i="132"/>
  <c r="Q230" i="132"/>
  <c r="H230" i="132"/>
  <c r="G230" i="132"/>
  <c r="E230" i="132"/>
  <c r="D230" i="132"/>
  <c r="AA229" i="132"/>
  <c r="Z229" i="132"/>
  <c r="Y229" i="132"/>
  <c r="U229" i="132"/>
  <c r="V229" i="132" s="1"/>
  <c r="S229" i="132"/>
  <c r="P229" i="132"/>
  <c r="M229" i="132"/>
  <c r="K229" i="132"/>
  <c r="AF228" i="132"/>
  <c r="AE228" i="132"/>
  <c r="AD228" i="132"/>
  <c r="AC228" i="132"/>
  <c r="AB228" i="132"/>
  <c r="Q228" i="132"/>
  <c r="T227" i="132" s="1"/>
  <c r="N228" i="132"/>
  <c r="N196" i="132" s="1"/>
  <c r="L228" i="132"/>
  <c r="L196" i="132" s="1"/>
  <c r="J228" i="132"/>
  <c r="I228" i="132"/>
  <c r="AA227" i="132"/>
  <c r="Z227" i="132"/>
  <c r="Y227" i="132"/>
  <c r="Q227" i="132"/>
  <c r="T226" i="132" s="1"/>
  <c r="J227" i="132"/>
  <c r="I227" i="132"/>
  <c r="Q226" i="132"/>
  <c r="J226" i="132"/>
  <c r="I226" i="132"/>
  <c r="Q225" i="132"/>
  <c r="T224" i="132" s="1"/>
  <c r="J225" i="132"/>
  <c r="I225" i="132"/>
  <c r="Q224" i="132"/>
  <c r="J224" i="132"/>
  <c r="I224" i="132"/>
  <c r="Q223" i="132"/>
  <c r="J223" i="132"/>
  <c r="I223" i="132"/>
  <c r="Q222" i="132"/>
  <c r="T221" i="132" s="1"/>
  <c r="H222" i="132"/>
  <c r="G222" i="132"/>
  <c r="E222" i="132"/>
  <c r="D222" i="132"/>
  <c r="AA221" i="132"/>
  <c r="Z221" i="132"/>
  <c r="Y221" i="132"/>
  <c r="U221" i="132"/>
  <c r="V221" i="132" s="1"/>
  <c r="Q221" i="132"/>
  <c r="T220" i="132" s="1"/>
  <c r="J221" i="132"/>
  <c r="I221" i="132"/>
  <c r="Q220" i="132"/>
  <c r="T219" i="132" s="1"/>
  <c r="J220" i="132"/>
  <c r="I220" i="132"/>
  <c r="Q219" i="132"/>
  <c r="T218" i="132" s="1"/>
  <c r="J219" i="132"/>
  <c r="I219" i="132"/>
  <c r="Q218" i="132"/>
  <c r="T217" i="132" s="1"/>
  <c r="J218" i="132"/>
  <c r="I218" i="132"/>
  <c r="Q217" i="132"/>
  <c r="T216" i="132" s="1"/>
  <c r="J217" i="132"/>
  <c r="I217" i="132"/>
  <c r="Q216" i="132"/>
  <c r="T215" i="132" s="1"/>
  <c r="J216" i="132"/>
  <c r="I216" i="132"/>
  <c r="S215" i="132"/>
  <c r="Q215" i="132"/>
  <c r="H215" i="132"/>
  <c r="G215" i="132"/>
  <c r="E215" i="132"/>
  <c r="D215" i="132"/>
  <c r="AF214" i="132"/>
  <c r="AE214" i="132"/>
  <c r="AD214" i="132"/>
  <c r="AC214" i="132"/>
  <c r="AB214" i="132"/>
  <c r="AA214" i="132"/>
  <c r="Z214" i="132"/>
  <c r="Y214" i="132"/>
  <c r="X214" i="132"/>
  <c r="W214" i="132"/>
  <c r="V214" i="132"/>
  <c r="U214" i="132"/>
  <c r="Q214" i="132"/>
  <c r="T213" i="132" s="1"/>
  <c r="M214" i="132"/>
  <c r="K214" i="132"/>
  <c r="G214" i="132"/>
  <c r="J214" i="132" s="1"/>
  <c r="D214" i="132"/>
  <c r="D211" i="132" s="1"/>
  <c r="Q213" i="132"/>
  <c r="T212" i="132" s="1"/>
  <c r="J213" i="132"/>
  <c r="I213" i="132"/>
  <c r="Q212" i="132"/>
  <c r="T211" i="132" s="1"/>
  <c r="J212" i="132"/>
  <c r="I212" i="132"/>
  <c r="S211" i="132"/>
  <c r="S196" i="132" s="1"/>
  <c r="Q211" i="132"/>
  <c r="H211" i="132"/>
  <c r="E211" i="132"/>
  <c r="AF210" i="132"/>
  <c r="AE210" i="132"/>
  <c r="AD210" i="132"/>
  <c r="AC210" i="132"/>
  <c r="AB210" i="132"/>
  <c r="AA210" i="132"/>
  <c r="Z210" i="132"/>
  <c r="Y210" i="132"/>
  <c r="X210" i="132"/>
  <c r="W210" i="132"/>
  <c r="V210" i="132"/>
  <c r="U210" i="132"/>
  <c r="Q210" i="132"/>
  <c r="T209" i="132" s="1"/>
  <c r="M210" i="132"/>
  <c r="K210" i="132"/>
  <c r="J210" i="132"/>
  <c r="I210" i="132"/>
  <c r="D210" i="132"/>
  <c r="D197" i="132" s="1"/>
  <c r="Q209" i="132"/>
  <c r="T208" i="132" s="1"/>
  <c r="J209" i="132"/>
  <c r="I209" i="132"/>
  <c r="Q208" i="132"/>
  <c r="T207" i="132" s="1"/>
  <c r="J208" i="132"/>
  <c r="I208" i="132"/>
  <c r="Q207" i="132"/>
  <c r="T206" i="132" s="1"/>
  <c r="J207" i="132"/>
  <c r="I207" i="132"/>
  <c r="Q206" i="132"/>
  <c r="T205" i="132" s="1"/>
  <c r="J206" i="132"/>
  <c r="I206" i="132"/>
  <c r="Q205" i="132"/>
  <c r="T204" i="132" s="1"/>
  <c r="J205" i="132"/>
  <c r="I205" i="132"/>
  <c r="Q204" i="132"/>
  <c r="T203" i="132" s="1"/>
  <c r="J204" i="132"/>
  <c r="I204" i="132"/>
  <c r="Q203" i="132"/>
  <c r="T202" i="132" s="1"/>
  <c r="J203" i="132"/>
  <c r="I203" i="132"/>
  <c r="Q202" i="132"/>
  <c r="T201" i="132" s="1"/>
  <c r="J202" i="132"/>
  <c r="I202" i="132"/>
  <c r="Q201" i="132"/>
  <c r="T200" i="132" s="1"/>
  <c r="J201" i="132"/>
  <c r="I201" i="132"/>
  <c r="Q200" i="132"/>
  <c r="T199" i="132" s="1"/>
  <c r="J200" i="132"/>
  <c r="I200" i="132"/>
  <c r="Q199" i="132"/>
  <c r="T198" i="132" s="1"/>
  <c r="J199" i="132"/>
  <c r="I199" i="132"/>
  <c r="Q198" i="132"/>
  <c r="T197" i="132" s="1"/>
  <c r="J198" i="132"/>
  <c r="I198" i="132"/>
  <c r="R197" i="132"/>
  <c r="R196" i="132" s="1"/>
  <c r="Q197" i="132"/>
  <c r="H197" i="132"/>
  <c r="G197" i="132"/>
  <c r="E197" i="132"/>
  <c r="AA196" i="132"/>
  <c r="Z196" i="132"/>
  <c r="Y196" i="132"/>
  <c r="U196" i="132"/>
  <c r="P196" i="132"/>
  <c r="O196" i="132"/>
  <c r="F196" i="132"/>
  <c r="Q192" i="132"/>
  <c r="T191" i="132" s="1"/>
  <c r="J192" i="132"/>
  <c r="I192" i="132"/>
  <c r="Q191" i="132"/>
  <c r="T190" i="132" s="1"/>
  <c r="J191" i="132"/>
  <c r="I191" i="132"/>
  <c r="Q190" i="132"/>
  <c r="T189" i="132" s="1"/>
  <c r="J190" i="132"/>
  <c r="I190" i="132"/>
  <c r="R189" i="132"/>
  <c r="R173" i="132" s="1"/>
  <c r="O189" i="132"/>
  <c r="O173" i="132" s="1"/>
  <c r="H189" i="132"/>
  <c r="I189" i="132" s="1"/>
  <c r="E189" i="132"/>
  <c r="J189" i="132" s="1"/>
  <c r="D189" i="132"/>
  <c r="Q188" i="132"/>
  <c r="T187" i="132" s="1"/>
  <c r="J188" i="132"/>
  <c r="I188" i="132"/>
  <c r="AA187" i="132"/>
  <c r="Z187" i="132"/>
  <c r="Y187" i="132"/>
  <c r="V187" i="132"/>
  <c r="Q187" i="132"/>
  <c r="T186" i="132" s="1"/>
  <c r="J187" i="132"/>
  <c r="I187" i="132"/>
  <c r="Q186" i="132"/>
  <c r="T185" i="132" s="1"/>
  <c r="J186" i="132"/>
  <c r="I186" i="132"/>
  <c r="Q185" i="132"/>
  <c r="T184" i="132" s="1"/>
  <c r="J185" i="132"/>
  <c r="I185" i="132"/>
  <c r="Q184" i="132"/>
  <c r="T183" i="132" s="1"/>
  <c r="J184" i="132"/>
  <c r="I184" i="132"/>
  <c r="Q183" i="132"/>
  <c r="T182" i="132" s="1"/>
  <c r="H183" i="132"/>
  <c r="G183" i="132"/>
  <c r="F183" i="132"/>
  <c r="E183" i="132"/>
  <c r="D183" i="132"/>
  <c r="AF182" i="132"/>
  <c r="AE182" i="132"/>
  <c r="AA182" i="132"/>
  <c r="Z182" i="132"/>
  <c r="Y182" i="132"/>
  <c r="U182" i="132"/>
  <c r="Q182" i="132"/>
  <c r="T181" i="132" s="1"/>
  <c r="M182" i="132"/>
  <c r="K182" i="132"/>
  <c r="J182" i="132"/>
  <c r="I182" i="132"/>
  <c r="Q181" i="132"/>
  <c r="T180" i="132" s="1"/>
  <c r="J181" i="132"/>
  <c r="I181" i="132"/>
  <c r="Q180" i="132"/>
  <c r="J180" i="132"/>
  <c r="I180" i="132"/>
  <c r="Q179" i="132"/>
  <c r="T178" i="132" s="1"/>
  <c r="H179" i="132"/>
  <c r="G179" i="132"/>
  <c r="F179" i="132"/>
  <c r="E179" i="132"/>
  <c r="D179" i="132"/>
  <c r="AF178" i="132"/>
  <c r="AE178" i="132"/>
  <c r="U178" i="132"/>
  <c r="V178" i="132" s="1"/>
  <c r="W178" i="132" s="1"/>
  <c r="Q178" i="132"/>
  <c r="T177" i="132" s="1"/>
  <c r="M178" i="132"/>
  <c r="M173" i="132" s="1"/>
  <c r="K178" i="132"/>
  <c r="K173" i="132" s="1"/>
  <c r="K172" i="132" s="1"/>
  <c r="J178" i="132"/>
  <c r="I178" i="132"/>
  <c r="AA177" i="132"/>
  <c r="Z177" i="132"/>
  <c r="Y177" i="132"/>
  <c r="Q177" i="132"/>
  <c r="T176" i="132" s="1"/>
  <c r="J177" i="132"/>
  <c r="I177" i="132"/>
  <c r="Q176" i="132"/>
  <c r="T175" i="132" s="1"/>
  <c r="J176" i="132"/>
  <c r="I176" i="132"/>
  <c r="Q175" i="132"/>
  <c r="T174" i="132" s="1"/>
  <c r="J175" i="132"/>
  <c r="I175" i="132"/>
  <c r="Q174" i="132"/>
  <c r="T173" i="132" s="1"/>
  <c r="H174" i="132"/>
  <c r="G174" i="132"/>
  <c r="F174" i="132"/>
  <c r="E174" i="132"/>
  <c r="D174" i="132"/>
  <c r="AA173" i="132"/>
  <c r="Z173" i="132"/>
  <c r="Y173" i="132"/>
  <c r="U173" i="132"/>
  <c r="S173" i="132"/>
  <c r="P173" i="132"/>
  <c r="N173" i="132"/>
  <c r="N172" i="132" s="1"/>
  <c r="L173" i="132"/>
  <c r="L172" i="132" s="1"/>
  <c r="AD172" i="132"/>
  <c r="AC172" i="132"/>
  <c r="AB172" i="132"/>
  <c r="Q172" i="132"/>
  <c r="J172" i="132"/>
  <c r="I172" i="132"/>
  <c r="Q171" i="132"/>
  <c r="T170" i="132" s="1"/>
  <c r="J171" i="132"/>
  <c r="I171" i="132"/>
  <c r="AA170" i="132"/>
  <c r="AA169" i="132" s="1"/>
  <c r="Z170" i="132"/>
  <c r="Z169" i="132" s="1"/>
  <c r="Y170" i="132"/>
  <c r="Y169" i="132" s="1"/>
  <c r="S170" i="132"/>
  <c r="R170" i="132"/>
  <c r="P170" i="132"/>
  <c r="O170" i="132"/>
  <c r="N170" i="132"/>
  <c r="M170" i="132"/>
  <c r="L170" i="132"/>
  <c r="K170" i="132"/>
  <c r="H170" i="132"/>
  <c r="G170" i="132"/>
  <c r="F170" i="132"/>
  <c r="E170" i="132"/>
  <c r="D170" i="132"/>
  <c r="AF169" i="132"/>
  <c r="AE169" i="132"/>
  <c r="AD169" i="132"/>
  <c r="AC169" i="132"/>
  <c r="AB169" i="132"/>
  <c r="X169" i="132"/>
  <c r="W169" i="132"/>
  <c r="V169" i="132"/>
  <c r="U169" i="132"/>
  <c r="Q167" i="132"/>
  <c r="J167" i="132"/>
  <c r="I167" i="132"/>
  <c r="Q166" i="132"/>
  <c r="J166" i="132"/>
  <c r="I166" i="132"/>
  <c r="Q165" i="132"/>
  <c r="J165" i="132"/>
  <c r="I165" i="132"/>
  <c r="Q164" i="132"/>
  <c r="J164" i="132"/>
  <c r="I164" i="132"/>
  <c r="Q163" i="132"/>
  <c r="J163" i="132"/>
  <c r="I163" i="132"/>
  <c r="Q162" i="132"/>
  <c r="J162" i="132"/>
  <c r="I162" i="132"/>
  <c r="Q161" i="132"/>
  <c r="J161" i="132"/>
  <c r="I161" i="132"/>
  <c r="Q160" i="132"/>
  <c r="T159" i="132" s="1"/>
  <c r="J160" i="132"/>
  <c r="I160" i="132"/>
  <c r="AA159" i="132"/>
  <c r="Z159" i="132"/>
  <c r="Y159" i="132"/>
  <c r="Q159" i="132"/>
  <c r="T158" i="132" s="1"/>
  <c r="J159" i="132"/>
  <c r="I159" i="132"/>
  <c r="Q158" i="132"/>
  <c r="T157" i="132" s="1"/>
  <c r="J158" i="132"/>
  <c r="I158" i="132"/>
  <c r="AA157" i="132"/>
  <c r="Z157" i="132"/>
  <c r="Y157" i="132"/>
  <c r="V157" i="132"/>
  <c r="Q157" i="132"/>
  <c r="T156" i="132" s="1"/>
  <c r="J157" i="132"/>
  <c r="I157" i="132"/>
  <c r="Q156" i="132"/>
  <c r="T155" i="132" s="1"/>
  <c r="J156" i="132"/>
  <c r="I156" i="132"/>
  <c r="AA155" i="132"/>
  <c r="Z155" i="132"/>
  <c r="Y155" i="132"/>
  <c r="Q155" i="132"/>
  <c r="T154" i="132" s="1"/>
  <c r="J155" i="132"/>
  <c r="I155" i="132"/>
  <c r="AA154" i="132"/>
  <c r="Z154" i="132"/>
  <c r="Y154" i="132"/>
  <c r="Q154" i="132"/>
  <c r="T153" i="132" s="1"/>
  <c r="J154" i="132"/>
  <c r="I154" i="132"/>
  <c r="Q153" i="132"/>
  <c r="T152" i="132" s="1"/>
  <c r="J153" i="132"/>
  <c r="I153" i="132"/>
  <c r="AA152" i="132"/>
  <c r="Z152" i="132"/>
  <c r="Y152" i="132"/>
  <c r="V152" i="132"/>
  <c r="W152" i="132" s="1"/>
  <c r="Q152" i="132"/>
  <c r="T151" i="132" s="1"/>
  <c r="J152" i="132"/>
  <c r="I152" i="132"/>
  <c r="AA151" i="132"/>
  <c r="Z151" i="132"/>
  <c r="Y151" i="132"/>
  <c r="V151" i="132"/>
  <c r="Q151" i="132"/>
  <c r="T150" i="132" s="1"/>
  <c r="J151" i="132"/>
  <c r="I151" i="132"/>
  <c r="Q150" i="132"/>
  <c r="T149" i="132" s="1"/>
  <c r="J150" i="132"/>
  <c r="I150" i="132"/>
  <c r="Q149" i="132"/>
  <c r="T148" i="132" s="1"/>
  <c r="J149" i="132"/>
  <c r="I149" i="132"/>
  <c r="Q148" i="132"/>
  <c r="T147" i="132" s="1"/>
  <c r="H148" i="132"/>
  <c r="G148" i="132"/>
  <c r="F148" i="132"/>
  <c r="E148" i="132"/>
  <c r="D148" i="132"/>
  <c r="AA147" i="132"/>
  <c r="Z147" i="132"/>
  <c r="Y147" i="132"/>
  <c r="U147" i="132"/>
  <c r="Q147" i="132"/>
  <c r="T146" i="132" s="1"/>
  <c r="M147" i="132"/>
  <c r="K147" i="132"/>
  <c r="J147" i="132"/>
  <c r="I147" i="132"/>
  <c r="Q146" i="132"/>
  <c r="T145" i="132" s="1"/>
  <c r="I146" i="132"/>
  <c r="E146" i="132"/>
  <c r="J146" i="132" s="1"/>
  <c r="D146" i="132"/>
  <c r="AA145" i="132"/>
  <c r="Z145" i="132"/>
  <c r="Y145" i="132"/>
  <c r="W145" i="132"/>
  <c r="Q145" i="132"/>
  <c r="T144" i="132" s="1"/>
  <c r="L145" i="132"/>
  <c r="L142" i="132" s="1"/>
  <c r="J145" i="132"/>
  <c r="I145" i="132"/>
  <c r="O144" i="132"/>
  <c r="H144" i="132"/>
  <c r="G144" i="132"/>
  <c r="F144" i="132"/>
  <c r="E144" i="132"/>
  <c r="D144" i="132"/>
  <c r="AA143" i="132"/>
  <c r="Z143" i="132"/>
  <c r="Y143" i="132"/>
  <c r="W143" i="132"/>
  <c r="S143" i="132"/>
  <c r="R143" i="132"/>
  <c r="P143" i="132"/>
  <c r="AI142" i="132"/>
  <c r="AF142" i="132"/>
  <c r="AD142" i="132"/>
  <c r="AC142" i="132"/>
  <c r="AB142" i="132"/>
  <c r="X142" i="132"/>
  <c r="Q142" i="132"/>
  <c r="T141" i="132" s="1"/>
  <c r="N142" i="132"/>
  <c r="J142" i="132"/>
  <c r="I142" i="132"/>
  <c r="AI141" i="132"/>
  <c r="Q141" i="132"/>
  <c r="T140" i="132" s="1"/>
  <c r="J141" i="132"/>
  <c r="I141" i="132"/>
  <c r="AI140" i="132"/>
  <c r="Q140" i="132"/>
  <c r="T139" i="132" s="1"/>
  <c r="J140" i="132"/>
  <c r="I140" i="132"/>
  <c r="D140" i="132"/>
  <c r="AI139" i="132"/>
  <c r="Q139" i="132"/>
  <c r="T138" i="132" s="1"/>
  <c r="J139" i="132"/>
  <c r="I139" i="132"/>
  <c r="AI138" i="132"/>
  <c r="Q138" i="132"/>
  <c r="T137" i="132" s="1"/>
  <c r="J138" i="132"/>
  <c r="I138" i="132"/>
  <c r="AI137" i="132"/>
  <c r="Q137" i="132"/>
  <c r="T136" i="132" s="1"/>
  <c r="J137" i="132"/>
  <c r="I137" i="132"/>
  <c r="D137" i="132"/>
  <c r="Q136" i="132"/>
  <c r="T135" i="132" s="1"/>
  <c r="H136" i="132"/>
  <c r="H135" i="132" s="1"/>
  <c r="G136" i="132"/>
  <c r="G135" i="132" s="1"/>
  <c r="F136" i="132"/>
  <c r="F135" i="132" s="1"/>
  <c r="E136" i="132"/>
  <c r="E135" i="132" s="1"/>
  <c r="AF135" i="132"/>
  <c r="AF134" i="132" s="1"/>
  <c r="AE135" i="132"/>
  <c r="AE134" i="132" s="1"/>
  <c r="AB135" i="132"/>
  <c r="AB134" i="132" s="1"/>
  <c r="AA135" i="132"/>
  <c r="AA134" i="132" s="1"/>
  <c r="Z135" i="132"/>
  <c r="Z134" i="132" s="1"/>
  <c r="Y135" i="132"/>
  <c r="Y134" i="132" s="1"/>
  <c r="U135" i="132"/>
  <c r="U134" i="132" s="1"/>
  <c r="S135" i="132"/>
  <c r="R135" i="132"/>
  <c r="P135" i="132"/>
  <c r="P134" i="132" s="1"/>
  <c r="P133" i="132" s="1"/>
  <c r="O135" i="132"/>
  <c r="N135" i="132"/>
  <c r="N134" i="132" s="1"/>
  <c r="N133" i="132" s="1"/>
  <c r="N132" i="132" s="1"/>
  <c r="M135" i="132"/>
  <c r="M134" i="132" s="1"/>
  <c r="M133" i="132" s="1"/>
  <c r="M132" i="132" s="1"/>
  <c r="L135" i="132"/>
  <c r="L134" i="132" s="1"/>
  <c r="L133" i="132" s="1"/>
  <c r="L132" i="132" s="1"/>
  <c r="K135" i="132"/>
  <c r="K134" i="132" s="1"/>
  <c r="K133" i="132" s="1"/>
  <c r="K132" i="132" s="1"/>
  <c r="AD134" i="132"/>
  <c r="AC134" i="132"/>
  <c r="X134" i="132"/>
  <c r="W134" i="132"/>
  <c r="V134" i="132"/>
  <c r="Q132" i="132"/>
  <c r="T131" i="132" s="1"/>
  <c r="J132" i="132"/>
  <c r="I132" i="132"/>
  <c r="AA131" i="132"/>
  <c r="Z131" i="132"/>
  <c r="Y131" i="132"/>
  <c r="V131" i="132"/>
  <c r="W131" i="132" s="1"/>
  <c r="W128" i="132" s="1"/>
  <c r="Q131" i="132"/>
  <c r="T130" i="132" s="1"/>
  <c r="J131" i="132"/>
  <c r="I131" i="132"/>
  <c r="AA130" i="132"/>
  <c r="Z130" i="132"/>
  <c r="Y130" i="132"/>
  <c r="R130" i="132"/>
  <c r="R129" i="132" s="1"/>
  <c r="O130" i="132"/>
  <c r="Q130" i="132" s="1"/>
  <c r="J130" i="132"/>
  <c r="I130" i="132"/>
  <c r="AA129" i="132"/>
  <c r="Z129" i="132"/>
  <c r="Y129" i="132"/>
  <c r="S129" i="132"/>
  <c r="P129" i="132"/>
  <c r="H129" i="132"/>
  <c r="G129" i="132"/>
  <c r="F129" i="132"/>
  <c r="E129" i="132"/>
  <c r="D129" i="132"/>
  <c r="AF128" i="132"/>
  <c r="AE128" i="132"/>
  <c r="AD128" i="132"/>
  <c r="AC128" i="132"/>
  <c r="AB128" i="132"/>
  <c r="X128" i="132"/>
  <c r="U128" i="132"/>
  <c r="Q128" i="132"/>
  <c r="T127" i="132" s="1"/>
  <c r="N128" i="132"/>
  <c r="N115" i="132" s="1"/>
  <c r="N114" i="132" s="1"/>
  <c r="N113" i="132" s="1"/>
  <c r="M128" i="132"/>
  <c r="M115" i="132" s="1"/>
  <c r="M114" i="132" s="1"/>
  <c r="M113" i="132" s="1"/>
  <c r="L128" i="132"/>
  <c r="L115" i="132" s="1"/>
  <c r="L114" i="132" s="1"/>
  <c r="L113" i="132" s="1"/>
  <c r="K128" i="132"/>
  <c r="K115" i="132" s="1"/>
  <c r="K114" i="132" s="1"/>
  <c r="K113" i="132" s="1"/>
  <c r="J128" i="132"/>
  <c r="I128" i="132"/>
  <c r="AA127" i="132"/>
  <c r="Z127" i="132"/>
  <c r="Y127" i="132"/>
  <c r="V127" i="132"/>
  <c r="W127" i="132" s="1"/>
  <c r="Q127" i="132"/>
  <c r="T126" i="132" s="1"/>
  <c r="J127" i="132"/>
  <c r="I127" i="132"/>
  <c r="Q126" i="132"/>
  <c r="T125" i="132" s="1"/>
  <c r="J126" i="132"/>
  <c r="I126" i="132"/>
  <c r="Q125" i="132"/>
  <c r="T124" i="132" s="1"/>
  <c r="J125" i="132"/>
  <c r="I125" i="132"/>
  <c r="X124" i="132"/>
  <c r="V124" i="132"/>
  <c r="Q124" i="132"/>
  <c r="T123" i="132" s="1"/>
  <c r="J124" i="132"/>
  <c r="I124" i="132"/>
  <c r="AA123" i="132"/>
  <c r="Z123" i="132"/>
  <c r="Y123" i="132"/>
  <c r="V123" i="132"/>
  <c r="Q123" i="132"/>
  <c r="T122" i="132" s="1"/>
  <c r="J123" i="132"/>
  <c r="I123" i="132"/>
  <c r="Q122" i="132"/>
  <c r="T121" i="132" s="1"/>
  <c r="J122" i="132"/>
  <c r="I122" i="132"/>
  <c r="AA121" i="132"/>
  <c r="Z121" i="132"/>
  <c r="Y121" i="132"/>
  <c r="V121" i="132"/>
  <c r="W121" i="132" s="1"/>
  <c r="Q121" i="132"/>
  <c r="T120" i="132" s="1"/>
  <c r="J121" i="132"/>
  <c r="I121" i="132"/>
  <c r="Q120" i="132"/>
  <c r="T119" i="132" s="1"/>
  <c r="J120" i="132"/>
  <c r="I120" i="132"/>
  <c r="AA119" i="132"/>
  <c r="Z119" i="132"/>
  <c r="Y119" i="132"/>
  <c r="V119" i="132"/>
  <c r="W119" i="132" s="1"/>
  <c r="Q119" i="132"/>
  <c r="T118" i="132" s="1"/>
  <c r="J119" i="132"/>
  <c r="I119" i="132"/>
  <c r="AA118" i="132"/>
  <c r="Z118" i="132"/>
  <c r="Y118" i="132"/>
  <c r="V118" i="132"/>
  <c r="Q118" i="132"/>
  <c r="T117" i="132" s="1"/>
  <c r="J118" i="132"/>
  <c r="I118" i="132"/>
  <c r="V117" i="132"/>
  <c r="Q117" i="132"/>
  <c r="J117" i="132"/>
  <c r="I117" i="132"/>
  <c r="Q116" i="132"/>
  <c r="T115" i="132" s="1"/>
  <c r="J116" i="132"/>
  <c r="I116" i="132"/>
  <c r="AA115" i="132"/>
  <c r="Z115" i="132"/>
  <c r="Y115" i="132"/>
  <c r="S115" i="132"/>
  <c r="R115" i="132"/>
  <c r="P115" i="132"/>
  <c r="O115" i="132"/>
  <c r="H115" i="132"/>
  <c r="G115" i="132"/>
  <c r="F115" i="132"/>
  <c r="E115" i="132"/>
  <c r="D115" i="132"/>
  <c r="AF114" i="132"/>
  <c r="AE114" i="132"/>
  <c r="AD114" i="132"/>
  <c r="AC114" i="132"/>
  <c r="AB114" i="132"/>
  <c r="U114" i="132"/>
  <c r="Q113" i="132"/>
  <c r="T112" i="132" s="1"/>
  <c r="J113" i="132"/>
  <c r="I113" i="132"/>
  <c r="AA112" i="132"/>
  <c r="Z112" i="132"/>
  <c r="Y112" i="132"/>
  <c r="V112" i="132"/>
  <c r="W112" i="132" s="1"/>
  <c r="Q112" i="132"/>
  <c r="T111" i="132" s="1"/>
  <c r="J112" i="132"/>
  <c r="I112" i="132"/>
  <c r="Q111" i="132"/>
  <c r="T110" i="132" s="1"/>
  <c r="J111" i="132"/>
  <c r="I111" i="132"/>
  <c r="Q110" i="132"/>
  <c r="T109" i="132" s="1"/>
  <c r="J110" i="132"/>
  <c r="I110" i="132"/>
  <c r="Q109" i="132"/>
  <c r="T108" i="132" s="1"/>
  <c r="J109" i="132"/>
  <c r="I109" i="132"/>
  <c r="Q108" i="132"/>
  <c r="T107" i="132" s="1"/>
  <c r="J108" i="132"/>
  <c r="I108" i="132"/>
  <c r="Q107" i="132"/>
  <c r="T106" i="132" s="1"/>
  <c r="H107" i="132"/>
  <c r="H90" i="132" s="1"/>
  <c r="H89" i="132" s="1"/>
  <c r="G107" i="132"/>
  <c r="G90" i="132" s="1"/>
  <c r="G89" i="132" s="1"/>
  <c r="F107" i="132"/>
  <c r="F90" i="132" s="1"/>
  <c r="F89" i="132" s="1"/>
  <c r="E107" i="132"/>
  <c r="E90" i="132" s="1"/>
  <c r="E89" i="132" s="1"/>
  <c r="D107" i="132"/>
  <c r="D90" i="132" s="1"/>
  <c r="D89" i="132" s="1"/>
  <c r="AA106" i="132"/>
  <c r="Z106" i="132"/>
  <c r="Y106" i="132"/>
  <c r="U106" i="132"/>
  <c r="U89" i="132" s="1"/>
  <c r="U88" i="132" s="1"/>
  <c r="Q106" i="132"/>
  <c r="T105" i="132" s="1"/>
  <c r="M106" i="132"/>
  <c r="K106" i="132"/>
  <c r="J106" i="132"/>
  <c r="I106" i="132"/>
  <c r="O105" i="132"/>
  <c r="K105" i="132"/>
  <c r="J105" i="132"/>
  <c r="I105" i="132"/>
  <c r="Q104" i="132"/>
  <c r="J104" i="132"/>
  <c r="I104" i="132"/>
  <c r="Q103" i="132"/>
  <c r="T102" i="132" s="1"/>
  <c r="J103" i="132"/>
  <c r="I103" i="132"/>
  <c r="Q102" i="132"/>
  <c r="J102" i="132"/>
  <c r="I102" i="132"/>
  <c r="Q101" i="132"/>
  <c r="T100" i="132" s="1"/>
  <c r="J101" i="132"/>
  <c r="I101" i="132"/>
  <c r="Q100" i="132"/>
  <c r="T99" i="132" s="1"/>
  <c r="J100" i="132"/>
  <c r="I100" i="132"/>
  <c r="Q99" i="132"/>
  <c r="T98" i="132" s="1"/>
  <c r="J99" i="132"/>
  <c r="I99" i="132"/>
  <c r="AA98" i="132"/>
  <c r="Z98" i="132"/>
  <c r="Y98" i="132"/>
  <c r="V98" i="132"/>
  <c r="W98" i="132" s="1"/>
  <c r="Q98" i="132"/>
  <c r="T97" i="132" s="1"/>
  <c r="J98" i="132"/>
  <c r="I98" i="132"/>
  <c r="Q97" i="132"/>
  <c r="T96" i="132" s="1"/>
  <c r="J97" i="132"/>
  <c r="I97" i="132"/>
  <c r="AA96" i="132"/>
  <c r="Z96" i="132"/>
  <c r="Y96" i="132"/>
  <c r="Q96" i="132"/>
  <c r="T95" i="132" s="1"/>
  <c r="J96" i="132"/>
  <c r="I96" i="132"/>
  <c r="AA95" i="132"/>
  <c r="Z95" i="132"/>
  <c r="Y95" i="132"/>
  <c r="Q95" i="132"/>
  <c r="T94" i="132" s="1"/>
  <c r="J95" i="132"/>
  <c r="I95" i="132"/>
  <c r="AA94" i="132"/>
  <c r="Z94" i="132"/>
  <c r="Y94" i="132"/>
  <c r="V94" i="132"/>
  <c r="W94" i="132" s="1"/>
  <c r="Q94" i="132"/>
  <c r="J94" i="132"/>
  <c r="I94" i="132"/>
  <c r="Q93" i="132"/>
  <c r="T92" i="132" s="1"/>
  <c r="J93" i="132"/>
  <c r="I93" i="132"/>
  <c r="AA92" i="132"/>
  <c r="Z92" i="132"/>
  <c r="Y92" i="132"/>
  <c r="V92" i="132"/>
  <c r="Q92" i="132"/>
  <c r="T91" i="132" s="1"/>
  <c r="J92" i="132"/>
  <c r="I92" i="132"/>
  <c r="Q91" i="132"/>
  <c r="T90" i="132" s="1"/>
  <c r="J91" i="132"/>
  <c r="I91" i="132"/>
  <c r="AA90" i="132"/>
  <c r="Z90" i="132"/>
  <c r="Y90" i="132"/>
  <c r="V90" i="132"/>
  <c r="W90" i="132" s="1"/>
  <c r="S90" i="132"/>
  <c r="S89" i="132" s="1"/>
  <c r="R90" i="132"/>
  <c r="R89" i="132" s="1"/>
  <c r="P90" i="132"/>
  <c r="P89" i="132" s="1"/>
  <c r="AF89" i="132"/>
  <c r="AF88" i="132" s="1"/>
  <c r="AE89" i="132"/>
  <c r="AE88" i="132" s="1"/>
  <c r="AD89" i="132"/>
  <c r="AD88" i="132" s="1"/>
  <c r="AC89" i="132"/>
  <c r="AC88" i="132" s="1"/>
  <c r="AB89" i="132"/>
  <c r="AB88" i="132" s="1"/>
  <c r="X89" i="132"/>
  <c r="X88" i="132" s="1"/>
  <c r="N89" i="132"/>
  <c r="N88" i="132" s="1"/>
  <c r="N83" i="132" s="1"/>
  <c r="M89" i="132"/>
  <c r="M88" i="132" s="1"/>
  <c r="M83" i="132" s="1"/>
  <c r="L89" i="132"/>
  <c r="L88" i="132" s="1"/>
  <c r="L83" i="132" s="1"/>
  <c r="K89" i="132"/>
  <c r="K88" i="132" s="1"/>
  <c r="Q87" i="132"/>
  <c r="J87" i="132"/>
  <c r="I87" i="132"/>
  <c r="Q86" i="132"/>
  <c r="T85" i="132" s="1"/>
  <c r="J86" i="132"/>
  <c r="I86" i="132"/>
  <c r="Q85" i="132"/>
  <c r="T84" i="132" s="1"/>
  <c r="J85" i="132"/>
  <c r="I85" i="132"/>
  <c r="AA84" i="132"/>
  <c r="AA83" i="132" s="1"/>
  <c r="Z84" i="132"/>
  <c r="Z83" i="132" s="1"/>
  <c r="Y84" i="132"/>
  <c r="Y83" i="132" s="1"/>
  <c r="S84" i="132"/>
  <c r="R84" i="132"/>
  <c r="P84" i="132"/>
  <c r="O84" i="132"/>
  <c r="H84" i="132"/>
  <c r="G84" i="132"/>
  <c r="F84" i="132"/>
  <c r="E84" i="132"/>
  <c r="D84" i="132"/>
  <c r="AF83" i="132"/>
  <c r="AE83" i="132"/>
  <c r="AD83" i="132"/>
  <c r="AC83" i="132"/>
  <c r="AB83" i="132"/>
  <c r="X83" i="132"/>
  <c r="W83" i="132"/>
  <c r="V83" i="132"/>
  <c r="U83" i="132"/>
  <c r="Q83" i="132"/>
  <c r="T82" i="132" s="1"/>
  <c r="J83" i="132"/>
  <c r="I83" i="132"/>
  <c r="Q82" i="132"/>
  <c r="T81" i="132" s="1"/>
  <c r="J82" i="132"/>
  <c r="I82" i="132"/>
  <c r="Q81" i="132"/>
  <c r="T80" i="132" s="1"/>
  <c r="J81" i="132"/>
  <c r="I81" i="132"/>
  <c r="Q80" i="132"/>
  <c r="T79" i="132" s="1"/>
  <c r="J80" i="132"/>
  <c r="I80" i="132"/>
  <c r="Q79" i="132"/>
  <c r="T78" i="132" s="1"/>
  <c r="H79" i="132"/>
  <c r="H76" i="132" s="1"/>
  <c r="G79" i="132"/>
  <c r="F79" i="132"/>
  <c r="F76" i="132" s="1"/>
  <c r="E79" i="132"/>
  <c r="E76" i="132" s="1"/>
  <c r="D79" i="132"/>
  <c r="D76" i="132" s="1"/>
  <c r="AF78" i="132"/>
  <c r="AF75" i="132" s="1"/>
  <c r="AE78" i="132"/>
  <c r="AE75" i="132" s="1"/>
  <c r="AA78" i="132"/>
  <c r="Z78" i="132"/>
  <c r="Y78" i="132"/>
  <c r="U78" i="132"/>
  <c r="U75" i="132" s="1"/>
  <c r="Q78" i="132"/>
  <c r="T77" i="132" s="1"/>
  <c r="M78" i="132"/>
  <c r="K78" i="132"/>
  <c r="J78" i="132"/>
  <c r="I78" i="132"/>
  <c r="AA77" i="132"/>
  <c r="Z77" i="132"/>
  <c r="Y77" i="132"/>
  <c r="V77" i="132"/>
  <c r="Q77" i="132"/>
  <c r="T76" i="132" s="1"/>
  <c r="J77" i="132"/>
  <c r="I77" i="132"/>
  <c r="AA76" i="132"/>
  <c r="Z76" i="132"/>
  <c r="Y76" i="132"/>
  <c r="V76" i="132"/>
  <c r="W76" i="132" s="1"/>
  <c r="W75" i="132" s="1"/>
  <c r="S76" i="132"/>
  <c r="R76" i="132"/>
  <c r="P76" i="132"/>
  <c r="O76" i="132"/>
  <c r="AD75" i="132"/>
  <c r="AC75" i="132"/>
  <c r="AB75" i="132"/>
  <c r="X75" i="132"/>
  <c r="Q74" i="132"/>
  <c r="N74" i="132"/>
  <c r="M74" i="132"/>
  <c r="L74" i="132"/>
  <c r="K74" i="132"/>
  <c r="J74" i="132"/>
  <c r="I74" i="132"/>
  <c r="Q73" i="132"/>
  <c r="J73" i="132"/>
  <c r="I73" i="132"/>
  <c r="Q72" i="132"/>
  <c r="J72" i="132"/>
  <c r="I72" i="132"/>
  <c r="Q71" i="132"/>
  <c r="T71" i="132" s="1"/>
  <c r="J71" i="132"/>
  <c r="I71" i="132"/>
  <c r="Q70" i="132"/>
  <c r="T70" i="132" s="1"/>
  <c r="J70" i="132"/>
  <c r="I70" i="132"/>
  <c r="Q69" i="132"/>
  <c r="T69" i="132" s="1"/>
  <c r="J69" i="132"/>
  <c r="I69" i="132"/>
  <c r="Q68" i="132"/>
  <c r="T68" i="132" s="1"/>
  <c r="J68" i="132"/>
  <c r="I68" i="132"/>
  <c r="Q67" i="132"/>
  <c r="T67" i="132" s="1"/>
  <c r="H67" i="132"/>
  <c r="G67" i="132"/>
  <c r="F67" i="132"/>
  <c r="E67" i="132"/>
  <c r="D67" i="132"/>
  <c r="AF66" i="132"/>
  <c r="AE66" i="132"/>
  <c r="AD66" i="132"/>
  <c r="AC66" i="132"/>
  <c r="AB66" i="132"/>
  <c r="AA66" i="132"/>
  <c r="Z66" i="132"/>
  <c r="Y66" i="132"/>
  <c r="X66" i="132"/>
  <c r="W66" i="132"/>
  <c r="V66" i="132"/>
  <c r="U66" i="132"/>
  <c r="Q66" i="132"/>
  <c r="T66" i="132" s="1"/>
  <c r="M66" i="132"/>
  <c r="J66" i="132"/>
  <c r="I66" i="132"/>
  <c r="AA65" i="132"/>
  <c r="Z65" i="132"/>
  <c r="Y65" i="132"/>
  <c r="V65" i="132"/>
  <c r="W65" i="132" s="1"/>
  <c r="Q65" i="132"/>
  <c r="T65" i="132" s="1"/>
  <c r="J65" i="132"/>
  <c r="I65" i="132"/>
  <c r="Q64" i="132"/>
  <c r="T64" i="132" s="1"/>
  <c r="J64" i="132"/>
  <c r="I64" i="132"/>
  <c r="Q63" i="132"/>
  <c r="T63" i="132" s="1"/>
  <c r="J63" i="132"/>
  <c r="I63" i="132"/>
  <c r="Q62" i="132"/>
  <c r="T62" i="132" s="1"/>
  <c r="H62" i="132"/>
  <c r="G62" i="132"/>
  <c r="F62" i="132"/>
  <c r="E62" i="132"/>
  <c r="D62" i="132"/>
  <c r="AF61" i="132"/>
  <c r="AE61" i="132"/>
  <c r="AD61" i="132"/>
  <c r="AC61" i="132"/>
  <c r="AB61" i="132"/>
  <c r="AA61" i="132"/>
  <c r="Z61" i="132"/>
  <c r="Y61" i="132"/>
  <c r="X61" i="132"/>
  <c r="W61" i="132"/>
  <c r="V61" i="132"/>
  <c r="U61" i="132"/>
  <c r="Q61" i="132"/>
  <c r="T61" i="132" s="1"/>
  <c r="M61" i="132"/>
  <c r="K61" i="132"/>
  <c r="J61" i="132"/>
  <c r="I61" i="132"/>
  <c r="Q60" i="132"/>
  <c r="J60" i="132"/>
  <c r="I60" i="132"/>
  <c r="Q59" i="132"/>
  <c r="T59" i="132" s="1"/>
  <c r="J59" i="132"/>
  <c r="I59" i="132"/>
  <c r="Q58" i="132"/>
  <c r="T58" i="132" s="1"/>
  <c r="H58" i="132"/>
  <c r="G58" i="132"/>
  <c r="F58" i="132"/>
  <c r="E58" i="132"/>
  <c r="D58" i="132"/>
  <c r="AF57" i="132"/>
  <c r="AE57" i="132"/>
  <c r="AD57" i="132"/>
  <c r="AC57" i="132"/>
  <c r="AB57" i="132"/>
  <c r="AA57" i="132"/>
  <c r="Z57" i="132"/>
  <c r="Y57" i="132"/>
  <c r="X57" i="132"/>
  <c r="W57" i="132"/>
  <c r="V57" i="132"/>
  <c r="U57" i="132"/>
  <c r="Q57" i="132"/>
  <c r="T57" i="132" s="1"/>
  <c r="M57" i="132"/>
  <c r="K57" i="132"/>
  <c r="J57" i="132"/>
  <c r="I57" i="132"/>
  <c r="V56" i="132"/>
  <c r="W56" i="132" s="1"/>
  <c r="X56" i="132" s="1"/>
  <c r="Q56" i="132"/>
  <c r="T56" i="132" s="1"/>
  <c r="J56" i="132"/>
  <c r="I56" i="132"/>
  <c r="V55" i="132"/>
  <c r="W55" i="132" s="1"/>
  <c r="X55" i="132" s="1"/>
  <c r="Q55" i="132"/>
  <c r="T55" i="132" s="1"/>
  <c r="J55" i="132"/>
  <c r="I55" i="132"/>
  <c r="Q54" i="132"/>
  <c r="T54" i="132" s="1"/>
  <c r="J54" i="132"/>
  <c r="I54" i="132"/>
  <c r="Q53" i="132"/>
  <c r="T53" i="132" s="1"/>
  <c r="J53" i="132"/>
  <c r="I53" i="132"/>
  <c r="Q52" i="132"/>
  <c r="T52" i="132" s="1"/>
  <c r="J52" i="132"/>
  <c r="I52" i="132"/>
  <c r="Q51" i="132"/>
  <c r="T51" i="132" s="1"/>
  <c r="J51" i="132"/>
  <c r="I51" i="132"/>
  <c r="Q50" i="132"/>
  <c r="T50" i="132" s="1"/>
  <c r="J50" i="132"/>
  <c r="I50" i="132"/>
  <c r="Q49" i="132"/>
  <c r="T49" i="132" s="1"/>
  <c r="J49" i="132"/>
  <c r="I49" i="132"/>
  <c r="Q48" i="132"/>
  <c r="T48" i="132" s="1"/>
  <c r="H48" i="132"/>
  <c r="G48" i="132"/>
  <c r="F48" i="132"/>
  <c r="E48" i="132"/>
  <c r="D48" i="132"/>
  <c r="AF47" i="132"/>
  <c r="AE47" i="132"/>
  <c r="AD47" i="132"/>
  <c r="AC47" i="132"/>
  <c r="AB47" i="132"/>
  <c r="AA47" i="132"/>
  <c r="Z47" i="132"/>
  <c r="Y47" i="132"/>
  <c r="X47" i="132"/>
  <c r="W47" i="132"/>
  <c r="V47" i="132"/>
  <c r="U47" i="132"/>
  <c r="Q47" i="132"/>
  <c r="T47" i="132" s="1"/>
  <c r="M47" i="132"/>
  <c r="M145" i="132" s="1"/>
  <c r="K47" i="132"/>
  <c r="J47" i="132"/>
  <c r="I47" i="132"/>
  <c r="AA46" i="132"/>
  <c r="Z46" i="132"/>
  <c r="Y46" i="132"/>
  <c r="V46" i="132"/>
  <c r="W46" i="132" s="1"/>
  <c r="Q46" i="132"/>
  <c r="T46" i="132" s="1"/>
  <c r="J46" i="132"/>
  <c r="I46" i="132"/>
  <c r="Q45" i="132"/>
  <c r="T45" i="132" s="1"/>
  <c r="J45" i="132"/>
  <c r="I45" i="132"/>
  <c r="Q44" i="132"/>
  <c r="T44" i="132" s="1"/>
  <c r="J44" i="132"/>
  <c r="I44" i="132"/>
  <c r="Q43" i="132"/>
  <c r="T43" i="132" s="1"/>
  <c r="J43" i="132"/>
  <c r="I43" i="132"/>
  <c r="Q42" i="132"/>
  <c r="T42" i="132" s="1"/>
  <c r="J42" i="132"/>
  <c r="I42" i="132"/>
  <c r="Q41" i="132"/>
  <c r="T41" i="132" s="1"/>
  <c r="J41" i="132"/>
  <c r="I41" i="132"/>
  <c r="Q40" i="132"/>
  <c r="T40" i="132" s="1"/>
  <c r="H40" i="132"/>
  <c r="G40" i="132"/>
  <c r="F40" i="132"/>
  <c r="E40" i="132"/>
  <c r="D40" i="132"/>
  <c r="AF39" i="132"/>
  <c r="AE39" i="132"/>
  <c r="AD39" i="132"/>
  <c r="AC39" i="132"/>
  <c r="AB39" i="132"/>
  <c r="AA39" i="132"/>
  <c r="Z39" i="132"/>
  <c r="Y39" i="132"/>
  <c r="X39" i="132"/>
  <c r="W39" i="132"/>
  <c r="V39" i="132"/>
  <c r="U39" i="132"/>
  <c r="O39" i="132"/>
  <c r="Q39" i="132" s="1"/>
  <c r="T39" i="132" s="1"/>
  <c r="J39" i="132"/>
  <c r="I39" i="132"/>
  <c r="Q38" i="132"/>
  <c r="T38" i="132" s="1"/>
  <c r="J38" i="132"/>
  <c r="I38" i="132"/>
  <c r="Q37" i="132"/>
  <c r="T37" i="132" s="1"/>
  <c r="J37" i="132"/>
  <c r="I37" i="132"/>
  <c r="Q36" i="132"/>
  <c r="T36" i="132" s="1"/>
  <c r="J36" i="132"/>
  <c r="I36" i="132"/>
  <c r="Q35" i="132"/>
  <c r="T35" i="132" s="1"/>
  <c r="J35" i="132"/>
  <c r="I35" i="132"/>
  <c r="Q34" i="132"/>
  <c r="T34" i="132" s="1"/>
  <c r="H34" i="132"/>
  <c r="G34" i="132"/>
  <c r="F34" i="132"/>
  <c r="E34" i="132"/>
  <c r="D34" i="132"/>
  <c r="AF33" i="132"/>
  <c r="AE33" i="132"/>
  <c r="AD33" i="132"/>
  <c r="AC33" i="132"/>
  <c r="AB33" i="132"/>
  <c r="AA33" i="132"/>
  <c r="Z33" i="132"/>
  <c r="Y33" i="132"/>
  <c r="X33" i="132"/>
  <c r="W33" i="132"/>
  <c r="V33" i="132"/>
  <c r="U33" i="132"/>
  <c r="R33" i="132"/>
  <c r="O33" i="132"/>
  <c r="J33" i="132"/>
  <c r="I33" i="132"/>
  <c r="AA32" i="132"/>
  <c r="Z32" i="132"/>
  <c r="Y32" i="132"/>
  <c r="V32" i="132"/>
  <c r="Q32" i="132"/>
  <c r="T32" i="132" s="1"/>
  <c r="J32" i="132"/>
  <c r="I32" i="132"/>
  <c r="AA31" i="132"/>
  <c r="Z31" i="132"/>
  <c r="Y31" i="132"/>
  <c r="V31" i="132"/>
  <c r="Q31" i="132"/>
  <c r="T31" i="132" s="1"/>
  <c r="J31" i="132"/>
  <c r="I31" i="132"/>
  <c r="V30" i="132"/>
  <c r="Q30" i="132"/>
  <c r="T30" i="132" s="1"/>
  <c r="J30" i="132"/>
  <c r="I30" i="132"/>
  <c r="Q29" i="132"/>
  <c r="T29" i="132" s="1"/>
  <c r="J29" i="132"/>
  <c r="I29" i="132"/>
  <c r="AA28" i="132"/>
  <c r="Z28" i="132"/>
  <c r="Y28" i="132"/>
  <c r="R28" i="132"/>
  <c r="Q28" i="132"/>
  <c r="J28" i="132"/>
  <c r="I28" i="132"/>
  <c r="V27" i="132"/>
  <c r="W27" i="132" s="1"/>
  <c r="X27" i="132" s="1"/>
  <c r="Q27" i="132"/>
  <c r="T27" i="132" s="1"/>
  <c r="J27" i="132"/>
  <c r="I27" i="132"/>
  <c r="Q26" i="132"/>
  <c r="T26" i="132" s="1"/>
  <c r="J26" i="132"/>
  <c r="I26" i="132"/>
  <c r="Q25" i="132"/>
  <c r="T25" i="132" s="1"/>
  <c r="J25" i="132"/>
  <c r="I25" i="132"/>
  <c r="AA24" i="132"/>
  <c r="Y24" i="132"/>
  <c r="Z24" i="132" s="1"/>
  <c r="U24" i="132"/>
  <c r="Q24" i="132"/>
  <c r="T24" i="132" s="1"/>
  <c r="M24" i="132"/>
  <c r="M23" i="132" s="1"/>
  <c r="M22" i="132" s="1"/>
  <c r="M21" i="132" s="1"/>
  <c r="K24" i="132"/>
  <c r="K23" i="132" s="1"/>
  <c r="K22" i="132" s="1"/>
  <c r="K21" i="132" s="1"/>
  <c r="H24" i="132"/>
  <c r="G24" i="132"/>
  <c r="F24" i="132"/>
  <c r="E24" i="132"/>
  <c r="D24" i="132"/>
  <c r="AH23" i="132"/>
  <c r="S23" i="132"/>
  <c r="S22" i="132" s="1"/>
  <c r="P23" i="132"/>
  <c r="P22" i="132" s="1"/>
  <c r="N23" i="132"/>
  <c r="N22" i="132" s="1"/>
  <c r="N21" i="132" s="1"/>
  <c r="L23" i="132"/>
  <c r="L22" i="132" s="1"/>
  <c r="L21" i="132" s="1"/>
  <c r="Q19" i="132"/>
  <c r="T19" i="132" s="1"/>
  <c r="I19" i="132"/>
  <c r="AA18" i="132"/>
  <c r="Z18" i="132"/>
  <c r="Y18" i="132"/>
  <c r="Q18" i="132"/>
  <c r="T18" i="132" s="1"/>
  <c r="J18" i="132"/>
  <c r="I18" i="132"/>
  <c r="Q17" i="132"/>
  <c r="T17" i="132" s="1"/>
  <c r="I17" i="132"/>
  <c r="AA16" i="132"/>
  <c r="Z16" i="132"/>
  <c r="Y16" i="132"/>
  <c r="V16" i="132"/>
  <c r="V15" i="132" s="1"/>
  <c r="V14" i="132" s="1"/>
  <c r="V13" i="132" s="1"/>
  <c r="Q16" i="132"/>
  <c r="T16" i="132" s="1"/>
  <c r="J16" i="132"/>
  <c r="I16" i="132"/>
  <c r="AF15" i="132"/>
  <c r="AF14" i="132" s="1"/>
  <c r="AF13" i="132" s="1"/>
  <c r="AE15" i="132"/>
  <c r="AE14" i="132" s="1"/>
  <c r="AE13" i="132" s="1"/>
  <c r="AD15" i="132"/>
  <c r="AD14" i="132" s="1"/>
  <c r="AD13" i="132" s="1"/>
  <c r="AC15" i="132"/>
  <c r="AC14" i="132" s="1"/>
  <c r="AC13" i="132" s="1"/>
  <c r="AB15" i="132"/>
  <c r="AB14" i="132" s="1"/>
  <c r="AB13" i="132" s="1"/>
  <c r="X15" i="132"/>
  <c r="X14" i="132" s="1"/>
  <c r="X13" i="132" s="1"/>
  <c r="W15" i="132"/>
  <c r="W14" i="132" s="1"/>
  <c r="W13" i="132" s="1"/>
  <c r="U15" i="132"/>
  <c r="U14" i="132" s="1"/>
  <c r="U13" i="132" s="1"/>
  <c r="S15" i="132"/>
  <c r="S14" i="132" s="1"/>
  <c r="S13" i="132" s="1"/>
  <c r="R15" i="132"/>
  <c r="R14" i="132" s="1"/>
  <c r="R13" i="132" s="1"/>
  <c r="P15" i="132"/>
  <c r="P14" i="132" s="1"/>
  <c r="P13" i="132" s="1"/>
  <c r="O15" i="132"/>
  <c r="N15" i="132"/>
  <c r="N14" i="132" s="1"/>
  <c r="N13" i="132" s="1"/>
  <c r="M15" i="132"/>
  <c r="M14" i="132" s="1"/>
  <c r="M13" i="132" s="1"/>
  <c r="L15" i="132"/>
  <c r="L14" i="132" s="1"/>
  <c r="L13" i="132" s="1"/>
  <c r="K15" i="132"/>
  <c r="K14" i="132" s="1"/>
  <c r="K13" i="132" s="1"/>
  <c r="H15" i="132"/>
  <c r="H14" i="132" s="1"/>
  <c r="H13" i="132" s="1"/>
  <c r="G15" i="132"/>
  <c r="F15" i="132"/>
  <c r="F14" i="132" s="1"/>
  <c r="F13" i="132" s="1"/>
  <c r="E15" i="132"/>
  <c r="D15" i="132"/>
  <c r="D14" i="132" s="1"/>
  <c r="D13" i="132" s="1"/>
  <c r="AA12" i="132"/>
  <c r="AA11" i="132" s="1"/>
  <c r="AA10" i="132" s="1"/>
  <c r="AA9" i="132" s="1"/>
  <c r="Y12" i="132"/>
  <c r="Y11" i="132" s="1"/>
  <c r="Y10" i="132" s="1"/>
  <c r="Y9" i="132" s="1"/>
  <c r="V12" i="132"/>
  <c r="V11" i="132" s="1"/>
  <c r="V10" i="132" s="1"/>
  <c r="V9" i="132" s="1"/>
  <c r="Q12" i="132"/>
  <c r="T12" i="132" s="1"/>
  <c r="J12" i="132"/>
  <c r="I12" i="132"/>
  <c r="AF11" i="132"/>
  <c r="AF10" i="132" s="1"/>
  <c r="AF9" i="132" s="1"/>
  <c r="AE11" i="132"/>
  <c r="AE10" i="132" s="1"/>
  <c r="AE9" i="132" s="1"/>
  <c r="AD11" i="132"/>
  <c r="AD10" i="132" s="1"/>
  <c r="AD9" i="132" s="1"/>
  <c r="AC11" i="132"/>
  <c r="AC10" i="132" s="1"/>
  <c r="AC9" i="132" s="1"/>
  <c r="AB11" i="132"/>
  <c r="AB10" i="132" s="1"/>
  <c r="AB9" i="132" s="1"/>
  <c r="Z11" i="132"/>
  <c r="Z10" i="132" s="1"/>
  <c r="Z9" i="132" s="1"/>
  <c r="X11" i="132"/>
  <c r="X10" i="132" s="1"/>
  <c r="X9" i="132" s="1"/>
  <c r="W11" i="132"/>
  <c r="W10" i="132" s="1"/>
  <c r="W9" i="132" s="1"/>
  <c r="U11" i="132"/>
  <c r="U10" i="132" s="1"/>
  <c r="U9" i="132" s="1"/>
  <c r="S11" i="132"/>
  <c r="S10" i="132" s="1"/>
  <c r="S9" i="132" s="1"/>
  <c r="R11" i="132"/>
  <c r="R10" i="132" s="1"/>
  <c r="R9" i="132" s="1"/>
  <c r="P11" i="132"/>
  <c r="P10" i="132" s="1"/>
  <c r="P9" i="132" s="1"/>
  <c r="O11" i="132"/>
  <c r="O10" i="132" s="1"/>
  <c r="N11" i="132"/>
  <c r="N10" i="132" s="1"/>
  <c r="N9" i="132" s="1"/>
  <c r="M11" i="132"/>
  <c r="M10" i="132" s="1"/>
  <c r="M9" i="132" s="1"/>
  <c r="L11" i="132"/>
  <c r="L10" i="132" s="1"/>
  <c r="L9" i="132" s="1"/>
  <c r="K11" i="132"/>
  <c r="K10" i="132" s="1"/>
  <c r="K9" i="132" s="1"/>
  <c r="H11" i="132"/>
  <c r="H10" i="132" s="1"/>
  <c r="H9" i="132" s="1"/>
  <c r="G11" i="132"/>
  <c r="G10" i="132" s="1"/>
  <c r="F11" i="132"/>
  <c r="F10" i="132" s="1"/>
  <c r="F9" i="132" s="1"/>
  <c r="E11" i="132"/>
  <c r="E10" i="132" s="1"/>
  <c r="E9" i="132" s="1"/>
  <c r="D11" i="132"/>
  <c r="D10" i="132" s="1"/>
  <c r="D9" i="132" s="1"/>
  <c r="V465" i="132" l="1"/>
  <c r="J244" i="132"/>
  <c r="T336" i="132"/>
  <c r="T478" i="132"/>
  <c r="P940" i="132"/>
  <c r="R940" i="132"/>
  <c r="T394" i="132"/>
  <c r="Y937" i="132"/>
  <c r="AE74" i="132"/>
  <c r="AE195" i="132"/>
  <c r="G320" i="132"/>
  <c r="E465" i="132"/>
  <c r="Q173" i="132"/>
  <c r="F889" i="132"/>
  <c r="F888" i="132" s="1"/>
  <c r="F214" i="131"/>
  <c r="Q930" i="132"/>
  <c r="AA128" i="132"/>
  <c r="AF463" i="132"/>
  <c r="D114" i="132"/>
  <c r="AB113" i="132"/>
  <c r="AB133" i="132"/>
  <c r="AB132" i="132" s="1"/>
  <c r="AF133" i="132"/>
  <c r="AF132" i="132" s="1"/>
  <c r="F586" i="132"/>
  <c r="J215" i="132"/>
  <c r="R75" i="132"/>
  <c r="U113" i="132"/>
  <c r="U87" i="132" s="1"/>
  <c r="I129" i="132"/>
  <c r="G395" i="132"/>
  <c r="AG396" i="132" s="1"/>
  <c r="D136" i="132"/>
  <c r="D135" i="132" s="1"/>
  <c r="AF195" i="132"/>
  <c r="H8" i="132"/>
  <c r="Y128" i="132"/>
  <c r="G436" i="132"/>
  <c r="G586" i="132"/>
  <c r="J586" i="132" s="1"/>
  <c r="AF8" i="132"/>
  <c r="W195" i="132"/>
  <c r="L195" i="132"/>
  <c r="T291" i="132"/>
  <c r="F916" i="132"/>
  <c r="S195" i="132"/>
  <c r="D436" i="132"/>
  <c r="J717" i="132"/>
  <c r="F954" i="132"/>
  <c r="T229" i="132"/>
  <c r="N169" i="132"/>
  <c r="N168" i="132" s="1"/>
  <c r="N167" i="132" s="1"/>
  <c r="T196" i="132"/>
  <c r="AC195" i="132"/>
  <c r="AC194" i="132" s="1"/>
  <c r="AC193" i="132" s="1"/>
  <c r="I24" i="132"/>
  <c r="I34" i="132"/>
  <c r="M916" i="132"/>
  <c r="M915" i="132" s="1"/>
  <c r="M914" i="132" s="1"/>
  <c r="M913" i="132" s="1"/>
  <c r="M888" i="132" s="1"/>
  <c r="M734" i="132" s="1"/>
  <c r="M732" i="132" s="1"/>
  <c r="M731" i="132" s="1"/>
  <c r="M730" i="132" s="1"/>
  <c r="Q932" i="132"/>
  <c r="Q952" i="132"/>
  <c r="T949" i="132" s="1"/>
  <c r="AB74" i="132"/>
  <c r="P114" i="132"/>
  <c r="AB937" i="132"/>
  <c r="F199" i="131"/>
  <c r="F40" i="131"/>
  <c r="E213" i="131"/>
  <c r="F211" i="131"/>
  <c r="F8" i="131"/>
  <c r="F58" i="131"/>
  <c r="E88" i="131"/>
  <c r="F226" i="131"/>
  <c r="F44" i="131"/>
  <c r="F139" i="131"/>
  <c r="F102" i="131"/>
  <c r="E120" i="131"/>
  <c r="E104" i="131"/>
  <c r="E137" i="131"/>
  <c r="E156" i="131"/>
  <c r="F209" i="131"/>
  <c r="F170" i="131"/>
  <c r="F152" i="131"/>
  <c r="F24" i="131"/>
  <c r="G12" i="152"/>
  <c r="E20" i="152"/>
  <c r="E10" i="152"/>
  <c r="C22" i="152"/>
  <c r="F17" i="152"/>
  <c r="F16" i="152" s="1"/>
  <c r="G16" i="152" s="1"/>
  <c r="F21" i="152"/>
  <c r="F20" i="152" s="1"/>
  <c r="AE8" i="132"/>
  <c r="J58" i="132"/>
  <c r="J34" i="132"/>
  <c r="N916" i="132"/>
  <c r="N915" i="132" s="1"/>
  <c r="N914" i="132" s="1"/>
  <c r="N913" i="132" s="1"/>
  <c r="Q923" i="132"/>
  <c r="Q941" i="132"/>
  <c r="T938" i="132" s="1"/>
  <c r="T214" i="132"/>
  <c r="I408" i="132"/>
  <c r="P916" i="132"/>
  <c r="P915" i="132" s="1"/>
  <c r="P914" i="132" s="1"/>
  <c r="P913" i="132" s="1"/>
  <c r="P912" i="132" s="1"/>
  <c r="Z937" i="132"/>
  <c r="Z914" i="132" s="1"/>
  <c r="Z913" i="132" s="1"/>
  <c r="AA937" i="132"/>
  <c r="AA914" i="132" s="1"/>
  <c r="T586" i="132"/>
  <c r="AE172" i="132"/>
  <c r="AE168" i="132" s="1"/>
  <c r="AE167" i="132" s="1"/>
  <c r="J222" i="132"/>
  <c r="T28" i="132"/>
  <c r="G278" i="132"/>
  <c r="I278" i="132" s="1"/>
  <c r="J24" i="132"/>
  <c r="V142" i="132"/>
  <c r="V133" i="132" s="1"/>
  <c r="V132" i="132" s="1"/>
  <c r="G673" i="132"/>
  <c r="F915" i="132"/>
  <c r="I923" i="132"/>
  <c r="H75" i="132"/>
  <c r="N87" i="132"/>
  <c r="N75" i="132" s="1"/>
  <c r="E143" i="132"/>
  <c r="J84" i="132"/>
  <c r="K916" i="132"/>
  <c r="K915" i="132" s="1"/>
  <c r="K914" i="132" s="1"/>
  <c r="K913" i="132" s="1"/>
  <c r="AC74" i="132"/>
  <c r="V89" i="132"/>
  <c r="V88" i="132" s="1"/>
  <c r="AD133" i="132"/>
  <c r="AD132" i="132" s="1"/>
  <c r="R229" i="132"/>
  <c r="J437" i="132"/>
  <c r="D125" i="131"/>
  <c r="P8" i="132"/>
  <c r="W92" i="132"/>
  <c r="W89" i="132" s="1"/>
  <c r="W88" i="132" s="1"/>
  <c r="J720" i="132"/>
  <c r="D144" i="131"/>
  <c r="I379" i="132"/>
  <c r="I635" i="132"/>
  <c r="V75" i="132"/>
  <c r="V74" i="132" s="1"/>
  <c r="J129" i="132"/>
  <c r="L169" i="132"/>
  <c r="L168" i="132" s="1"/>
  <c r="L167" i="132" s="1"/>
  <c r="J183" i="132"/>
  <c r="J390" i="132"/>
  <c r="AD734" i="132"/>
  <c r="AD732" i="132" s="1"/>
  <c r="AC133" i="132"/>
  <c r="AC132" i="132" s="1"/>
  <c r="AF194" i="132"/>
  <c r="AF193" i="132" s="1"/>
  <c r="J933" i="132"/>
  <c r="I419" i="132"/>
  <c r="G23" i="132"/>
  <c r="G22" i="132" s="1"/>
  <c r="J15" i="132"/>
  <c r="J48" i="132"/>
  <c r="R114" i="132"/>
  <c r="R88" i="132" s="1"/>
  <c r="F143" i="132"/>
  <c r="F134" i="132" s="1"/>
  <c r="F133" i="132" s="1"/>
  <c r="O169" i="132"/>
  <c r="O168" i="132" s="1"/>
  <c r="AE194" i="132"/>
  <c r="AE193" i="132" s="1"/>
  <c r="N195" i="132"/>
  <c r="N194" i="132" s="1"/>
  <c r="J365" i="132"/>
  <c r="D466" i="132"/>
  <c r="V128" i="132"/>
  <c r="I144" i="132"/>
  <c r="I291" i="132"/>
  <c r="R336" i="132"/>
  <c r="R476" i="132"/>
  <c r="J688" i="132"/>
  <c r="D941" i="132"/>
  <c r="I938" i="132"/>
  <c r="Z15" i="132"/>
  <c r="Z14" i="132" s="1"/>
  <c r="Z13" i="132" s="1"/>
  <c r="Z8" i="132" s="1"/>
  <c r="X195" i="132"/>
  <c r="F206" i="131"/>
  <c r="F205" i="131" s="1"/>
  <c r="AF462" i="132"/>
  <c r="K8" i="132"/>
  <c r="U74" i="132"/>
  <c r="I230" i="132"/>
  <c r="J40" i="132"/>
  <c r="S169" i="132"/>
  <c r="S168" i="132" s="1"/>
  <c r="T364" i="132"/>
  <c r="Q476" i="132"/>
  <c r="G889" i="132"/>
  <c r="J889" i="132" s="1"/>
  <c r="D29" i="131"/>
  <c r="D217" i="131"/>
  <c r="D109" i="131"/>
  <c r="D175" i="131"/>
  <c r="G15" i="152"/>
  <c r="F7" i="152"/>
  <c r="G7" i="152" s="1"/>
  <c r="F137" i="131"/>
  <c r="F72" i="131"/>
  <c r="F151" i="131"/>
  <c r="E86" i="131"/>
  <c r="F104" i="131"/>
  <c r="F56" i="131"/>
  <c r="F156" i="131"/>
  <c r="G6" i="152"/>
  <c r="F5" i="152"/>
  <c r="G5" i="152" s="1"/>
  <c r="F11" i="152"/>
  <c r="F6" i="131"/>
  <c r="F38" i="131"/>
  <c r="F22" i="131"/>
  <c r="F19" i="152"/>
  <c r="F134" i="131"/>
  <c r="E72" i="131"/>
  <c r="F86" i="131"/>
  <c r="F201" i="131"/>
  <c r="B9" i="152"/>
  <c r="F153" i="131"/>
  <c r="G153" i="131" s="1"/>
  <c r="J645" i="132"/>
  <c r="I645" i="132"/>
  <c r="I651" i="132"/>
  <c r="J651" i="132"/>
  <c r="I135" i="132"/>
  <c r="N8" i="132"/>
  <c r="AE113" i="132"/>
  <c r="AE87" i="132" s="1"/>
  <c r="U8" i="132"/>
  <c r="I48" i="132"/>
  <c r="J67" i="132"/>
  <c r="Y195" i="132"/>
  <c r="D196" i="132"/>
  <c r="L194" i="132"/>
  <c r="J332" i="132"/>
  <c r="I333" i="132"/>
  <c r="I390" i="132"/>
  <c r="J431" i="132"/>
  <c r="R466" i="132"/>
  <c r="G919" i="132"/>
  <c r="J934" i="132"/>
  <c r="W8" i="132"/>
  <c r="R23" i="132"/>
  <c r="R22" i="132" s="1"/>
  <c r="R21" i="132" s="1"/>
  <c r="AB23" i="132"/>
  <c r="AB22" i="132" s="1"/>
  <c r="AB21" i="132" s="1"/>
  <c r="I40" i="132"/>
  <c r="E114" i="132"/>
  <c r="E88" i="132" s="1"/>
  <c r="AF113" i="132"/>
  <c r="AF87" i="132" s="1"/>
  <c r="I136" i="132"/>
  <c r="AD168" i="132"/>
  <c r="AD167" i="132" s="1"/>
  <c r="K169" i="132"/>
  <c r="K168" i="132" s="1"/>
  <c r="K167" i="132" s="1"/>
  <c r="I179" i="132"/>
  <c r="J408" i="132"/>
  <c r="T436" i="132"/>
  <c r="Q466" i="132"/>
  <c r="I480" i="132"/>
  <c r="I593" i="132"/>
  <c r="H916" i="132"/>
  <c r="H915" i="132" s="1"/>
  <c r="H914" i="132" s="1"/>
  <c r="E932" i="132"/>
  <c r="J932" i="132" s="1"/>
  <c r="D8" i="132"/>
  <c r="AF23" i="132"/>
  <c r="AF22" i="132" s="1"/>
  <c r="S114" i="132"/>
  <c r="Q135" i="132"/>
  <c r="T134" i="132" s="1"/>
  <c r="I183" i="132"/>
  <c r="J317" i="132"/>
  <c r="Y335" i="132"/>
  <c r="F436" i="132"/>
  <c r="I717" i="132"/>
  <c r="O919" i="132"/>
  <c r="O916" i="132" s="1"/>
  <c r="O940" i="132"/>
  <c r="Q940" i="132" s="1"/>
  <c r="J942" i="132"/>
  <c r="D954" i="132"/>
  <c r="H954" i="132"/>
  <c r="AD74" i="132"/>
  <c r="Z75" i="132"/>
  <c r="Z74" i="132" s="1"/>
  <c r="E173" i="132"/>
  <c r="E169" i="132" s="1"/>
  <c r="E168" i="132" s="1"/>
  <c r="P195" i="132"/>
  <c r="P194" i="132" s="1"/>
  <c r="T210" i="132"/>
  <c r="I244" i="132"/>
  <c r="J423" i="132"/>
  <c r="T476" i="132"/>
  <c r="P464" i="132"/>
  <c r="P463" i="132" s="1"/>
  <c r="T481" i="132"/>
  <c r="I720" i="132"/>
  <c r="L916" i="132"/>
  <c r="L915" i="132" s="1"/>
  <c r="I930" i="132"/>
  <c r="I932" i="132"/>
  <c r="Q937" i="132"/>
  <c r="T934" i="132" s="1"/>
  <c r="J955" i="132"/>
  <c r="F173" i="132"/>
  <c r="F169" i="132" s="1"/>
  <c r="F168" i="132" s="1"/>
  <c r="Z335" i="132"/>
  <c r="S464" i="132"/>
  <c r="S463" i="132" s="1"/>
  <c r="AA888" i="132"/>
  <c r="S916" i="132"/>
  <c r="S915" i="132" s="1"/>
  <c r="S914" i="132" s="1"/>
  <c r="L8" i="132"/>
  <c r="S194" i="132"/>
  <c r="J89" i="132"/>
  <c r="S134" i="132"/>
  <c r="S133" i="132" s="1"/>
  <c r="G143" i="132"/>
  <c r="J143" i="132" s="1"/>
  <c r="AF172" i="132"/>
  <c r="AF168" i="132" s="1"/>
  <c r="AF167" i="132" s="1"/>
  <c r="T277" i="132"/>
  <c r="J333" i="132"/>
  <c r="V435" i="132"/>
  <c r="T468" i="132"/>
  <c r="I476" i="132"/>
  <c r="D916" i="132"/>
  <c r="D915" i="132" s="1"/>
  <c r="I955" i="132"/>
  <c r="J62" i="132"/>
  <c r="J144" i="132"/>
  <c r="AD195" i="132"/>
  <c r="AD194" i="132" s="1"/>
  <c r="AD193" i="132" s="1"/>
  <c r="G414" i="132"/>
  <c r="H436" i="132"/>
  <c r="I436" i="132" s="1"/>
  <c r="T920" i="132"/>
  <c r="Y27" i="132"/>
  <c r="Z27" i="132" s="1"/>
  <c r="AA27" i="132"/>
  <c r="V8" i="132"/>
  <c r="AB463" i="132"/>
  <c r="AB462" i="132" s="1"/>
  <c r="AB464" i="132"/>
  <c r="I15" i="132"/>
  <c r="H23" i="132"/>
  <c r="H22" i="132" s="1"/>
  <c r="H21" i="132" s="1"/>
  <c r="M142" i="132"/>
  <c r="U172" i="132"/>
  <c r="U168" i="132" s="1"/>
  <c r="U167" i="132" s="1"/>
  <c r="D173" i="132"/>
  <c r="D169" i="132" s="1"/>
  <c r="D168" i="132" s="1"/>
  <c r="I293" i="132"/>
  <c r="AE464" i="132"/>
  <c r="AE463" i="132"/>
  <c r="AE462" i="132" s="1"/>
  <c r="Q15" i="132"/>
  <c r="T15" i="132" s="1"/>
  <c r="O14" i="132"/>
  <c r="P88" i="132"/>
  <c r="Y15" i="132"/>
  <c r="Y14" i="132" s="1"/>
  <c r="Y13" i="132" s="1"/>
  <c r="U23" i="132"/>
  <c r="U22" i="132" s="1"/>
  <c r="U21" i="132" s="1"/>
  <c r="J107" i="132"/>
  <c r="Y142" i="132"/>
  <c r="Y133" i="132" s="1"/>
  <c r="Y132" i="132" s="1"/>
  <c r="E14" i="132"/>
  <c r="AD8" i="132"/>
  <c r="Q33" i="132"/>
  <c r="T33" i="132" s="1"/>
  <c r="O23" i="132"/>
  <c r="O22" i="132" s="1"/>
  <c r="X8" i="132"/>
  <c r="G14" i="132"/>
  <c r="G13" i="132" s="1"/>
  <c r="I13" i="132" s="1"/>
  <c r="I67" i="132"/>
  <c r="O75" i="132"/>
  <c r="AD113" i="132"/>
  <c r="AD87" i="132" s="1"/>
  <c r="Z142" i="132"/>
  <c r="Z133" i="132" s="1"/>
  <c r="Z132" i="132" s="1"/>
  <c r="D229" i="132"/>
  <c r="J946" i="132"/>
  <c r="E941" i="132"/>
  <c r="Q84" i="132"/>
  <c r="T83" i="132" s="1"/>
  <c r="AA89" i="132"/>
  <c r="AA88" i="132" s="1"/>
  <c r="E196" i="132"/>
  <c r="W228" i="132"/>
  <c r="X318" i="132"/>
  <c r="AA318" i="132" s="1"/>
  <c r="E23" i="132"/>
  <c r="E22" i="132" s="1"/>
  <c r="J22" i="132" s="1"/>
  <c r="AD23" i="132"/>
  <c r="AD22" i="132" s="1"/>
  <c r="W74" i="132"/>
  <c r="L87" i="132"/>
  <c r="L75" i="132" s="1"/>
  <c r="Q196" i="132"/>
  <c r="T195" i="132" s="1"/>
  <c r="I197" i="132"/>
  <c r="J278" i="132"/>
  <c r="S75" i="132"/>
  <c r="S21" i="132" s="1"/>
  <c r="Q115" i="132"/>
  <c r="T114" i="132" s="1"/>
  <c r="AA299" i="132"/>
  <c r="Z299" i="132"/>
  <c r="AA15" i="132"/>
  <c r="AA14" i="132" s="1"/>
  <c r="AA13" i="132" s="1"/>
  <c r="AA8" i="132" s="1"/>
  <c r="AE23" i="132"/>
  <c r="AE22" i="132" s="1"/>
  <c r="AE21" i="132" s="1"/>
  <c r="I62" i="132"/>
  <c r="I107" i="132"/>
  <c r="T129" i="132"/>
  <c r="X133" i="132"/>
  <c r="X132" i="132" s="1"/>
  <c r="J135" i="132"/>
  <c r="J148" i="132"/>
  <c r="I174" i="132"/>
  <c r="U195" i="132"/>
  <c r="I222" i="132"/>
  <c r="O336" i="132"/>
  <c r="Q336" i="132" s="1"/>
  <c r="I337" i="132"/>
  <c r="E464" i="132"/>
  <c r="E463" i="132" s="1"/>
  <c r="T466" i="132"/>
  <c r="Q732" i="132"/>
  <c r="T731" i="132" s="1"/>
  <c r="O731" i="132"/>
  <c r="O730" i="132" s="1"/>
  <c r="Q730" i="132" s="1"/>
  <c r="T729" i="132" s="1"/>
  <c r="F941" i="132"/>
  <c r="D143" i="132"/>
  <c r="D134" i="132" s="1"/>
  <c r="D133" i="132" s="1"/>
  <c r="V195" i="132"/>
  <c r="AB195" i="132"/>
  <c r="AB194" i="132" s="1"/>
  <c r="AB193" i="132" s="1"/>
  <c r="H196" i="132"/>
  <c r="U435" i="132"/>
  <c r="D465" i="132"/>
  <c r="X474" i="132"/>
  <c r="Z474" i="132" s="1"/>
  <c r="Z465" i="132" s="1"/>
  <c r="W465" i="132"/>
  <c r="F733" i="132"/>
  <c r="I148" i="132"/>
  <c r="H173" i="132"/>
  <c r="H169" i="132" s="1"/>
  <c r="H168" i="132" s="1"/>
  <c r="Q189" i="132"/>
  <c r="T188" i="132" s="1"/>
  <c r="H229" i="132"/>
  <c r="F229" i="132"/>
  <c r="F195" i="132" s="1"/>
  <c r="R412" i="132"/>
  <c r="L411" i="132"/>
  <c r="Z411" i="132"/>
  <c r="I427" i="132"/>
  <c r="AG428" i="132"/>
  <c r="S465" i="132"/>
  <c r="F465" i="132"/>
  <c r="F464" i="132"/>
  <c r="R480" i="132"/>
  <c r="T482" i="132"/>
  <c r="Q917" i="132"/>
  <c r="R134" i="132"/>
  <c r="R133" i="132" s="1"/>
  <c r="T172" i="132"/>
  <c r="Y411" i="132"/>
  <c r="AA435" i="132"/>
  <c r="D464" i="132"/>
  <c r="D463" i="132" s="1"/>
  <c r="D914" i="132"/>
  <c r="S88" i="132"/>
  <c r="Y89" i="132"/>
  <c r="Y88" i="132" s="1"/>
  <c r="F114" i="132"/>
  <c r="F88" i="132" s="1"/>
  <c r="Z128" i="132"/>
  <c r="AA142" i="132"/>
  <c r="AA133" i="132" s="1"/>
  <c r="AA132" i="132" s="1"/>
  <c r="P169" i="132"/>
  <c r="P168" i="132" s="1"/>
  <c r="I214" i="132"/>
  <c r="AG245" i="132"/>
  <c r="E336" i="132"/>
  <c r="E414" i="132"/>
  <c r="J476" i="132"/>
  <c r="W720" i="132"/>
  <c r="W719" i="132" s="1"/>
  <c r="V719" i="132"/>
  <c r="G916" i="132"/>
  <c r="J917" i="132"/>
  <c r="I917" i="132"/>
  <c r="J923" i="132"/>
  <c r="E919" i="132"/>
  <c r="AE937" i="132"/>
  <c r="AE914" i="132" s="1"/>
  <c r="F8" i="132"/>
  <c r="D23" i="132"/>
  <c r="D22" i="132" s="1"/>
  <c r="Y75" i="132"/>
  <c r="Y74" i="132" s="1"/>
  <c r="F75" i="132"/>
  <c r="D75" i="132"/>
  <c r="Z89" i="132"/>
  <c r="Z88" i="132" s="1"/>
  <c r="AC113" i="132"/>
  <c r="AC87" i="132" s="1"/>
  <c r="H114" i="132"/>
  <c r="H88" i="132" s="1"/>
  <c r="J136" i="132"/>
  <c r="W142" i="132"/>
  <c r="W133" i="132" s="1"/>
  <c r="W132" i="132" s="1"/>
  <c r="H143" i="132"/>
  <c r="H134" i="132" s="1"/>
  <c r="H133" i="132" s="1"/>
  <c r="AB168" i="132"/>
  <c r="AB167" i="132" s="1"/>
  <c r="I170" i="132"/>
  <c r="AC168" i="132"/>
  <c r="AC167" i="132" s="1"/>
  <c r="V172" i="132"/>
  <c r="V168" i="132" s="1"/>
  <c r="V167" i="132" s="1"/>
  <c r="AA195" i="132"/>
  <c r="G211" i="132"/>
  <c r="I211" i="132" s="1"/>
  <c r="O229" i="132"/>
  <c r="Q229" i="132" s="1"/>
  <c r="J293" i="132"/>
  <c r="T299" i="132"/>
  <c r="T319" i="132"/>
  <c r="D336" i="132"/>
  <c r="I365" i="132"/>
  <c r="Y435" i="132"/>
  <c r="F673" i="132"/>
  <c r="I734" i="132"/>
  <c r="J734" i="132"/>
  <c r="I790" i="132"/>
  <c r="J790" i="132"/>
  <c r="W937" i="132"/>
  <c r="W914" i="132" s="1"/>
  <c r="W913" i="132" s="1"/>
  <c r="AF937" i="132"/>
  <c r="AF914" i="132" s="1"/>
  <c r="Z435" i="132"/>
  <c r="X937" i="132"/>
  <c r="X914" i="132" s="1"/>
  <c r="X913" i="132" s="1"/>
  <c r="AA335" i="132"/>
  <c r="T350" i="132"/>
  <c r="AA411" i="132"/>
  <c r="D414" i="132"/>
  <c r="O414" i="132"/>
  <c r="Q414" i="132" s="1"/>
  <c r="J427" i="132"/>
  <c r="I437" i="132"/>
  <c r="AF464" i="132"/>
  <c r="Y914" i="132"/>
  <c r="Y913" i="132" s="1"/>
  <c r="Y912" i="132" s="1"/>
  <c r="T927" i="132"/>
  <c r="L938" i="132"/>
  <c r="L937" i="132" s="1"/>
  <c r="I946" i="132"/>
  <c r="F487" i="132"/>
  <c r="J337" i="132"/>
  <c r="J379" i="132"/>
  <c r="J415" i="132"/>
  <c r="J448" i="132"/>
  <c r="P465" i="132"/>
  <c r="J480" i="132"/>
  <c r="Q485" i="132"/>
  <c r="T484" i="132" s="1"/>
  <c r="Q717" i="132"/>
  <c r="T665" i="132" s="1"/>
  <c r="T717" i="132"/>
  <c r="I934" i="132"/>
  <c r="I937" i="132"/>
  <c r="H414" i="132"/>
  <c r="Q436" i="132"/>
  <c r="T435" i="132" s="1"/>
  <c r="T469" i="132"/>
  <c r="T477" i="132"/>
  <c r="I919" i="132"/>
  <c r="R916" i="132"/>
  <c r="R915" i="132" s="1"/>
  <c r="R914" i="132" s="1"/>
  <c r="R913" i="132" s="1"/>
  <c r="R912" i="132" s="1"/>
  <c r="J930" i="132"/>
  <c r="U937" i="132"/>
  <c r="U914" i="132" s="1"/>
  <c r="U913" i="132" s="1"/>
  <c r="U888" i="132" s="1"/>
  <c r="U734" i="132" s="1"/>
  <c r="U732" i="132" s="1"/>
  <c r="AC937" i="132"/>
  <c r="AC734" i="132" s="1"/>
  <c r="AC732" i="132" s="1"/>
  <c r="AG432" i="132"/>
  <c r="Q434" i="132"/>
  <c r="T433" i="132" s="1"/>
  <c r="I448" i="132"/>
  <c r="T480" i="132"/>
  <c r="T483" i="132"/>
  <c r="T719" i="132"/>
  <c r="I933" i="132"/>
  <c r="S940" i="132"/>
  <c r="Y8" i="132"/>
  <c r="M8" i="132"/>
  <c r="AC8" i="132"/>
  <c r="Q10" i="132"/>
  <c r="T10" i="132" s="1"/>
  <c r="O9" i="132"/>
  <c r="R8" i="132"/>
  <c r="S8" i="132"/>
  <c r="I11" i="132"/>
  <c r="O13" i="132"/>
  <c r="Q13" i="132" s="1"/>
  <c r="T13" i="132" s="1"/>
  <c r="Q14" i="132"/>
  <c r="T14" i="132" s="1"/>
  <c r="Y55" i="132"/>
  <c r="Z55" i="132"/>
  <c r="AA55" i="132"/>
  <c r="G76" i="132"/>
  <c r="J76" i="132" s="1"/>
  <c r="I79" i="132"/>
  <c r="I115" i="132"/>
  <c r="G114" i="132"/>
  <c r="J115" i="132"/>
  <c r="Q11" i="132"/>
  <c r="T11" i="132" s="1"/>
  <c r="P75" i="132"/>
  <c r="Q75" i="132" s="1"/>
  <c r="Q76" i="132"/>
  <c r="T75" i="132" s="1"/>
  <c r="K83" i="132"/>
  <c r="K87" i="132"/>
  <c r="K75" i="132" s="1"/>
  <c r="J10" i="132"/>
  <c r="J11" i="132"/>
  <c r="V23" i="132"/>
  <c r="V22" i="132" s="1"/>
  <c r="F23" i="132"/>
  <c r="F22" i="132" s="1"/>
  <c r="Z56" i="132"/>
  <c r="AA56" i="132"/>
  <c r="Y56" i="132"/>
  <c r="AB8" i="132"/>
  <c r="I10" i="132"/>
  <c r="G9" i="132"/>
  <c r="E75" i="132"/>
  <c r="Q105" i="132"/>
  <c r="T104" i="132" s="1"/>
  <c r="O90" i="132"/>
  <c r="AA75" i="132"/>
  <c r="AA74" i="132" s="1"/>
  <c r="M87" i="132"/>
  <c r="M75" i="132" s="1"/>
  <c r="O129" i="132"/>
  <c r="M172" i="132"/>
  <c r="M169" i="132"/>
  <c r="AF74" i="132"/>
  <c r="AF21" i="132" s="1"/>
  <c r="E134" i="132"/>
  <c r="O143" i="132"/>
  <c r="Q143" i="132" s="1"/>
  <c r="T142" i="132" s="1"/>
  <c r="Q144" i="132"/>
  <c r="T143" i="132" s="1"/>
  <c r="I58" i="132"/>
  <c r="X74" i="132"/>
  <c r="I89" i="132"/>
  <c r="Z124" i="132"/>
  <c r="Y124" i="132"/>
  <c r="W30" i="132"/>
  <c r="I84" i="132"/>
  <c r="AA124" i="132"/>
  <c r="AC23" i="132"/>
  <c r="AC22" i="132" s="1"/>
  <c r="AB87" i="132"/>
  <c r="I90" i="132"/>
  <c r="J90" i="132"/>
  <c r="V114" i="132"/>
  <c r="V113" i="132" s="1"/>
  <c r="V87" i="132" s="1"/>
  <c r="W117" i="132"/>
  <c r="J79" i="132"/>
  <c r="D88" i="132"/>
  <c r="K142" i="132"/>
  <c r="X178" i="132"/>
  <c r="W172" i="132"/>
  <c r="W168" i="132" s="1"/>
  <c r="W167" i="132" s="1"/>
  <c r="AG251" i="132"/>
  <c r="I250" i="132"/>
  <c r="G173" i="132"/>
  <c r="Z195" i="132"/>
  <c r="Q170" i="132"/>
  <c r="T169" i="132" s="1"/>
  <c r="I215" i="132"/>
  <c r="G300" i="132"/>
  <c r="J313" i="132"/>
  <c r="I313" i="132"/>
  <c r="X228" i="132"/>
  <c r="X194" i="132" s="1"/>
  <c r="X193" i="132" s="1"/>
  <c r="Y318" i="132"/>
  <c r="Y228" i="132" s="1"/>
  <c r="AG198" i="132"/>
  <c r="R169" i="132"/>
  <c r="R168" i="132" s="1"/>
  <c r="AG223" i="132"/>
  <c r="J230" i="132"/>
  <c r="E229" i="132"/>
  <c r="J320" i="132"/>
  <c r="J170" i="132"/>
  <c r="J174" i="132"/>
  <c r="J179" i="132"/>
  <c r="J197" i="132"/>
  <c r="J250" i="132"/>
  <c r="AG321" i="132"/>
  <c r="I320" i="132"/>
  <c r="O412" i="132"/>
  <c r="Q412" i="132" s="1"/>
  <c r="I415" i="132"/>
  <c r="Q423" i="132"/>
  <c r="T422" i="132" s="1"/>
  <c r="W457" i="132"/>
  <c r="W435" i="132" s="1"/>
  <c r="AD463" i="132"/>
  <c r="AD462" i="132" s="1"/>
  <c r="AD464" i="132"/>
  <c r="G466" i="132"/>
  <c r="J471" i="132"/>
  <c r="I471" i="132"/>
  <c r="J700" i="132"/>
  <c r="I700" i="132"/>
  <c r="O729" i="132"/>
  <c r="Q729" i="132" s="1"/>
  <c r="T728" i="132" s="1"/>
  <c r="G336" i="132"/>
  <c r="I351" i="132"/>
  <c r="I395" i="132"/>
  <c r="J419" i="132"/>
  <c r="H464" i="132"/>
  <c r="H463" i="132" s="1"/>
  <c r="H465" i="132"/>
  <c r="J804" i="132"/>
  <c r="I804" i="132"/>
  <c r="F914" i="132"/>
  <c r="F913" i="132" s="1"/>
  <c r="F912" i="132" s="1"/>
  <c r="H336" i="132"/>
  <c r="J351" i="132"/>
  <c r="J395" i="132"/>
  <c r="J488" i="132"/>
  <c r="G487" i="132"/>
  <c r="I488" i="132"/>
  <c r="F665" i="132"/>
  <c r="J949" i="132"/>
  <c r="I949" i="132"/>
  <c r="G941" i="132"/>
  <c r="J958" i="132"/>
  <c r="I958" i="132"/>
  <c r="G954" i="132"/>
  <c r="I954" i="132" s="1"/>
  <c r="U463" i="132"/>
  <c r="U462" i="132" s="1"/>
  <c r="U464" i="132"/>
  <c r="K479" i="132"/>
  <c r="K475" i="132"/>
  <c r="J666" i="132"/>
  <c r="G665" i="132"/>
  <c r="I666" i="132"/>
  <c r="J703" i="132"/>
  <c r="I703" i="132"/>
  <c r="X719" i="132"/>
  <c r="AA723" i="132"/>
  <c r="AA719" i="132" s="1"/>
  <c r="Z723" i="132"/>
  <c r="Z719" i="132" s="1"/>
  <c r="Y723" i="132"/>
  <c r="Y719" i="132" s="1"/>
  <c r="I277" i="132"/>
  <c r="I407" i="132"/>
  <c r="E436" i="132"/>
  <c r="J436" i="132" s="1"/>
  <c r="V463" i="132"/>
  <c r="V464" i="132"/>
  <c r="Q480" i="132"/>
  <c r="O465" i="132"/>
  <c r="J833" i="132"/>
  <c r="I833" i="132"/>
  <c r="G264" i="132"/>
  <c r="I317" i="132"/>
  <c r="I423" i="132"/>
  <c r="E730" i="132"/>
  <c r="J938" i="132"/>
  <c r="E937" i="132"/>
  <c r="J937" i="132" s="1"/>
  <c r="H941" i="132"/>
  <c r="H940" i="132" s="1"/>
  <c r="I940" i="132" s="1"/>
  <c r="I942" i="132"/>
  <c r="AC463" i="132"/>
  <c r="AC462" i="132" s="1"/>
  <c r="AC464" i="132"/>
  <c r="AA474" i="132"/>
  <c r="AA465" i="132" s="1"/>
  <c r="Y474" i="132"/>
  <c r="Y465" i="132" s="1"/>
  <c r="X465" i="132"/>
  <c r="J673" i="132"/>
  <c r="I673" i="132"/>
  <c r="J711" i="132"/>
  <c r="I711" i="132"/>
  <c r="J862" i="132"/>
  <c r="I862" i="132"/>
  <c r="AB734" i="132"/>
  <c r="AB732" i="132" s="1"/>
  <c r="AB914" i="132"/>
  <c r="E954" i="132"/>
  <c r="V912" i="132"/>
  <c r="I714" i="132"/>
  <c r="O464" i="132"/>
  <c r="G733" i="132"/>
  <c r="I586" i="132"/>
  <c r="AF192" i="132" l="1"/>
  <c r="R195" i="132"/>
  <c r="R194" i="132" s="1"/>
  <c r="F732" i="132"/>
  <c r="F731" i="132" s="1"/>
  <c r="F730" i="132" s="1"/>
  <c r="F729" i="132" s="1"/>
  <c r="T228" i="132"/>
  <c r="T475" i="132"/>
  <c r="AE192" i="132"/>
  <c r="S193" i="132"/>
  <c r="T335" i="132"/>
  <c r="Q731" i="132"/>
  <c r="T730" i="132" s="1"/>
  <c r="I14" i="132"/>
  <c r="Q168" i="132"/>
  <c r="J336" i="132"/>
  <c r="Z912" i="132"/>
  <c r="Z888" i="132"/>
  <c r="Z734" i="132" s="1"/>
  <c r="Z732" i="132" s="1"/>
  <c r="AA228" i="132"/>
  <c r="T411" i="132"/>
  <c r="V21" i="132"/>
  <c r="F486" i="132"/>
  <c r="F485" i="132" s="1"/>
  <c r="F463" i="132" s="1"/>
  <c r="Y888" i="132"/>
  <c r="Y734" i="132" s="1"/>
  <c r="Y732" i="132" s="1"/>
  <c r="AC21" i="132"/>
  <c r="I173" i="132"/>
  <c r="R465" i="132"/>
  <c r="I941" i="132"/>
  <c r="I22" i="132"/>
  <c r="E195" i="132"/>
  <c r="E194" i="132" s="1"/>
  <c r="E21" i="132"/>
  <c r="I23" i="132"/>
  <c r="F204" i="131"/>
  <c r="C172" i="131"/>
  <c r="C90" i="131"/>
  <c r="C158" i="131"/>
  <c r="C226" i="131"/>
  <c r="F14" i="152"/>
  <c r="F13" i="152" s="1"/>
  <c r="G13" i="152" s="1"/>
  <c r="E9" i="152"/>
  <c r="E28" i="152" s="1"/>
  <c r="G17" i="152"/>
  <c r="C27" i="152"/>
  <c r="C26" i="152" s="1"/>
  <c r="G134" i="132"/>
  <c r="I134" i="132" s="1"/>
  <c r="AC914" i="132"/>
  <c r="I143" i="132"/>
  <c r="O21" i="132"/>
  <c r="AA734" i="132"/>
  <c r="AA732" i="132" s="1"/>
  <c r="I114" i="132"/>
  <c r="H913" i="132"/>
  <c r="H912" i="132" s="1"/>
  <c r="I889" i="132"/>
  <c r="G888" i="132"/>
  <c r="I888" i="132" s="1"/>
  <c r="D21" i="132"/>
  <c r="J414" i="132"/>
  <c r="D195" i="132"/>
  <c r="D194" i="132" s="1"/>
  <c r="D193" i="132" s="1"/>
  <c r="P21" i="132"/>
  <c r="P193" i="132"/>
  <c r="T465" i="132"/>
  <c r="F21" i="132"/>
  <c r="I414" i="132"/>
  <c r="Q919" i="132"/>
  <c r="L914" i="132"/>
  <c r="L913" i="132" s="1"/>
  <c r="AA194" i="132"/>
  <c r="AA193" i="132" s="1"/>
  <c r="F194" i="132"/>
  <c r="AB192" i="132"/>
  <c r="AB20" i="132" s="1"/>
  <c r="AB7" i="132" s="1"/>
  <c r="Q465" i="132"/>
  <c r="M912" i="132"/>
  <c r="Y194" i="132"/>
  <c r="Y193" i="132" s="1"/>
  <c r="S913" i="132"/>
  <c r="S912" i="132" s="1"/>
  <c r="D940" i="132"/>
  <c r="D913" i="132" s="1"/>
  <c r="D912" i="132" s="1"/>
  <c r="T937" i="132"/>
  <c r="T914" i="132" s="1"/>
  <c r="T913" i="132" s="1"/>
  <c r="T912" i="132" s="1"/>
  <c r="S20" i="132"/>
  <c r="C10" i="131"/>
  <c r="D227" i="131"/>
  <c r="C141" i="131"/>
  <c r="C106" i="131"/>
  <c r="G11" i="152"/>
  <c r="F10" i="152"/>
  <c r="C26" i="131"/>
  <c r="C122" i="131"/>
  <c r="C74" i="131"/>
  <c r="G19" i="152"/>
  <c r="G18" i="152" s="1"/>
  <c r="F18" i="152"/>
  <c r="F4" i="152"/>
  <c r="C46" i="131"/>
  <c r="C60" i="131"/>
  <c r="F213" i="131"/>
  <c r="C186" i="131"/>
  <c r="C185" i="131" s="1"/>
  <c r="G168" i="131"/>
  <c r="F167" i="131"/>
  <c r="Q169" i="132"/>
  <c r="T168" i="132" s="1"/>
  <c r="AD21" i="132"/>
  <c r="Q23" i="132"/>
  <c r="T23" i="132" s="1"/>
  <c r="G229" i="132"/>
  <c r="I229" i="132" s="1"/>
  <c r="Z318" i="132"/>
  <c r="Z228" i="132" s="1"/>
  <c r="Z194" i="132" s="1"/>
  <c r="Z193" i="132" s="1"/>
  <c r="J114" i="132"/>
  <c r="U912" i="132"/>
  <c r="T479" i="132"/>
  <c r="Q22" i="132"/>
  <c r="T22" i="132" s="1"/>
  <c r="AD192" i="132"/>
  <c r="AG212" i="132"/>
  <c r="J954" i="132"/>
  <c r="AC192" i="132"/>
  <c r="AC20" i="132" s="1"/>
  <c r="AC7" i="132" s="1"/>
  <c r="V462" i="132"/>
  <c r="J941" i="132"/>
  <c r="G88" i="132"/>
  <c r="J88" i="132" s="1"/>
  <c r="J23" i="132"/>
  <c r="T74" i="132"/>
  <c r="R464" i="132"/>
  <c r="R463" i="132" s="1"/>
  <c r="R193" i="132" s="1"/>
  <c r="R20" i="132" s="1"/>
  <c r="R7" i="132" s="1"/>
  <c r="AF20" i="132"/>
  <c r="AF7" i="132" s="1"/>
  <c r="X912" i="132"/>
  <c r="X888" i="132"/>
  <c r="X734" i="132" s="1"/>
  <c r="X732" i="132" s="1"/>
  <c r="J14" i="132"/>
  <c r="E13" i="132"/>
  <c r="E8" i="132" s="1"/>
  <c r="T464" i="132"/>
  <c r="AE734" i="132"/>
  <c r="AE732" i="132" s="1"/>
  <c r="Q916" i="132"/>
  <c r="O915" i="132"/>
  <c r="AF734" i="132"/>
  <c r="AF732" i="132" s="1"/>
  <c r="G915" i="132"/>
  <c r="I916" i="132"/>
  <c r="U426" i="132"/>
  <c r="U422" i="132" s="1"/>
  <c r="G169" i="132"/>
  <c r="J169" i="132" s="1"/>
  <c r="J211" i="132"/>
  <c r="H195" i="132"/>
  <c r="H194" i="132" s="1"/>
  <c r="H193" i="132" s="1"/>
  <c r="H20" i="132" s="1"/>
  <c r="G196" i="132"/>
  <c r="I196" i="132" s="1"/>
  <c r="W464" i="132"/>
  <c r="W463" i="132"/>
  <c r="W462" i="132" s="1"/>
  <c r="W912" i="132"/>
  <c r="W888" i="132"/>
  <c r="W734" i="132" s="1"/>
  <c r="W732" i="132" s="1"/>
  <c r="E916" i="132"/>
  <c r="J919" i="132"/>
  <c r="O195" i="132"/>
  <c r="Z463" i="132"/>
  <c r="Z462" i="132" s="1"/>
  <c r="Z464" i="132"/>
  <c r="Y464" i="132"/>
  <c r="Y463" i="132"/>
  <c r="Y462" i="132" s="1"/>
  <c r="E729" i="132"/>
  <c r="X464" i="132"/>
  <c r="X463" i="132"/>
  <c r="X462" i="132" s="1"/>
  <c r="X192" i="132" s="1"/>
  <c r="L888" i="132"/>
  <c r="L734" i="132" s="1"/>
  <c r="L732" i="132" s="1"/>
  <c r="L731" i="132" s="1"/>
  <c r="L730" i="132" s="1"/>
  <c r="L912" i="132"/>
  <c r="J665" i="132"/>
  <c r="I665" i="132"/>
  <c r="O134" i="132"/>
  <c r="I76" i="132"/>
  <c r="G75" i="132"/>
  <c r="J75" i="132" s="1"/>
  <c r="AG301" i="132"/>
  <c r="J300" i="132"/>
  <c r="I300" i="132"/>
  <c r="Q90" i="132"/>
  <c r="T89" i="132" s="1"/>
  <c r="O89" i="132"/>
  <c r="J9" i="132"/>
  <c r="I9" i="132"/>
  <c r="G8" i="132"/>
  <c r="G464" i="132"/>
  <c r="J466" i="132"/>
  <c r="G465" i="132"/>
  <c r="I466" i="132"/>
  <c r="AA178" i="132"/>
  <c r="AA172" i="132" s="1"/>
  <c r="AA168" i="132" s="1"/>
  <c r="AA167" i="132" s="1"/>
  <c r="Z178" i="132"/>
  <c r="Z172" i="132" s="1"/>
  <c r="Z168" i="132" s="1"/>
  <c r="Z167" i="132" s="1"/>
  <c r="Y178" i="132"/>
  <c r="Y172" i="132" s="1"/>
  <c r="Y168" i="132" s="1"/>
  <c r="Y167" i="132" s="1"/>
  <c r="X172" i="132"/>
  <c r="X168" i="132" s="1"/>
  <c r="X167" i="132" s="1"/>
  <c r="T167" i="132"/>
  <c r="Q464" i="132"/>
  <c r="O463" i="132"/>
  <c r="AA463" i="132"/>
  <c r="AA462" i="132" s="1"/>
  <c r="AA464" i="132"/>
  <c r="J487" i="132"/>
  <c r="I487" i="132"/>
  <c r="G486" i="132"/>
  <c r="E133" i="132"/>
  <c r="N912" i="132"/>
  <c r="N888" i="132"/>
  <c r="N734" i="132" s="1"/>
  <c r="N732" i="132" s="1"/>
  <c r="N731" i="132" s="1"/>
  <c r="N730" i="132" s="1"/>
  <c r="K912" i="132"/>
  <c r="K888" i="132"/>
  <c r="K734" i="132" s="1"/>
  <c r="K732" i="132" s="1"/>
  <c r="K731" i="132" s="1"/>
  <c r="K730" i="132" s="1"/>
  <c r="E940" i="132"/>
  <c r="J940" i="132" s="1"/>
  <c r="J173" i="132"/>
  <c r="Q129" i="132"/>
  <c r="T128" i="132" s="1"/>
  <c r="O114" i="132"/>
  <c r="Q114" i="132" s="1"/>
  <c r="T113" i="132" s="1"/>
  <c r="X30" i="132"/>
  <c r="W23" i="132"/>
  <c r="W22" i="132" s="1"/>
  <c r="W21" i="132" s="1"/>
  <c r="Q9" i="132"/>
  <c r="T9" i="132" s="1"/>
  <c r="O8" i="132"/>
  <c r="J264" i="132"/>
  <c r="I264" i="132"/>
  <c r="AG265" i="132"/>
  <c r="X117" i="132"/>
  <c r="W114" i="132"/>
  <c r="W113" i="132" s="1"/>
  <c r="W87" i="132" s="1"/>
  <c r="M729" i="132"/>
  <c r="M728" i="132" s="1"/>
  <c r="M719" i="132"/>
  <c r="I336" i="132"/>
  <c r="M168" i="132"/>
  <c r="M167" i="132" s="1"/>
  <c r="Q21" i="132" l="1"/>
  <c r="T21" i="132" s="1"/>
  <c r="F193" i="132"/>
  <c r="F20" i="132" s="1"/>
  <c r="F7" i="132" s="1"/>
  <c r="J888" i="132"/>
  <c r="D20" i="132"/>
  <c r="D7" i="132" s="1"/>
  <c r="Y192" i="132"/>
  <c r="AD20" i="132"/>
  <c r="AD7" i="132" s="1"/>
  <c r="G732" i="132"/>
  <c r="H7" i="132"/>
  <c r="AA192" i="132"/>
  <c r="G133" i="132"/>
  <c r="I133" i="132" s="1"/>
  <c r="J229" i="132"/>
  <c r="J134" i="132"/>
  <c r="C213" i="131"/>
  <c r="C219" i="131"/>
  <c r="G14" i="152"/>
  <c r="C227" i="131"/>
  <c r="C21" i="152"/>
  <c r="C20" i="152" s="1"/>
  <c r="B27" i="152"/>
  <c r="D25" i="152"/>
  <c r="I169" i="132"/>
  <c r="J13" i="132"/>
  <c r="S7" i="132"/>
  <c r="Z192" i="132"/>
  <c r="I88" i="132"/>
  <c r="P20" i="132"/>
  <c r="P7" i="132" s="1"/>
  <c r="T463" i="132"/>
  <c r="G168" i="132"/>
  <c r="I168" i="132" s="1"/>
  <c r="F1" i="152"/>
  <c r="G4" i="152"/>
  <c r="F9" i="152"/>
  <c r="F28" i="152" s="1"/>
  <c r="G10" i="152"/>
  <c r="G167" i="131"/>
  <c r="G195" i="132"/>
  <c r="J195" i="132" s="1"/>
  <c r="Q915" i="132"/>
  <c r="O914" i="132"/>
  <c r="O194" i="132"/>
  <c r="Q194" i="132" s="1"/>
  <c r="T193" i="132" s="1"/>
  <c r="Q195" i="132"/>
  <c r="T194" i="132" s="1"/>
  <c r="V426" i="132"/>
  <c r="W426" i="132" s="1"/>
  <c r="W411" i="132" s="1"/>
  <c r="W194" i="132" s="1"/>
  <c r="W193" i="132" s="1"/>
  <c r="W192" i="132" s="1"/>
  <c r="W20" i="132" s="1"/>
  <c r="W7" i="132" s="1"/>
  <c r="J916" i="132"/>
  <c r="E915" i="132"/>
  <c r="I915" i="132"/>
  <c r="G914" i="132"/>
  <c r="J196" i="132"/>
  <c r="I8" i="132"/>
  <c r="J8" i="132"/>
  <c r="Q463" i="132"/>
  <c r="T462" i="132" s="1"/>
  <c r="K719" i="132"/>
  <c r="K729" i="132"/>
  <c r="K728" i="132" s="1"/>
  <c r="I75" i="132"/>
  <c r="G21" i="132"/>
  <c r="L719" i="132"/>
  <c r="L729" i="132"/>
  <c r="L728" i="132" s="1"/>
  <c r="AA30" i="132"/>
  <c r="AA23" i="132" s="1"/>
  <c r="AA22" i="132" s="1"/>
  <c r="AA21" i="132" s="1"/>
  <c r="Z30" i="132"/>
  <c r="Z23" i="132" s="1"/>
  <c r="Z22" i="132" s="1"/>
  <c r="Z21" i="132" s="1"/>
  <c r="Y30" i="132"/>
  <c r="Y23" i="132" s="1"/>
  <c r="Y22" i="132" s="1"/>
  <c r="Y21" i="132" s="1"/>
  <c r="X23" i="132"/>
  <c r="X22" i="132" s="1"/>
  <c r="X21" i="132" s="1"/>
  <c r="G485" i="132"/>
  <c r="G463" i="132" s="1"/>
  <c r="J486" i="132"/>
  <c r="I486" i="132"/>
  <c r="I465" i="132"/>
  <c r="J465" i="132"/>
  <c r="O88" i="132"/>
  <c r="Q89" i="132"/>
  <c r="T88" i="132" s="1"/>
  <c r="M463" i="132"/>
  <c r="M462" i="132" s="1"/>
  <c r="M426" i="132" s="1"/>
  <c r="M422" i="132" s="1"/>
  <c r="M418" i="132" s="1"/>
  <c r="M411" i="132" s="1"/>
  <c r="M364" i="132" s="1"/>
  <c r="M350" i="132" s="1"/>
  <c r="M336" i="132" s="1"/>
  <c r="M335" i="132" s="1"/>
  <c r="M299" i="132" s="1"/>
  <c r="M277" i="132" s="1"/>
  <c r="M249" i="132" s="1"/>
  <c r="M228" i="132" s="1"/>
  <c r="M196" i="132" s="1"/>
  <c r="M195" i="132" s="1"/>
  <c r="M194" i="132" s="1"/>
  <c r="M193" i="132" s="1"/>
  <c r="M192" i="132" s="1"/>
  <c r="M20" i="132" s="1"/>
  <c r="M7" i="132" s="1"/>
  <c r="M665" i="132"/>
  <c r="Q8" i="132"/>
  <c r="T8" i="132" s="1"/>
  <c r="Z117" i="132"/>
  <c r="Z114" i="132" s="1"/>
  <c r="Z113" i="132" s="1"/>
  <c r="Z87" i="132" s="1"/>
  <c r="X114" i="132"/>
  <c r="X113" i="132" s="1"/>
  <c r="X87" i="132" s="1"/>
  <c r="Y117" i="132"/>
  <c r="Y114" i="132" s="1"/>
  <c r="Y113" i="132" s="1"/>
  <c r="Y87" i="132" s="1"/>
  <c r="AA117" i="132"/>
  <c r="AA114" i="132" s="1"/>
  <c r="AA113" i="132" s="1"/>
  <c r="AA87" i="132" s="1"/>
  <c r="N729" i="132"/>
  <c r="N728" i="132" s="1"/>
  <c r="N719" i="132"/>
  <c r="O133" i="132"/>
  <c r="Q133" i="132" s="1"/>
  <c r="T132" i="132" s="1"/>
  <c r="Q134" i="132"/>
  <c r="T133" i="132" s="1"/>
  <c r="I464" i="132"/>
  <c r="J464" i="132"/>
  <c r="I732" i="132"/>
  <c r="G731" i="132"/>
  <c r="J732" i="132"/>
  <c r="E193" i="132"/>
  <c r="E20" i="132" s="1"/>
  <c r="U418" i="132"/>
  <c r="V422" i="132"/>
  <c r="J133" i="132" l="1"/>
  <c r="I195" i="132"/>
  <c r="C229" i="131"/>
  <c r="B229" i="131"/>
  <c r="G21" i="152"/>
  <c r="B26" i="152"/>
  <c r="G27" i="152"/>
  <c r="G25" i="152"/>
  <c r="G24" i="152" s="1"/>
  <c r="D24" i="152"/>
  <c r="D23" i="152" s="1"/>
  <c r="G23" i="152" s="1"/>
  <c r="B31" i="152" s="1"/>
  <c r="D22" i="152"/>
  <c r="J168" i="132"/>
  <c r="G194" i="132"/>
  <c r="J194" i="132" s="1"/>
  <c r="C9" i="152"/>
  <c r="C28" i="152" s="1"/>
  <c r="G1" i="152"/>
  <c r="B29" i="152"/>
  <c r="O193" i="132"/>
  <c r="Q193" i="132" s="1"/>
  <c r="T192" i="132" s="1"/>
  <c r="J915" i="132"/>
  <c r="E914" i="132"/>
  <c r="O913" i="132"/>
  <c r="Q914" i="132"/>
  <c r="T888" i="132" s="1"/>
  <c r="I914" i="132"/>
  <c r="G913" i="132"/>
  <c r="I463" i="132"/>
  <c r="J463" i="132"/>
  <c r="I21" i="132"/>
  <c r="J21" i="132"/>
  <c r="N463" i="132"/>
  <c r="N665" i="132"/>
  <c r="Q88" i="132"/>
  <c r="T87" i="132" s="1"/>
  <c r="X20" i="132"/>
  <c r="X7" i="132" s="1"/>
  <c r="K463" i="132"/>
  <c r="K462" i="132" s="1"/>
  <c r="K426" i="132" s="1"/>
  <c r="K422" i="132" s="1"/>
  <c r="K418" i="132" s="1"/>
  <c r="K411" i="132" s="1"/>
  <c r="K364" i="132" s="1"/>
  <c r="K350" i="132" s="1"/>
  <c r="K336" i="132" s="1"/>
  <c r="K335" i="132" s="1"/>
  <c r="K299" i="132" s="1"/>
  <c r="K277" i="132" s="1"/>
  <c r="K249" i="132" s="1"/>
  <c r="K228" i="132" s="1"/>
  <c r="K196" i="132" s="1"/>
  <c r="K195" i="132" s="1"/>
  <c r="K194" i="132" s="1"/>
  <c r="K193" i="132" s="1"/>
  <c r="K192" i="132" s="1"/>
  <c r="K20" i="132" s="1"/>
  <c r="K7" i="132" s="1"/>
  <c r="K665" i="132"/>
  <c r="L463" i="132"/>
  <c r="L665" i="132"/>
  <c r="I485" i="132"/>
  <c r="J485" i="132"/>
  <c r="G730" i="132"/>
  <c r="I731" i="132"/>
  <c r="J731" i="132"/>
  <c r="Y20" i="132"/>
  <c r="Y7" i="132" s="1"/>
  <c r="V418" i="132"/>
  <c r="V411" i="132" s="1"/>
  <c r="U411" i="132"/>
  <c r="U364" i="132" s="1"/>
  <c r="Z20" i="132"/>
  <c r="Z7" i="132" s="1"/>
  <c r="AA20" i="132"/>
  <c r="AA7" i="132" s="1"/>
  <c r="O20" i="132" l="1"/>
  <c r="G193" i="132"/>
  <c r="I193" i="132" s="1"/>
  <c r="I194" i="132"/>
  <c r="B219" i="131"/>
  <c r="D20" i="152"/>
  <c r="G22" i="152"/>
  <c r="G26" i="152"/>
  <c r="B32" i="152" s="1"/>
  <c r="B28" i="152"/>
  <c r="Q913" i="132"/>
  <c r="T734" i="132" s="1"/>
  <c r="O912" i="132"/>
  <c r="Q912" i="132" s="1"/>
  <c r="T732" i="132" s="1"/>
  <c r="G912" i="132"/>
  <c r="I912" i="132" s="1"/>
  <c r="I913" i="132"/>
  <c r="J914" i="132"/>
  <c r="E913" i="132"/>
  <c r="L462" i="132"/>
  <c r="L193" i="132"/>
  <c r="L192" i="132" s="1"/>
  <c r="L20" i="132" s="1"/>
  <c r="L7" i="132" s="1"/>
  <c r="N462" i="132"/>
  <c r="N193" i="132"/>
  <c r="N192" i="132" s="1"/>
  <c r="N20" i="132" s="1"/>
  <c r="N7" i="132" s="1"/>
  <c r="G20" i="132"/>
  <c r="G729" i="132"/>
  <c r="I730" i="132"/>
  <c r="J730" i="132"/>
  <c r="Q20" i="132"/>
  <c r="T20" i="132" s="1"/>
  <c r="T7" i="132" s="1"/>
  <c r="V364" i="132"/>
  <c r="V335" i="132" s="1"/>
  <c r="U350" i="132"/>
  <c r="U336" i="132" s="1"/>
  <c r="U335" i="132" s="1"/>
  <c r="U299" i="132" s="1"/>
  <c r="J193" i="132" l="1"/>
  <c r="O7" i="132"/>
  <c r="Q7" i="132" s="1"/>
  <c r="D9" i="152"/>
  <c r="D28" i="152" s="1"/>
  <c r="G20" i="152"/>
  <c r="G9" i="152" s="1"/>
  <c r="B30" i="152" s="1"/>
  <c r="B33" i="152" s="1"/>
  <c r="D29" i="152" s="1"/>
  <c r="J913" i="132"/>
  <c r="E912" i="132"/>
  <c r="I729" i="132"/>
  <c r="J729" i="132"/>
  <c r="I20" i="132"/>
  <c r="G7" i="132"/>
  <c r="J20" i="132"/>
  <c r="V299" i="132"/>
  <c r="V228" i="132" s="1"/>
  <c r="V194" i="132" s="1"/>
  <c r="V193" i="132" s="1"/>
  <c r="V192" i="132" s="1"/>
  <c r="V20" i="132" s="1"/>
  <c r="V7" i="132" s="1"/>
  <c r="U277" i="132"/>
  <c r="U249" i="132" s="1"/>
  <c r="U228" i="132" s="1"/>
  <c r="U194" i="132" s="1"/>
  <c r="U193" i="132" s="1"/>
  <c r="U192" i="132" s="1"/>
  <c r="F118" i="131" l="1"/>
  <c r="D32" i="152"/>
  <c r="D31" i="152"/>
  <c r="D30" i="152"/>
  <c r="G28" i="152"/>
  <c r="J912" i="132"/>
  <c r="E7" i="132"/>
  <c r="J7" i="132" s="1"/>
  <c r="I7" i="132"/>
  <c r="AI9" i="132"/>
  <c r="D33" i="152" l="1"/>
  <c r="H28" i="152"/>
  <c r="C42" i="125"/>
  <c r="E225" i="131"/>
  <c r="B225" i="131"/>
  <c r="B224" i="131" s="1"/>
  <c r="F123" i="131"/>
  <c r="E123" i="131"/>
  <c r="C123" i="131"/>
  <c r="B123" i="131"/>
  <c r="F91" i="131"/>
  <c r="E91" i="131"/>
  <c r="C91" i="131"/>
  <c r="B91" i="131"/>
  <c r="F61" i="131"/>
  <c r="E61" i="131"/>
  <c r="C61" i="131"/>
  <c r="B61" i="131"/>
  <c r="F27" i="131"/>
  <c r="E27" i="131"/>
  <c r="C27" i="131"/>
  <c r="B27" i="131"/>
  <c r="C11" i="131"/>
  <c r="G226" i="131" l="1"/>
  <c r="F225" i="131" l="1"/>
  <c r="D92" i="131" l="1"/>
  <c r="D91" i="131" s="1"/>
  <c r="G91" i="131" s="1"/>
  <c r="D28" i="131"/>
  <c r="D27" i="131" s="1"/>
  <c r="G27" i="131" s="1"/>
  <c r="G13" i="131" l="1"/>
  <c r="D124" i="131"/>
  <c r="D123" i="131" s="1"/>
  <c r="G123" i="131" s="1"/>
  <c r="D62" i="131"/>
  <c r="D61" i="131" s="1"/>
  <c r="G61" i="131" s="1"/>
  <c r="B212" i="131" l="1"/>
  <c r="B202" i="131" s="1"/>
  <c r="D212" i="131"/>
  <c r="E210" i="131"/>
  <c r="D210" i="131"/>
  <c r="C210" i="131"/>
  <c r="B185" i="131"/>
  <c r="B182" i="131" s="1"/>
  <c r="D185" i="131"/>
  <c r="B150" i="131"/>
  <c r="B149" i="131" s="1"/>
  <c r="C150" i="131"/>
  <c r="D150" i="131"/>
  <c r="E150" i="131"/>
  <c r="E140" i="131"/>
  <c r="D140" i="131"/>
  <c r="B133" i="131"/>
  <c r="B132" i="131" s="1"/>
  <c r="C133" i="131"/>
  <c r="D133" i="131"/>
  <c r="E133" i="131"/>
  <c r="E45" i="131"/>
  <c r="D45" i="131"/>
  <c r="D48" i="131"/>
  <c r="E43" i="131"/>
  <c r="D43" i="131"/>
  <c r="C43" i="131"/>
  <c r="F9" i="131"/>
  <c r="E9" i="131"/>
  <c r="D9" i="131"/>
  <c r="D143" i="131" l="1"/>
  <c r="D142" i="131" s="1"/>
  <c r="C228" i="131"/>
  <c r="F228" i="131"/>
  <c r="E228" i="131"/>
  <c r="D228" i="131"/>
  <c r="E224" i="131"/>
  <c r="F218" i="131"/>
  <c r="E218" i="131"/>
  <c r="D218" i="131"/>
  <c r="D216" i="131"/>
  <c r="D215" i="131" s="1"/>
  <c r="G216" i="131"/>
  <c r="F216" i="131"/>
  <c r="F215" i="131" s="1"/>
  <c r="E216" i="131"/>
  <c r="E215" i="131" s="1"/>
  <c r="C216" i="131"/>
  <c r="C215" i="131" s="1"/>
  <c r="B216" i="131"/>
  <c r="B215" i="131" s="1"/>
  <c r="E208" i="131"/>
  <c r="C208" i="131"/>
  <c r="D208" i="131"/>
  <c r="E205" i="131"/>
  <c r="D205" i="131"/>
  <c r="C205" i="131"/>
  <c r="E203" i="131"/>
  <c r="D203" i="131"/>
  <c r="C203" i="131"/>
  <c r="E200" i="131"/>
  <c r="D200" i="131"/>
  <c r="C200" i="131"/>
  <c r="B200" i="131"/>
  <c r="E198" i="131"/>
  <c r="D198" i="131"/>
  <c r="C198" i="131"/>
  <c r="B198" i="131"/>
  <c r="D189" i="131"/>
  <c r="D188" i="131" s="1"/>
  <c r="F188" i="131"/>
  <c r="E188" i="131"/>
  <c r="C188" i="131"/>
  <c r="B188" i="131"/>
  <c r="B191" i="131" s="1"/>
  <c r="E183" i="131"/>
  <c r="C183" i="131"/>
  <c r="C182" i="131" s="1"/>
  <c r="D183" i="131"/>
  <c r="D182" i="131" s="1"/>
  <c r="D174" i="131"/>
  <c r="D173" i="131" s="1"/>
  <c r="F173" i="131"/>
  <c r="E173" i="131"/>
  <c r="C173" i="131"/>
  <c r="B173" i="131"/>
  <c r="F171" i="131"/>
  <c r="E171" i="131"/>
  <c r="D171" i="131"/>
  <c r="E169" i="131"/>
  <c r="D169" i="131"/>
  <c r="C169" i="131"/>
  <c r="D160" i="131"/>
  <c r="D159" i="131" s="1"/>
  <c r="F159" i="131"/>
  <c r="E159" i="131"/>
  <c r="C159" i="131"/>
  <c r="B159" i="131"/>
  <c r="B162" i="131" s="1"/>
  <c r="F157" i="131"/>
  <c r="E157" i="131"/>
  <c r="D157" i="131"/>
  <c r="D155" i="131"/>
  <c r="C155" i="131"/>
  <c r="F142" i="131"/>
  <c r="E142" i="131"/>
  <c r="C142" i="131"/>
  <c r="B142" i="131"/>
  <c r="C138" i="131"/>
  <c r="E138" i="131"/>
  <c r="D138" i="131"/>
  <c r="D136" i="131"/>
  <c r="C136" i="131"/>
  <c r="F121" i="131"/>
  <c r="E121" i="131"/>
  <c r="D121" i="131"/>
  <c r="F119" i="131"/>
  <c r="D119" i="131"/>
  <c r="C119" i="131"/>
  <c r="E117" i="131"/>
  <c r="D117" i="131"/>
  <c r="C117" i="131"/>
  <c r="B117" i="131"/>
  <c r="B116" i="131" s="1"/>
  <c r="B126" i="131" s="1"/>
  <c r="D108" i="131"/>
  <c r="D107" i="131" s="1"/>
  <c r="F107" i="131"/>
  <c r="E107" i="131"/>
  <c r="C107" i="131"/>
  <c r="B107" i="131"/>
  <c r="F105" i="131"/>
  <c r="E105" i="131"/>
  <c r="D105" i="131"/>
  <c r="D103" i="131"/>
  <c r="C103" i="131"/>
  <c r="E101" i="131"/>
  <c r="D101" i="131"/>
  <c r="C101" i="131"/>
  <c r="B101" i="131"/>
  <c r="B100" i="131" s="1"/>
  <c r="F89" i="131"/>
  <c r="E89" i="131"/>
  <c r="D89" i="131"/>
  <c r="D87" i="131"/>
  <c r="C87" i="131"/>
  <c r="D85" i="131"/>
  <c r="C85" i="131"/>
  <c r="B85" i="131"/>
  <c r="B84" i="131" s="1"/>
  <c r="B94" i="131" s="1"/>
  <c r="D76" i="131"/>
  <c r="D75" i="131" s="1"/>
  <c r="F75" i="131"/>
  <c r="E75" i="131"/>
  <c r="C75" i="131"/>
  <c r="B75" i="131"/>
  <c r="F73" i="131"/>
  <c r="E73" i="131"/>
  <c r="D73" i="131"/>
  <c r="D71" i="131"/>
  <c r="C71" i="131"/>
  <c r="B71" i="131"/>
  <c r="B70" i="131" s="1"/>
  <c r="B78" i="131" s="1"/>
  <c r="F59" i="131"/>
  <c r="E59" i="131"/>
  <c r="D59" i="131"/>
  <c r="E57" i="131"/>
  <c r="D57" i="131"/>
  <c r="C57" i="131"/>
  <c r="E55" i="131"/>
  <c r="D55" i="131"/>
  <c r="C55" i="131"/>
  <c r="B55" i="131"/>
  <c r="B54" i="131" s="1"/>
  <c r="B64" i="131" s="1"/>
  <c r="D47" i="131"/>
  <c r="F47" i="131"/>
  <c r="E47" i="131"/>
  <c r="C47" i="131"/>
  <c r="B47" i="131"/>
  <c r="F41" i="131"/>
  <c r="D41" i="131"/>
  <c r="E39" i="131"/>
  <c r="D39" i="131"/>
  <c r="C39" i="131"/>
  <c r="E37" i="131"/>
  <c r="D37" i="131"/>
  <c r="C37" i="131"/>
  <c r="B37" i="131"/>
  <c r="B36" i="131" s="1"/>
  <c r="F25" i="131"/>
  <c r="E25" i="131"/>
  <c r="D25" i="131"/>
  <c r="E23" i="131"/>
  <c r="D23" i="131"/>
  <c r="C23" i="131"/>
  <c r="E21" i="131"/>
  <c r="D21" i="131"/>
  <c r="C21" i="131"/>
  <c r="B21" i="131"/>
  <c r="B20" i="131" s="1"/>
  <c r="D12" i="131"/>
  <c r="F11" i="131"/>
  <c r="E11" i="131"/>
  <c r="B11" i="131"/>
  <c r="E7" i="131"/>
  <c r="D7" i="131"/>
  <c r="E5" i="131"/>
  <c r="D5" i="131"/>
  <c r="C5" i="131"/>
  <c r="B5" i="131"/>
  <c r="P30" i="127"/>
  <c r="P23" i="126"/>
  <c r="P22" i="126"/>
  <c r="N13" i="126"/>
  <c r="D40" i="125"/>
  <c r="I42" i="125"/>
  <c r="J40" i="125" s="1"/>
  <c r="D38" i="125"/>
  <c r="C191" i="131" l="1"/>
  <c r="D149" i="131"/>
  <c r="D166" i="131"/>
  <c r="E166" i="131"/>
  <c r="G142" i="131"/>
  <c r="B110" i="131"/>
  <c r="B145" i="131"/>
  <c r="E54" i="131"/>
  <c r="E64" i="131" s="1"/>
  <c r="D197" i="131"/>
  <c r="C197" i="131"/>
  <c r="D70" i="131"/>
  <c r="D78" i="131" s="1"/>
  <c r="B176" i="131"/>
  <c r="D11" i="131"/>
  <c r="G11" i="131" s="1"/>
  <c r="G12" i="131"/>
  <c r="B30" i="131"/>
  <c r="J38" i="125"/>
  <c r="J39" i="125"/>
  <c r="D84" i="131"/>
  <c r="D94" i="131" s="1"/>
  <c r="J36" i="125"/>
  <c r="J37" i="125"/>
  <c r="D100" i="131"/>
  <c r="D110" i="131" s="1"/>
  <c r="G188" i="131"/>
  <c r="D162" i="131"/>
  <c r="D202" i="131"/>
  <c r="B197" i="131"/>
  <c r="E197" i="131"/>
  <c r="D20" i="131"/>
  <c r="D30" i="131" s="1"/>
  <c r="E20" i="131"/>
  <c r="E30" i="131" s="1"/>
  <c r="D176" i="131"/>
  <c r="B4" i="131"/>
  <c r="D36" i="131"/>
  <c r="D50" i="131" s="1"/>
  <c r="E176" i="131"/>
  <c r="D4" i="131"/>
  <c r="D116" i="131"/>
  <c r="D126" i="131" s="1"/>
  <c r="E4" i="131"/>
  <c r="E14" i="131" s="1"/>
  <c r="D54" i="131"/>
  <c r="D64" i="131" s="1"/>
  <c r="D132" i="131"/>
  <c r="D145" i="131" s="1"/>
  <c r="G173" i="131"/>
  <c r="G47" i="131"/>
  <c r="G229" i="131"/>
  <c r="C7" i="131"/>
  <c r="G215" i="131"/>
  <c r="B228" i="131"/>
  <c r="G228" i="131" s="1"/>
  <c r="G75" i="131"/>
  <c r="D191" i="131"/>
  <c r="B50" i="131"/>
  <c r="E230" i="131"/>
  <c r="C41" i="131"/>
  <c r="F87" i="131"/>
  <c r="G159" i="131"/>
  <c r="G107" i="131"/>
  <c r="F224" i="131"/>
  <c r="D37" i="125"/>
  <c r="D39" i="125"/>
  <c r="J42" i="125" l="1"/>
  <c r="D42" i="125"/>
  <c r="D220" i="131"/>
  <c r="D14" i="131"/>
  <c r="B14" i="131"/>
  <c r="B230" i="131"/>
  <c r="C225" i="131" l="1"/>
  <c r="F230" i="131"/>
  <c r="C224" i="131" l="1"/>
  <c r="G122" i="131" l="1"/>
  <c r="C73" i="131"/>
  <c r="G73" i="131" s="1"/>
  <c r="G106" i="131"/>
  <c r="G60" i="131"/>
  <c r="C25" i="131"/>
  <c r="G25" i="131" s="1"/>
  <c r="G10" i="131"/>
  <c r="C171" i="131"/>
  <c r="C166" i="131" s="1"/>
  <c r="C45" i="131"/>
  <c r="C36" i="131" s="1"/>
  <c r="C50" i="131" s="1"/>
  <c r="C212" i="131"/>
  <c r="C230" i="131"/>
  <c r="G172" i="131" l="1"/>
  <c r="C105" i="131"/>
  <c r="C100" i="131" s="1"/>
  <c r="C110" i="131" s="1"/>
  <c r="C9" i="131"/>
  <c r="C4" i="131" s="1"/>
  <c r="C59" i="131"/>
  <c r="C54" i="131" s="1"/>
  <c r="C64" i="131" s="1"/>
  <c r="G26" i="131"/>
  <c r="C70" i="131"/>
  <c r="C78" i="131" s="1"/>
  <c r="G74" i="131"/>
  <c r="C121" i="131"/>
  <c r="G121" i="131" s="1"/>
  <c r="G186" i="131"/>
  <c r="C202" i="131"/>
  <c r="C20" i="131"/>
  <c r="G171" i="131"/>
  <c r="G59" i="131" l="1"/>
  <c r="G9" i="131"/>
  <c r="G105" i="131"/>
  <c r="C116" i="131"/>
  <c r="C126" i="131" s="1"/>
  <c r="C30" i="131"/>
  <c r="C14" i="131"/>
  <c r="C176" i="131"/>
  <c r="G42" i="131" l="1"/>
  <c r="E41" i="131"/>
  <c r="E36" i="131" l="1"/>
  <c r="E50" i="131" s="1"/>
  <c r="G41" i="131"/>
  <c r="F39" i="131" l="1"/>
  <c r="G39" i="131" s="1"/>
  <c r="E119" i="131"/>
  <c r="F183" i="131"/>
  <c r="E155" i="131"/>
  <c r="E149" i="131" s="1"/>
  <c r="F43" i="131"/>
  <c r="G43" i="131" s="1"/>
  <c r="E182" i="131"/>
  <c r="E191" i="131" s="1"/>
  <c r="G8" i="131"/>
  <c r="G58" i="131"/>
  <c r="G40" i="131"/>
  <c r="G152" i="131"/>
  <c r="G214" i="131"/>
  <c r="F23" i="131"/>
  <c r="G24" i="131"/>
  <c r="G184" i="131" l="1"/>
  <c r="G44" i="131"/>
  <c r="F57" i="131"/>
  <c r="G57" i="131" s="1"/>
  <c r="F185" i="131"/>
  <c r="F182" i="131" s="1"/>
  <c r="F155" i="131"/>
  <c r="C157" i="131"/>
  <c r="C149" i="131" s="1"/>
  <c r="F103" i="131"/>
  <c r="F136" i="131"/>
  <c r="F7" i="131"/>
  <c r="G7" i="131" s="1"/>
  <c r="G120" i="131"/>
  <c r="F138" i="131"/>
  <c r="G138" i="131" s="1"/>
  <c r="G139" i="131"/>
  <c r="F210" i="131"/>
  <c r="G210" i="131" s="1"/>
  <c r="G211" i="131"/>
  <c r="E162" i="131"/>
  <c r="F208" i="131"/>
  <c r="G208" i="131" s="1"/>
  <c r="G209" i="131"/>
  <c r="G135" i="131"/>
  <c r="F71" i="131"/>
  <c r="F70" i="131" s="1"/>
  <c r="F78" i="131" s="1"/>
  <c r="G23" i="131"/>
  <c r="E212" i="131"/>
  <c r="G206" i="131"/>
  <c r="G22" i="131"/>
  <c r="E87" i="131"/>
  <c r="G88" i="131"/>
  <c r="E116" i="131"/>
  <c r="E126" i="131" s="1"/>
  <c r="G119" i="131"/>
  <c r="E136" i="131"/>
  <c r="E103" i="131"/>
  <c r="G199" i="131"/>
  <c r="F198" i="131"/>
  <c r="D225" i="131"/>
  <c r="G183" i="131"/>
  <c r="G155" i="131" l="1"/>
  <c r="G156" i="131"/>
  <c r="G137" i="131"/>
  <c r="G104" i="131"/>
  <c r="C218" i="131"/>
  <c r="C220" i="131" s="1"/>
  <c r="G158" i="131"/>
  <c r="F85" i="131"/>
  <c r="F84" i="131" s="1"/>
  <c r="F94" i="131" s="1"/>
  <c r="F21" i="131"/>
  <c r="F20" i="131" s="1"/>
  <c r="G205" i="131"/>
  <c r="F133" i="131"/>
  <c r="G133" i="131" s="1"/>
  <c r="G134" i="131"/>
  <c r="G6" i="131"/>
  <c r="E202" i="131"/>
  <c r="F150" i="131"/>
  <c r="F149" i="131" s="1"/>
  <c r="G151" i="131"/>
  <c r="E85" i="131"/>
  <c r="G86" i="131"/>
  <c r="F37" i="131"/>
  <c r="G37" i="131" s="1"/>
  <c r="G38" i="131"/>
  <c r="F169" i="131"/>
  <c r="F166" i="131" s="1"/>
  <c r="G170" i="131"/>
  <c r="G56" i="131"/>
  <c r="F55" i="131"/>
  <c r="F101" i="131"/>
  <c r="G102" i="131"/>
  <c r="G201" i="131"/>
  <c r="F200" i="131"/>
  <c r="G200" i="131" s="1"/>
  <c r="F203" i="131"/>
  <c r="G203" i="131" s="1"/>
  <c r="G204" i="131"/>
  <c r="G87" i="131"/>
  <c r="E132" i="131"/>
  <c r="E145" i="131" s="1"/>
  <c r="G136" i="131"/>
  <c r="E100" i="131"/>
  <c r="G103" i="131"/>
  <c r="E71" i="131"/>
  <c r="G72" i="131"/>
  <c r="G118" i="131"/>
  <c r="F117" i="131"/>
  <c r="G198" i="131"/>
  <c r="C140" i="131"/>
  <c r="G157" i="131"/>
  <c r="F140" i="131"/>
  <c r="C89" i="131"/>
  <c r="G90" i="131"/>
  <c r="G227" i="131"/>
  <c r="D224" i="131"/>
  <c r="G225" i="131"/>
  <c r="B218" i="131"/>
  <c r="B220" i="131" s="1"/>
  <c r="F191" i="131"/>
  <c r="G182" i="131"/>
  <c r="G191" i="131" s="1"/>
  <c r="H191" i="131" s="1"/>
  <c r="G185" i="131"/>
  <c r="G187" i="131"/>
  <c r="F176" i="131" l="1"/>
  <c r="G166" i="131"/>
  <c r="F162" i="131"/>
  <c r="G149" i="131"/>
  <c r="G162" i="131" s="1"/>
  <c r="H162" i="131" s="1"/>
  <c r="G85" i="131"/>
  <c r="G140" i="131"/>
  <c r="F30" i="131"/>
  <c r="G20" i="131"/>
  <c r="G30" i="131" s="1"/>
  <c r="H30" i="131" s="1"/>
  <c r="E84" i="131"/>
  <c r="E94" i="131" s="1"/>
  <c r="F197" i="131"/>
  <c r="G197" i="131" s="1"/>
  <c r="F132" i="131"/>
  <c r="F145" i="131" s="1"/>
  <c r="E220" i="131"/>
  <c r="G169" i="131"/>
  <c r="F5" i="131"/>
  <c r="G150" i="131"/>
  <c r="G101" i="131"/>
  <c r="F100" i="131"/>
  <c r="F110" i="131" s="1"/>
  <c r="G55" i="131"/>
  <c r="F54" i="131"/>
  <c r="F64" i="131" s="1"/>
  <c r="G21" i="131"/>
  <c r="F212" i="131"/>
  <c r="G213" i="131"/>
  <c r="E110" i="131"/>
  <c r="G71" i="131"/>
  <c r="E70" i="131"/>
  <c r="G117" i="131"/>
  <c r="F116" i="131"/>
  <c r="F126" i="131" s="1"/>
  <c r="F45" i="131"/>
  <c r="G46" i="131"/>
  <c r="C132" i="131"/>
  <c r="C145" i="131" s="1"/>
  <c r="C162" i="131"/>
  <c r="G141" i="131"/>
  <c r="C84" i="131"/>
  <c r="C94" i="131" s="1"/>
  <c r="G89" i="131"/>
  <c r="D230" i="131"/>
  <c r="G230" i="131" s="1"/>
  <c r="H230" i="131" s="1"/>
  <c r="G224" i="131"/>
  <c r="G219" i="131"/>
  <c r="G218" i="131"/>
  <c r="F4" i="131" l="1"/>
  <c r="G4" i="131" s="1"/>
  <c r="G14" i="131" s="1"/>
  <c r="H14" i="131" s="1"/>
  <c r="G5" i="131"/>
  <c r="G100" i="131"/>
  <c r="G110" i="131" s="1"/>
  <c r="H110" i="131" s="1"/>
  <c r="G176" i="131"/>
  <c r="H176" i="131" s="1"/>
  <c r="F202" i="131"/>
  <c r="G212" i="131"/>
  <c r="G54" i="131"/>
  <c r="E78" i="131"/>
  <c r="G70" i="131"/>
  <c r="G78" i="131" s="1"/>
  <c r="H78" i="131" s="1"/>
  <c r="G116" i="131"/>
  <c r="G132" i="131"/>
  <c r="F36" i="131"/>
  <c r="G45" i="131"/>
  <c r="G84" i="131"/>
  <c r="F220" i="131" l="1"/>
  <c r="G202" i="131"/>
  <c r="G220" i="131" s="1"/>
  <c r="H220" i="131" s="1"/>
  <c r="G126" i="131"/>
  <c r="H126" i="131" s="1"/>
  <c r="G145" i="131"/>
  <c r="H145" i="131" s="1"/>
  <c r="G94" i="131"/>
  <c r="H94" i="131" s="1"/>
  <c r="F14" i="131"/>
  <c r="G64" i="131"/>
  <c r="H64" i="131" s="1"/>
  <c r="F50" i="131"/>
  <c r="G36" i="131"/>
  <c r="G50" i="131" s="1"/>
  <c r="H50" i="131" s="1"/>
  <c r="U7" i="132" l="1"/>
  <c r="U20" i="132"/>
  <c r="U145" i="132"/>
  <c r="AE20" i="132"/>
  <c r="AE7" i="132"/>
  <c r="U132" i="132"/>
  <c r="U143" i="132"/>
  <c r="U142" i="132"/>
  <c r="U133" i="132"/>
  <c r="AE132" i="132"/>
  <c r="AE145" i="132"/>
  <c r="AE142" i="132"/>
  <c r="AE133" i="132"/>
</calcChain>
</file>

<file path=xl/comments1.xml><?xml version="1.0" encoding="utf-8"?>
<comments xmlns="http://schemas.openxmlformats.org/spreadsheetml/2006/main">
  <authors>
    <author>Thanya 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ผลเบิกจ่าย ก.ค. 65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172,997,284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เดือน ก.ค. 65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ปี 63 มีงบลงทุนภายใต้งบรายจ่ายอื่น คือ งบเปิดสถานทูต แต่ปี 64 ไม่มีค่ะ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หมุดหมายที่ 11
</t>
        </r>
      </text>
    </comment>
  </commentList>
</comments>
</file>

<file path=xl/comments4.xml><?xml version="1.0" encoding="utf-8"?>
<comments xmlns="http://schemas.openxmlformats.org/spreadsheetml/2006/main">
  <authors>
    <author>Windows User</author>
    <author>Thanya K</author>
  </authors>
  <commentList>
    <comment ref="V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2565 MTEF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ยอดที่ถูก 8156364200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ยอดถูก
11,552,232,600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ยอดถูก 7,618,748,000</t>
        </r>
      </text>
    </comment>
    <comment ref="G7" authorId="1" shapeId="0">
      <text>
        <r>
          <rPr>
            <b/>
            <sz val="16"/>
            <color indexed="81"/>
            <rFont val="Tahoma"/>
            <family val="2"/>
          </rPr>
          <t>ยอดถูก 7,406,498,000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ยอดที่ถูก 8733622900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</rPr>
          <t>ยอดที่ถูก 47394198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</rPr>
          <t xml:space="preserve">ยอดถูก 7977966107
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</rPr>
          <t>ยอดถูก 143106600</t>
        </r>
      </text>
    </comment>
    <comment ref="R28" authorId="1" shapeId="0">
      <text>
        <r>
          <rPr>
            <b/>
            <sz val="9"/>
            <color indexed="81"/>
            <rFont val="Tahoma"/>
            <family val="2"/>
          </rPr>
          <t>รวมค่าตอบแทนไปด้วย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+จัดประชุมนานาชาติ</t>
        </r>
      </text>
    </comment>
    <comment ref="C47" authorId="1" shapeId="0">
      <text>
        <r>
          <rPr>
            <b/>
            <sz val="9"/>
            <color indexed="81"/>
            <rFont val="Tahoma"/>
            <family val="2"/>
          </rPr>
          <t xml:space="preserve">ไม่มีไฟล์ สนผ.
</t>
        </r>
      </text>
    </comment>
    <comment ref="C91" authorId="1" shapeId="0">
      <text>
        <r>
          <rPr>
            <b/>
            <sz val="9"/>
            <color indexed="81"/>
            <rFont val="Tahoma"/>
            <family val="2"/>
          </rPr>
          <t xml:space="preserve">เดิม 64 ชื่อ ค่าใช้จ่ายในการดำเนินภารกิจส่งเสริมนโยบายครัวไทยสู่ครัวโลกในต่างประเทศ
</t>
        </r>
      </text>
    </comment>
    <comment ref="C93" authorId="1" shapeId="0">
      <text>
        <r>
          <rPr>
            <b/>
            <sz val="9"/>
            <color indexed="81"/>
            <rFont val="Tahoma"/>
            <family val="2"/>
          </rPr>
          <t xml:space="preserve">เดิม 64 ชื่อ าใช้จ่ายในการดำเนินภารกิจส่งเสริมสินค้าและธุรกิจฮาลาลในต่างประเทศ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ปรับลดไป 10 ล้าน จาก 507,154,000</t>
        </r>
      </text>
    </comment>
    <comment ref="C179" authorId="1" shapeId="0">
      <text>
        <r>
          <rPr>
            <b/>
            <sz val="9"/>
            <color indexed="81"/>
            <rFont val="Tahoma"/>
            <family val="2"/>
          </rPr>
          <t>เดิม 64 ชื่อ ค่าใช้จ่ายในการปกป้องและเชิดชูสถาบันพระมหากษัตริย์</t>
        </r>
      </text>
    </comment>
    <comment ref="E291" authorId="1" shapeId="0">
      <text>
        <r>
          <rPr>
            <b/>
            <sz val="9"/>
            <color indexed="81"/>
            <rFont val="Tahoma"/>
            <family val="2"/>
          </rPr>
          <t xml:space="preserve">ตอนแรกบันทึก 145,711,600
</t>
        </r>
      </text>
    </comment>
    <comment ref="C292" authorId="1" shapeId="0">
      <text>
        <r>
          <rPr>
            <b/>
            <sz val="9"/>
            <color indexed="81"/>
            <rFont val="Tahoma"/>
            <family val="2"/>
          </rPr>
          <t xml:space="preserve">แยกออกมาจาก จ้างเหมาบริการ
</t>
        </r>
      </text>
    </comment>
    <comment ref="C448" authorId="1" shapeId="0">
      <text>
        <r>
          <rPr>
            <b/>
            <sz val="9"/>
            <color indexed="81"/>
            <rFont val="Tahoma"/>
            <family val="2"/>
          </rPr>
          <t>ไม่ไดเปลี่ยนชื่อ แต่เอา ยอดเงินสนับสนุน รร นานาชาติมารวม</t>
        </r>
      </text>
    </comment>
    <comment ref="C450" authorId="1" shapeId="0">
      <text>
        <r>
          <rPr>
            <b/>
            <sz val="9"/>
            <color indexed="81"/>
            <rFont val="Tahoma"/>
            <family val="2"/>
          </rPr>
          <t>รวมเงินสนับสนุนโรงเรียนนานาชาติ 1 ล้านบาทเข้ามาในปี 65
จาก 2 ล้าน เป็น 3 ล้าน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8" authorId="1" shapeId="0">
      <text>
        <r>
          <rPr>
            <b/>
            <sz val="9"/>
            <color indexed="81"/>
            <rFont val="Tahoma"/>
            <family val="2"/>
          </rPr>
          <t>ค่าใช้จ่ายในการจัดตั้งศูนย์ศึกษาและวิจัยการต่างประเทศ เดิมปี 64</t>
        </r>
      </text>
    </comment>
    <comment ref="G663" authorId="0" shapeId="0">
      <text>
        <r>
          <rPr>
            <b/>
            <sz val="9"/>
            <color indexed="81"/>
            <rFont val="Tahoma"/>
            <family val="2"/>
          </rPr>
          <t>เดิม 3,000,000</t>
        </r>
      </text>
    </comment>
    <comment ref="G664" authorId="0" shapeId="0">
      <text>
        <r>
          <rPr>
            <b/>
            <sz val="9"/>
            <color indexed="81"/>
            <rFont val="Tahoma"/>
            <family val="2"/>
          </rPr>
          <t>เดิม 3,000,000</t>
        </r>
      </text>
    </comment>
    <comment ref="G670" authorId="0" shapeId="0">
      <text>
        <r>
          <rPr>
            <b/>
            <sz val="9"/>
            <color indexed="81"/>
            <rFont val="Tahoma"/>
            <family val="2"/>
          </rPr>
          <t>เดิม 9,604,000</t>
        </r>
      </text>
    </comment>
    <comment ref="G686" authorId="0" shapeId="0">
      <text>
        <r>
          <rPr>
            <b/>
            <sz val="9"/>
            <color indexed="81"/>
            <rFont val="Tahoma"/>
            <family val="2"/>
          </rPr>
          <t>จาก 31,320,000</t>
        </r>
      </text>
    </comment>
    <comment ref="C718" authorId="1" shapeId="0">
      <text>
        <r>
          <rPr>
            <b/>
            <sz val="9"/>
            <color indexed="81"/>
            <rFont val="Tahoma"/>
            <family val="2"/>
          </rPr>
          <t xml:space="preserve">เดิม 64 ชื่อ เงินช่วยเหลือคนไทยที่ตกทุกข์ได้ยากในต่างประเทศ </t>
        </r>
      </text>
    </comment>
    <comment ref="C722" authorId="1" shapeId="0">
      <text>
        <r>
          <rPr>
            <b/>
            <sz val="9"/>
            <color indexed="81"/>
            <rFont val="Tahoma"/>
            <family val="2"/>
          </rPr>
          <t>เดิม 64 ชื่อ ค่าใช้จ่ายในการส่งเสริมบทบาทผู้แทนของไทยในต่างประเทศ</t>
        </r>
      </text>
    </comment>
    <comment ref="G803" authorId="0" shapeId="0">
      <text>
        <r>
          <rPr>
            <b/>
            <sz val="9"/>
            <color indexed="81"/>
            <rFont val="Tahoma"/>
            <family val="2"/>
          </rPr>
          <t>โดนปรับลดไป 250,000</t>
        </r>
      </text>
    </comment>
    <comment ref="C918" authorId="0" shapeId="0">
      <text>
        <r>
          <rPr>
            <b/>
            <sz val="12"/>
            <color indexed="81"/>
            <rFont val="Tahoma"/>
            <family val="2"/>
          </rPr>
          <t>ใส่พวกอัตราเท่าไหร่ไปเลย จะสะดวกตอนเราทำแผนบุคลากร</t>
        </r>
      </text>
    </comment>
  </commentList>
</comments>
</file>

<file path=xl/comments5.xml><?xml version="1.0" encoding="utf-8"?>
<comments xmlns="http://schemas.openxmlformats.org/spreadsheetml/2006/main">
  <authors>
    <author>Thanya K</author>
    <author>thanya.kla</author>
    <author>Windows User</author>
  </authors>
  <commentList>
    <comment ref="D7" authorId="0" shapeId="0">
      <text>
        <r>
          <rPr>
            <b/>
            <sz val="14"/>
            <color indexed="81"/>
            <rFont val="Tahoma"/>
            <family val="2"/>
          </rPr>
          <t>ยอดที่ถูก 8,156,364,200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</rPr>
          <t>ยอดจริง
7,373,297,429.92</t>
        </r>
      </text>
    </comment>
    <comment ref="H7" authorId="0" shapeId="0">
      <text>
        <r>
          <rPr>
            <b/>
            <sz val="16"/>
            <color indexed="81"/>
            <rFont val="Tahoma"/>
            <family val="2"/>
          </rPr>
          <t>ยอดถูก 7,406,498,000</t>
        </r>
      </text>
    </comment>
    <comment ref="I7" authorId="1" shapeId="0">
      <text>
        <r>
          <rPr>
            <b/>
            <sz val="14"/>
            <color indexed="81"/>
            <rFont val="Tahoma"/>
            <family val="2"/>
          </rPr>
          <t>ยอดที่ถูก
11,055,653,500</t>
        </r>
      </text>
    </comment>
    <comment ref="J7" authorId="2" shapeId="0">
      <text>
        <r>
          <rPr>
            <b/>
            <sz val="14"/>
            <color indexed="81"/>
            <rFont val="Tahoma"/>
            <family val="2"/>
          </rPr>
          <t>7,556,489,900</t>
        </r>
      </text>
    </comment>
    <comment ref="M7" authorId="2" shapeId="0">
      <text>
        <r>
          <rPr>
            <b/>
            <sz val="14"/>
            <color indexed="81"/>
            <rFont val="Tahoma"/>
            <family val="2"/>
          </rPr>
          <t>4,927,187,100</t>
        </r>
      </text>
    </comment>
    <comment ref="N7" authorId="1" shapeId="0">
      <text>
        <r>
          <rPr>
            <b/>
            <sz val="12"/>
            <color indexed="81"/>
            <rFont val="Tahoma"/>
            <family val="2"/>
          </rPr>
          <t>ยอดที่ถูก
7,556,489,900
โดนปรับลด 150 ลบ. แต่ยื่นอุทธรณ์จนได้คืน เย้</t>
        </r>
      </text>
    </comment>
    <comment ref="C11" authorId="2" shapeId="0">
      <text>
        <r>
          <rPr>
            <b/>
            <sz val="9"/>
            <color indexed="81"/>
            <rFont val="Tahoma"/>
            <family val="2"/>
          </rPr>
          <t>เปลี่ยนชื่อโครงการ</t>
        </r>
      </text>
    </comment>
    <comment ref="C12" authorId="2" shapeId="0">
      <text>
        <r>
          <rPr>
            <b/>
            <sz val="9"/>
            <color indexed="81"/>
            <rFont val="Tahoma"/>
            <family val="2"/>
          </rPr>
          <t>เปลี่ยนชื่อกิจกรรม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ลด 1 ล้าน จาก 23,118,000</t>
        </r>
      </text>
    </comment>
    <comment ref="C15" authorId="2" shapeId="0">
      <text>
        <r>
          <rPr>
            <b/>
            <sz val="9"/>
            <color indexed="81"/>
            <rFont val="Tahoma"/>
            <family val="2"/>
          </rPr>
          <t>เปลี่ยนชื่อโครงการ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รวม ทปษ ชาวต่างชาติไว้แล้ว</t>
        </r>
      </text>
    </comment>
    <comment ref="N37" authorId="2" shapeId="0">
      <text>
        <r>
          <rPr>
            <b/>
            <sz val="9"/>
            <color indexed="81"/>
            <rFont val="Tahoma"/>
            <family val="2"/>
          </rPr>
          <t>งบเจรจา กรม อช. ตอ. 10 ลบ. - 5,400 บ. /กรม อช. ใต้ 5.5 ลบ. + 5,400 บ.
กรม อช. ตอ. เงินไม่พอจ้างลูกจ้าง ในงบรักษาพัฒนา  และ คก. นี้ กรม อช. ตอ. ไม่มีงบอื่นค่ะ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ไม่มีไฟล์ สนผ.
มีเปลี่ยนชื่อจากเดิม ค่าใช้จ่ายในการดำเนินภารกิจตามสถานการณ์การเปลี่ยนแปลงด้านการต่างประเทศ (CF) ให้ตรงเล่มขาวคาดแดง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 xml:space="preserve">เดิม 64 ชื่อ ค่าใช้จ่ายในการดำเนินภารกิจส่งเสริมนโยบายครัวไทยสู่ครัวโลกในต่างประเทศ
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 xml:space="preserve">เดิม 64 ชื่อ าใช้จ่ายในการดำเนินภารกิจส่งเสริมสินค้าและธุรกิจฮาลาลในต่างประเทศ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5" authorId="0" shapeId="0">
      <text>
        <r>
          <rPr>
            <b/>
            <sz val="9"/>
            <color indexed="81"/>
            <rFont val="Tahoma"/>
            <family val="2"/>
          </rPr>
          <t>ลด 100 ล้าน จาก 122,894,400</t>
        </r>
      </text>
    </comment>
    <comment ref="N97" authorId="2" shapeId="0">
      <text>
        <r>
          <rPr>
            <b/>
            <sz val="9"/>
            <color indexed="81"/>
            <rFont val="Tahoma"/>
            <family val="2"/>
          </rPr>
          <t xml:space="preserve">คก.สำคัญ 406 </t>
        </r>
      </text>
    </comment>
    <comment ref="N109" authorId="2" shapeId="0">
      <text>
        <r>
          <rPr>
            <b/>
            <sz val="9"/>
            <color indexed="81"/>
            <rFont val="Tahoma"/>
            <family val="2"/>
          </rPr>
          <t>งบรักษาพัฒนา กรม. อช. ตอ. 180,000 บ. + 5,400 บ. / กรม อช. ใต้ 120,000 บ. - 5,400 บ.</t>
        </r>
      </text>
    </comment>
    <comment ref="N111" authorId="2" shapeId="0">
      <text>
        <r>
          <rPr>
            <b/>
            <sz val="9"/>
            <color indexed="81"/>
            <rFont val="Tahoma"/>
            <family val="2"/>
          </rPr>
          <t>งบรักษาพัฒนา กรม. อช. ตอ. 180,000 บ. + 5,400 บ. / กรม อช. ใต้ 120,000 บ. - 5,400 บ.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</rPr>
          <t>ลด 90 ล้าน จาก 211,737,200</t>
        </r>
      </text>
    </comment>
    <comment ref="C120" authorId="2" shapeId="0">
      <text>
        <r>
          <rPr>
            <b/>
            <sz val="9"/>
            <color indexed="81"/>
            <rFont val="Tahoma"/>
            <family val="2"/>
          </rPr>
          <t>ตัดคำว่า แนวชายแดนไทย - เพื่อนบ้าน ออก ให้ตรงกับขาวคาดแดง ปี 66 แก้ชื่อให้เต็มเหมือนเดิม</t>
        </r>
      </text>
    </comment>
    <comment ref="I122" authorId="2" shapeId="0">
      <text>
        <r>
          <rPr>
            <b/>
            <sz val="9"/>
            <color indexed="81"/>
            <rFont val="Tahoma"/>
            <family val="2"/>
          </rPr>
          <t>แยกอัตตาปือออกจากยอดเดิม</t>
        </r>
      </text>
    </comment>
    <comment ref="N123" authorId="2" shapeId="0">
      <text>
        <r>
          <rPr>
            <b/>
            <sz val="9"/>
            <color indexed="81"/>
            <rFont val="Tahoma"/>
            <family val="2"/>
          </rPr>
          <t xml:space="preserve">คก.สำคัญ 406 </t>
        </r>
      </text>
    </comment>
    <comment ref="H136" authorId="2" shapeId="0">
      <text>
        <r>
          <rPr>
            <b/>
            <sz val="9"/>
            <color indexed="81"/>
            <rFont val="Tahoma"/>
            <family val="2"/>
          </rPr>
          <t>ปรับลดไป 10 ล้าน จาก 507,154,000</t>
        </r>
      </text>
    </comment>
    <comment ref="N136" authorId="2" shapeId="0">
      <text>
        <r>
          <rPr>
            <b/>
            <sz val="9"/>
            <color indexed="81"/>
            <rFont val="Tahoma"/>
            <family val="2"/>
          </rPr>
          <t>โดนปรับลดชั้นอนุฯ 150 ลบ. แต่ยื่นอุทธรได้  เลยเท่าเดิม ซึ่งพี่อ๊อฟ said จิคะ เงินอุดหนุนองค์การ 449 ลบ. เราจะจัดสรรให้ องค์การ 355 + ยุโรป 3+อาเซียน 80 + ศก 9 + สนธิ 2 ล้านบาทนะคะ เศษที่เหลือให้สนธิ</t>
        </r>
      </text>
    </comment>
    <comment ref="H137" authorId="1" shapeId="0">
      <text>
        <r>
          <rPr>
            <b/>
            <sz val="9"/>
            <color indexed="81"/>
            <rFont val="Tahoma"/>
            <family val="2"/>
          </rPr>
          <t>ปรับลดไป 10 ล้าน จาก 417,943,800</t>
        </r>
      </text>
    </comment>
    <comment ref="I146" authorId="2" shapeId="0">
      <text>
        <r>
          <rPr>
            <b/>
            <sz val="9"/>
            <color indexed="81"/>
            <rFont val="Tahoma"/>
            <family val="2"/>
          </rPr>
          <t>เอาออกไปใส่ SDGs 3 ล้าน</t>
        </r>
      </text>
    </comment>
    <comment ref="N149" authorId="2" shapeId="0">
      <text>
        <r>
          <rPr>
            <b/>
            <sz val="9"/>
            <color indexed="81"/>
            <rFont val="Tahoma"/>
            <family val="2"/>
          </rPr>
          <t xml:space="preserve">คก.สำคัญ 406 </t>
        </r>
      </text>
    </comment>
    <comment ref="C164" authorId="2" shapeId="0">
      <text>
        <r>
          <rPr>
            <b/>
            <sz val="9"/>
            <color indexed="81"/>
            <rFont val="Tahoma"/>
            <family val="2"/>
          </rPr>
          <t>ที่มาเพิ่มในวันเดดไลน์อ่ะ</t>
        </r>
      </text>
    </comment>
    <comment ref="C177" authorId="0" shapeId="0">
      <text>
        <r>
          <rPr>
            <b/>
            <sz val="9"/>
            <color indexed="81"/>
            <rFont val="Tahoma"/>
            <family val="2"/>
          </rPr>
          <t>เดิม 64 ชื่อ ค่าใช้จ่ายในการปกป้องและเชิดชูสถาบันพระมหากษัตริย์</t>
        </r>
      </text>
    </comment>
    <comment ref="I237" authorId="2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คลังตั้ง 53,250,000</t>
        </r>
      </text>
    </comment>
    <comment ref="I284" authorId="2" shapeId="0">
      <text>
        <r>
          <rPr>
            <b/>
            <sz val="9"/>
            <color indexed="81"/>
            <rFont val="Tahoma"/>
            <family val="2"/>
          </rPr>
          <t>150000 คือค่าวารสาร</t>
        </r>
      </text>
    </comment>
    <comment ref="C286" authorId="0" shapeId="0">
      <text>
        <r>
          <rPr>
            <b/>
            <sz val="9"/>
            <color indexed="81"/>
            <rFont val="Tahoma"/>
            <family val="2"/>
          </rPr>
          <t xml:space="preserve">แยกออกมาจาก จ้างเหมาบริการ
</t>
        </r>
      </text>
    </comment>
    <comment ref="N394" authorId="2" shapeId="0">
      <text>
        <r>
          <rPr>
            <b/>
            <sz val="9"/>
            <color indexed="81"/>
            <rFont val="Tahoma"/>
            <family val="2"/>
          </rPr>
          <t>ไม่ได้ตั้งคำขอมาแต่เอาของ สป. มาให้</t>
        </r>
      </text>
    </comment>
    <comment ref="N401" authorId="2" shapeId="0">
      <text>
        <r>
          <rPr>
            <b/>
            <sz val="9"/>
            <color indexed="81"/>
            <rFont val="Tahoma"/>
            <family val="2"/>
          </rPr>
          <t>หักไปให้อาเซียน 30000 บาท</t>
        </r>
      </text>
    </comment>
    <comment ref="I410" authorId="1" shapeId="0">
      <text>
        <r>
          <rPr>
            <b/>
            <sz val="9"/>
            <color indexed="81"/>
            <rFont val="Tahoma"/>
            <family val="2"/>
          </rPr>
          <t>ค่า สธ. ให้ดูว่า ที่ สนค. ตั้งครอบคลุมที่ กรมการกงสุล กรม ครม. และ ICT (ค่าบริการสื่อสาร) หรือไม่</t>
        </r>
      </text>
    </comment>
    <comment ref="I414" authorId="2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40,000,000 คลังตั้ง</t>
        </r>
      </text>
    </comment>
    <comment ref="I418" authorId="2" shapeId="0">
      <text>
        <r>
          <rPr>
            <b/>
            <sz val="9"/>
            <color indexed="81"/>
            <rFont val="Tahoma"/>
            <family val="2"/>
          </rPr>
          <t>1,500,000 คลังตั้ง</t>
        </r>
      </text>
    </comment>
    <comment ref="I420" authorId="2" shapeId="0">
      <text>
        <r>
          <rPr>
            <b/>
            <sz val="9"/>
            <color indexed="81"/>
            <rFont val="Tahoma"/>
            <family val="2"/>
          </rPr>
          <t>กรมตั้งสูงกว่าคลัง</t>
        </r>
      </text>
    </comment>
    <comment ref="I422" authorId="2" shapeId="0">
      <text>
        <r>
          <rPr>
            <b/>
            <sz val="9"/>
            <color indexed="81"/>
            <rFont val="Tahoma"/>
            <family val="2"/>
          </rPr>
          <t>8,000,000 คลังตั้ง</t>
        </r>
      </text>
    </comment>
    <comment ref="I426" authorId="2" shapeId="0">
      <text>
        <r>
          <rPr>
            <b/>
            <sz val="9"/>
            <color indexed="81"/>
            <rFont val="Tahoma"/>
            <family val="2"/>
          </rPr>
          <t xml:space="preserve">26,600,000 คลังตั้ง
</t>
        </r>
      </text>
    </comment>
    <comment ref="I429" authorId="2" shapeId="0">
      <text>
        <r>
          <rPr>
            <b/>
            <sz val="9"/>
            <color indexed="81"/>
            <rFont val="Tahoma"/>
            <family val="2"/>
          </rPr>
          <t>8,000,000 คลังตั้ง</t>
        </r>
      </text>
    </comment>
    <comment ref="D440" authorId="1" shapeId="0">
      <text>
        <r>
          <rPr>
            <b/>
            <sz val="9"/>
            <color indexed="81"/>
            <rFont val="Tahoma"/>
            <family val="2"/>
          </rPr>
          <t xml:space="preserve">สป
</t>
        </r>
      </text>
    </comment>
    <comment ref="C445" authorId="0" shapeId="0">
      <text>
        <r>
          <rPr>
            <b/>
            <sz val="9"/>
            <color indexed="81"/>
            <rFont val="Tahoma"/>
            <family val="2"/>
          </rPr>
          <t>ไม่ไดเปลี่ยนชื่อ แต่เอา ยอดเงินสนับสนุน รร นานาชาติมารวม</t>
        </r>
      </text>
    </comment>
    <comment ref="C446" authorId="2" shapeId="0">
      <text>
        <r>
          <rPr>
            <b/>
            <sz val="9"/>
            <color indexed="81"/>
            <rFont val="Tahoma"/>
            <family val="2"/>
          </rPr>
          <t>รวมค่าย้ายถิ่น อ.ชาว ตปท มันระบุไว้ในสัญญา</t>
        </r>
      </text>
    </comment>
    <comment ref="C447" authorId="0" shapeId="0">
      <text>
        <r>
          <rPr>
            <b/>
            <sz val="9"/>
            <color indexed="81"/>
            <rFont val="Tahoma"/>
            <family val="2"/>
          </rPr>
          <t>รวมเงินสนับสนุนโรงเรียนนานาชาติ 1 ล้านบาทเข้ามาในปี 65
จาก 2 ล้าน เป็น 3 ล้าน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7" authorId="2" shapeId="0">
      <text>
        <r>
          <rPr>
            <b/>
            <sz val="9"/>
            <color indexed="81"/>
            <rFont val="Tahoma"/>
            <family val="2"/>
          </rPr>
          <t>=3662098+1000000</t>
        </r>
      </text>
    </comment>
    <comment ref="C455" authorId="0" shapeId="0">
      <text>
        <r>
          <rPr>
            <b/>
            <sz val="9"/>
            <color indexed="81"/>
            <rFont val="Tahoma"/>
            <family val="2"/>
          </rPr>
          <t>ค่าใช้จ่ายในการจัดตั้งศูนย์ศึกษาและวิจัยการต่างประเทศ เดิมปี 64</t>
        </r>
      </text>
    </comment>
    <comment ref="C712" authorId="0" shapeId="0">
      <text>
        <r>
          <rPr>
            <b/>
            <sz val="9"/>
            <color indexed="81"/>
            <rFont val="Tahoma"/>
            <family val="2"/>
          </rPr>
          <t xml:space="preserve">เดิม 64 ชื่อ เงินช่วยเหลือคนไทยที่ตกทุกข์ได้ยากในต่างประเทศ </t>
        </r>
      </text>
    </comment>
    <comment ref="C717" authorId="0" shapeId="0">
      <text>
        <r>
          <rPr>
            <b/>
            <sz val="9"/>
            <color indexed="81"/>
            <rFont val="Tahoma"/>
            <family val="2"/>
          </rPr>
          <t>เดิม 64 ชื่อ ค่าใช้จ่ายในการส่งเสริมบทบาทผู้แทนของไทยในต่างประเทศ</t>
        </r>
      </text>
    </comment>
    <comment ref="C894" authorId="2" shapeId="0">
      <text>
        <r>
          <rPr>
            <b/>
            <sz val="12"/>
            <color indexed="81"/>
            <rFont val="Tahoma"/>
            <family val="2"/>
          </rPr>
          <t>ใส่พวกอัตราเท่าไหร่ไปเลย จะสะดวกตอนเราทำแผนบุคลากร</t>
        </r>
      </text>
    </comment>
    <comment ref="I894" authorId="2" shapeId="0">
      <text>
        <r>
          <rPr>
            <b/>
            <sz val="9"/>
            <color indexed="81"/>
            <rFont val="Tahoma"/>
            <family val="2"/>
          </rPr>
          <t>สงป. ให้ปรับลดเงินเดือนเอามาใส่ในค่าจ้างประจำ ไป 691,600 จากเดิม 687,864,500</t>
        </r>
      </text>
    </comment>
    <comment ref="I907" authorId="2" shapeId="0">
      <text>
        <r>
          <rPr>
            <b/>
            <sz val="9"/>
            <color indexed="81"/>
            <rFont val="Tahoma"/>
            <family val="2"/>
          </rPr>
          <t>ได้เพิ่มจากเงินเดือน จากเดิม 17,352,700</t>
        </r>
      </text>
    </comment>
    <comment ref="I912" authorId="2" shapeId="0">
      <text>
        <r>
          <rPr>
            <b/>
            <sz val="9"/>
            <color indexed="81"/>
            <rFont val="Tahoma"/>
            <family val="2"/>
          </rPr>
          <t>พี่จิใช้ อัตราคนครอง 1 คน ขั้นวิ่ง 5 อัตราว่างมีเงิน ขั้นวิ่ง 13 ยอดเลยเพิ่มจากที่พี่สถาบันตั้ง</t>
        </r>
      </text>
    </comment>
    <comment ref="C920" authorId="1" shapeId="0">
      <text>
        <r>
          <rPr>
            <b/>
            <sz val="9"/>
            <color indexed="81"/>
            <rFont val="Tahoma"/>
            <family val="2"/>
          </rPr>
          <t>อ.ประจำชาวตปท. 2 อัตรา</t>
        </r>
      </text>
    </comment>
    <comment ref="I923" authorId="2" shapeId="0">
      <text>
        <r>
          <rPr>
            <b/>
            <sz val="9"/>
            <color indexed="81"/>
            <rFont val="Tahoma"/>
            <family val="2"/>
          </rPr>
          <t>ปรับลง 100 บาทให้มันตรงกับรายงานที่ส่ง สงป</t>
        </r>
      </text>
    </comment>
  </commentList>
</comments>
</file>

<file path=xl/sharedStrings.xml><?xml version="1.0" encoding="utf-8"?>
<sst xmlns="http://schemas.openxmlformats.org/spreadsheetml/2006/main" count="3045" uniqueCount="1466">
  <si>
    <t>งบประมาณ</t>
  </si>
  <si>
    <t>กระทรวงการต่างประเทศ</t>
  </si>
  <si>
    <t>รวมทั้งสิ้น</t>
  </si>
  <si>
    <t>1. งบบุคลากร</t>
  </si>
  <si>
    <t>2. งบดำเนินงาน</t>
  </si>
  <si>
    <t>งบประมาณทั้งสิ้น</t>
  </si>
  <si>
    <t>แผนงานบุคลากรภาครัฐ</t>
  </si>
  <si>
    <t>สำนักงานปลัดกระทรวงการต่างประเทศ</t>
  </si>
  <si>
    <t>รายการ</t>
  </si>
  <si>
    <t xml:space="preserve"> 1.1 เงินเดือน</t>
  </si>
  <si>
    <t xml:space="preserve"> -รายการปีเดียว (ไม่ผูกพัน)</t>
  </si>
  <si>
    <t>ผลผลิต : รายการบุคลากรภาครัฐ</t>
  </si>
  <si>
    <t>แผนงานยุทธศาสตร์ส่งเสริมความสัมพันธ์ระหว่างประเทศ</t>
  </si>
  <si>
    <t>กิจกรรม : ส่งเสริมความสัมพันธ์ระหว่างประเทศ</t>
  </si>
  <si>
    <t>2.1 ค่าครุภัณฑ์</t>
  </si>
  <si>
    <t>แผนงานพื้นฐานด้านความมั่นคง</t>
  </si>
  <si>
    <t>คำขอหลังปรับปรุง</t>
  </si>
  <si>
    <t>-</t>
  </si>
  <si>
    <t xml:space="preserve"> 2563 (ครม.เห็นชอบ)</t>
  </si>
  <si>
    <t>แผนงบประมาณ/ผลผลิต/โครงการ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</si>
  <si>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</si>
  <si>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</si>
  <si>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</si>
  <si>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</si>
  <si>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</si>
  <si>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</t>
  </si>
  <si>
    <t>แผนงานบูรณาการขับเคลื่อนการแก้ไขปัญหาจังหวัดชายแดนภาคใต้</t>
  </si>
  <si>
    <t>ผลผลิต : ส่งเสริมความสัมพันธ์ระหว่างประเทศ</t>
  </si>
  <si>
    <t>แผนงานบูรณาการ</t>
  </si>
  <si>
    <t>แผนงานยุทธศาสตร์</t>
  </si>
  <si>
    <t>แผนงานพื้นฐาน</t>
  </si>
  <si>
    <t>จ่ายจริง  2562</t>
  </si>
  <si>
    <t>งปม.ได้รับ 2562</t>
  </si>
  <si>
    <t xml:space="preserve"> -รายการผูกเดิม</t>
  </si>
  <si>
    <t xml:space="preserve"> -รายการผูกใหม่</t>
  </si>
  <si>
    <t>ผูกพันเดิม</t>
  </si>
  <si>
    <t>ผูกพันใหม่</t>
  </si>
  <si>
    <t>คำขอ  2566</t>
  </si>
  <si>
    <t>คำขอ  2567</t>
  </si>
  <si>
    <t>คำขอ  2568-72</t>
  </si>
  <si>
    <t>คำขอ  2573-77</t>
  </si>
  <si>
    <t>คำขอ  2578-80</t>
  </si>
  <si>
    <t>กรมการกงสุล</t>
  </si>
  <si>
    <t>กรมพิธีการทูต</t>
  </si>
  <si>
    <t>กิจกรรม : การศึกษาเพื่อความมั่นคง</t>
  </si>
  <si>
    <t>1. งบรายจ่ายอื่น</t>
  </si>
  <si>
    <t xml:space="preserve">1) ค่าใช้จ่ายในการส่งเสริมความเข้าใจทั้งในและต่างประเทศ เกี่ยวกับประเด็นจังหวัดชายแดนภาคใต้ </t>
  </si>
  <si>
    <t>2) ค่าใช้จ่ายในการเสริมสร้างความเข้าใจและถ่ายทอดองค์ความรู้เพื่อการอยู่ร่วมกันในสังคมพหุวัฒนธรรม</t>
  </si>
  <si>
    <t>(กลุ่มงานความมั่นคงระหว่างประเทศ)</t>
  </si>
  <si>
    <t>กรมเอเชียใต้ ตะวันออกกลางและแอฟริกา</t>
  </si>
  <si>
    <t>กรมสารนิเทศ</t>
  </si>
  <si>
    <t>กรมเศรษฐกิจระหว่างประเทศ</t>
  </si>
  <si>
    <t>กรมเอเชียตะวันออก</t>
  </si>
  <si>
    <t>กรมอเมริกาและแปซิฟิกใต้</t>
  </si>
  <si>
    <t>กรมยุโรป</t>
  </si>
  <si>
    <r>
      <t xml:space="preserve">1. งบเงินอุดหนุน </t>
    </r>
    <r>
      <rPr>
        <sz val="16"/>
        <rFont val="TH SarabunPSK"/>
        <family val="2"/>
      </rPr>
      <t>(กรมความร่วมมือระหว่างประเทศ)</t>
    </r>
  </si>
  <si>
    <r>
      <t xml:space="preserve">2. งบรายจ่ายอื่น  </t>
    </r>
    <r>
      <rPr>
        <sz val="16"/>
        <rFont val="TH SarabunPSK"/>
        <family val="2"/>
      </rPr>
      <t>(กรมความร่วมมือระหว่างประเทศ)</t>
    </r>
  </si>
  <si>
    <t>1.2 เงินอุดหนุนค่าใช้จ่ายในการเดินทางสำหรับผู้รับทุนรัฐบาลต่างประเทศ</t>
  </si>
  <si>
    <t>1.3 เงินอุดหนุนองค์การระหว่างประเทศที่ประเทศไทยเข้าร่วมเป็นสมาชิก</t>
  </si>
  <si>
    <t>1.6 เงินอุดหนุนการพัฒนาฝีมือแรงงานตามแนวชายแดนไทย - เพื่อนบ้าน</t>
  </si>
  <si>
    <t>1. งบเงินอุดหนุน</t>
  </si>
  <si>
    <t>กรมองค์การระหว่างประเทศ</t>
  </si>
  <si>
    <t>กรมสนธิสัญญาและกฎหมาย</t>
  </si>
  <si>
    <t>กรมอาเซียน</t>
  </si>
  <si>
    <t>2. งบรายจ่ายอื่น</t>
  </si>
  <si>
    <t>2.2 ค่าใช้จ่ายในการเดินทางไปราชการต่างประเทศชั่วคราว</t>
  </si>
  <si>
    <t>กรมอเมริกา และแปซิฟิกใต้</t>
  </si>
  <si>
    <t>สถานเอกอัครราชทูตฯ/สถานกงสุลใหญ่ฯ/คณะผู้แทนถาวรฯ/สำนักงานการค้าฯ</t>
  </si>
  <si>
    <t>กรมยุโรป (EUROPE WATCH)</t>
  </si>
  <si>
    <t>สำนักนโยบายและแผน</t>
  </si>
  <si>
    <t>กองบรรณสารและห้องสมุด</t>
  </si>
  <si>
    <t>กลุ่มงานความมั่นคงระหว่างประเทศ</t>
  </si>
  <si>
    <t>(กรมองค์การระหว่างประเทศ)</t>
  </si>
  <si>
    <t>(กรมสนธิสัญญาและกฎหมาย)</t>
  </si>
  <si>
    <t xml:space="preserve">1. งบเงินอุดหนุน </t>
  </si>
  <si>
    <t>2.1 ค่าใช้จ่ายในการเสริมสร้างความเชื่อมั่นต่อประเทศไทย</t>
  </si>
  <si>
    <t xml:space="preserve">กรมพิธีการทูต </t>
  </si>
  <si>
    <r>
      <t xml:space="preserve">2.2 ค่าใช้จ่ายในการผลักดันประเทศไทยสู่แถวหน้าในเวทีโลก </t>
    </r>
    <r>
      <rPr>
        <sz val="16"/>
        <rFont val="TH SarabunPSK"/>
        <family val="2"/>
      </rPr>
      <t>(กรมสารนิเทศ)</t>
    </r>
  </si>
  <si>
    <t xml:space="preserve">1. งบดำเนินงาน </t>
  </si>
  <si>
    <t>1.1 ค่าตอบแทน</t>
  </si>
  <si>
    <t>กรมความร่วมมือระหว่างประเทศ</t>
  </si>
  <si>
    <t>สำนักงานปลัดกระทรวงฯ</t>
  </si>
  <si>
    <t xml:space="preserve"> - ค่าตอบแทนผู้ปฏิบัติงานให้ราชการ</t>
  </si>
  <si>
    <t xml:space="preserve"> - ค่าเบี้ยประชุมกรรมการ</t>
  </si>
  <si>
    <t>1.2 ค่าใช้สอย</t>
  </si>
  <si>
    <t xml:space="preserve"> - ค่าเบี้ยเลี้ยง ค่าเช่าที่พักและค่าพาหนะ</t>
  </si>
  <si>
    <t xml:space="preserve"> - ค่าซ่อมแซมยานพาหนะและขนส่ง</t>
  </si>
  <si>
    <t xml:space="preserve"> - ค่าซ่อมแซมครุภัณฑ์ </t>
  </si>
  <si>
    <t xml:space="preserve"> - ค่าเช่าทรัพย์สิน</t>
  </si>
  <si>
    <t xml:space="preserve"> - ค่าจ้างเหมาบริการ </t>
  </si>
  <si>
    <t xml:space="preserve"> - ค่าใช้จ่ายในการสัมมนาและฝึกอบรม</t>
  </si>
  <si>
    <t xml:space="preserve"> - ค่ารับรองและพิธีการ </t>
  </si>
  <si>
    <t xml:space="preserve"> - ค่าย้ายถิ่นที่อยู่ </t>
  </si>
  <si>
    <t xml:space="preserve"> - ค่าเครื่องแต่งกาย</t>
  </si>
  <si>
    <t xml:space="preserve"> - ค่าประกันภัย  </t>
  </si>
  <si>
    <t xml:space="preserve"> - สำนักจัดหาฯ</t>
  </si>
  <si>
    <t xml:space="preserve"> - ค่าจ้างเหมาบุคลากรช่วยปฏิบัติงาน</t>
  </si>
  <si>
    <r>
      <t xml:space="preserve"> - ค่าเช่ารถยนต์ </t>
    </r>
    <r>
      <rPr>
        <sz val="16"/>
        <rFont val="TH SarabunPSK"/>
        <family val="2"/>
      </rPr>
      <t>(สำนักงานปลัดกระทรวงฯ)</t>
    </r>
  </si>
  <si>
    <t xml:space="preserve"> - ค่าวัสดุสำนักงาน </t>
  </si>
  <si>
    <t xml:space="preserve"> - ค่าวัสดุเชื้อเพลิงและหล่อลื่น </t>
  </si>
  <si>
    <t xml:space="preserve"> - ค่าวัสดุงานบ้านงานครัว </t>
  </si>
  <si>
    <t xml:space="preserve"> - ค่าวัสดุไฟฟ้าและวิทยุ</t>
  </si>
  <si>
    <t xml:space="preserve">  - ค่าวัสดุโฆษณาและเผยแพร่</t>
  </si>
  <si>
    <t xml:space="preserve">  - ค่าวัสดุคอมพิวเตอร์</t>
  </si>
  <si>
    <t xml:space="preserve">  - ค่าวัสดุเครื่องแต่งกาย</t>
  </si>
  <si>
    <t xml:space="preserve"> - ค่าไฟฟ้า </t>
  </si>
  <si>
    <t xml:space="preserve"> 1.4 ค่าสาธารณูปโภค</t>
  </si>
  <si>
    <t xml:space="preserve"> - ค่าโทรศัพท์ </t>
  </si>
  <si>
    <t xml:space="preserve">  - ค่าไปรษณีย์ </t>
  </si>
  <si>
    <t xml:space="preserve">  - ค่าบริการสื่อสารและโทรคมนาคม</t>
  </si>
  <si>
    <t xml:space="preserve"> 2. งบลงทุน</t>
  </si>
  <si>
    <t>2.2 ค่าที่ดินและสิ่งก่อสร้าง</t>
  </si>
  <si>
    <t xml:space="preserve">3. งบเงินอุดหนุน </t>
  </si>
  <si>
    <t>4. งบรายจ่ายอื่น</t>
  </si>
  <si>
    <t xml:space="preserve">  สถานเอกอัครราชทูต/สถานกงสุลใหญ่/คณะผู้แทนถาวรฯ/สำนักงานการค้าฯ</t>
  </si>
  <si>
    <t>สำนักบริหารบุคคล</t>
  </si>
  <si>
    <t>กลุ่มพัฒนาระบบบริหาร</t>
  </si>
  <si>
    <t xml:space="preserve"> - ค่าตอบแทนการปฏิบัติงานนอกเวลาราชการ</t>
  </si>
  <si>
    <t>1. งบลงทุน</t>
  </si>
  <si>
    <t>กิจกรรมที่ 1 : ส่งเสริมความสัมพันธ์ระหว่างประเทศ</t>
  </si>
  <si>
    <t>2.1 ค่าใช้จ่ายในการเจรจาและการจัดประชุมนานาชาติ</t>
  </si>
  <si>
    <t>1.10 เงินอุดหนุนโครงการความร่วมมือกับแหล่งความช่วยเหลือต่าง ๆ ที่ให้กับประเทศกำลังพัฒนาอื่น ๆ</t>
  </si>
  <si>
    <t>กิจกรรม : การสร้างความเข้าใจต่อนานาชาติ</t>
  </si>
  <si>
    <t>1.8 โครงการพระราชดำริในสมเด็จพระกนิษฐาธิราชเจ้า กรมสมเด็จพระเทพรัตนราชสุดาฯ สยามบรมราชกุมารี</t>
  </si>
  <si>
    <t xml:space="preserve">2.1 ค่าใช้จ่ายในการเจรจาและการจัดประชุมนานาชาติ </t>
  </si>
  <si>
    <t>2.3 ค่าใช้จ่ายในการเดินทางไปราชการต่างประเทศชั่วคราว</t>
  </si>
  <si>
    <t>ตารางสรุปภาพรวมงบประมาณรายจ่ายประจำปีงบประมาณ พ.ศ. 2565</t>
  </si>
  <si>
    <t>โครงการที่ 1 : ส่งเสริมความสัมพันธ์ระหว่างประเทศและรักษาผลประโยชน์ของชาติด้านความมั่นคง</t>
  </si>
  <si>
    <t>กิจกรรมที่ 1 : ส่งเสริมความสัมพันธ์ทวิภาคี</t>
  </si>
  <si>
    <t>กิจกรรมที่ 2 : ส่งเสริมผลประโยชน์ของไทยในกรอบอาเซียน</t>
  </si>
  <si>
    <t>โครงการที่ 2 : ขับเคลื่อนการทูตเศรษฐกิจและความร่วมมือเพื่อการพัฒนา</t>
  </si>
  <si>
    <t>กิจกรรมที่ 1 : ขับเคลื่อนการทูตเศรษฐกิจ</t>
  </si>
  <si>
    <t>กิจกรรมที่ 2 : ขับเคลื่อนการทูตเพื่อการพัฒนา</t>
  </si>
  <si>
    <t xml:space="preserve"> กิจกรรม : ส่งเสริมความสัมพันธ์และความร่วมมือกับองค์การระหว่างประเทศ</t>
  </si>
  <si>
    <t xml:space="preserve"> กิจกรรม : ขับเคลื่อนการยกระดับบทบาทและสถานะของไทยในประชาคมโลก</t>
  </si>
  <si>
    <t>โครงการที่ 5 : สนับสนุนการขับเคลื่อนการต่างประเทศอย่างมีเอกภาพและบูรณาการ</t>
  </si>
  <si>
    <t>กิจกรรมที่ 1 : เสริมสร้างและพัฒนาขีดความสามารถในการขับเคลื่อนยุทธศาสตร์การต่างประเทศ</t>
  </si>
  <si>
    <t>กิจกรรมที่ 2 : ขับเคลื่อนการทูตเพื่อประชาชนในต่างประเทศ</t>
  </si>
  <si>
    <t>โครงการที่ 3 : ส่งเสริมความสัมพันธ์และความร่วมมือกับองค์การระหว่างประเทศ</t>
  </si>
  <si>
    <t>โครงการที่ 4 : ยกระดับบทบาทและสถานะของไทยในประชาคมโลก</t>
  </si>
  <si>
    <t xml:space="preserve">(1)
คำขอ  2564 </t>
  </si>
  <si>
    <t>(2)
กรอบ ครม.</t>
  </si>
  <si>
    <t>(3)
ปรับลด มติ ครม.</t>
  </si>
  <si>
    <t>(4)
คงเหลือหลังปรับลด
(2) - (3)</t>
  </si>
  <si>
    <t>คำขอ งปม. 2564 
หลังปรับลด มติ ครม.</t>
  </si>
  <si>
    <t>ปรับลด
คณะอนุฯ</t>
  </si>
  <si>
    <t>งบประมาณที่ได้รับ
ปี 2564</t>
  </si>
  <si>
    <t>โครงการที่ 1 : โครงการเสริมสร้างภูมิคุ้มกันเพื่อสันติสุขในพื้นที่จังหวัดชายแดนภาคใต้</t>
  </si>
  <si>
    <t>โครงการที่ 2 : โครงการเสริมสร้างความร่วมมือกับภาคประชาสังคมและนานาชาติ</t>
  </si>
  <si>
    <t>1.9 โครงการพระราชดำริเพื่อร่วมมือและแลกเปลี่ยนประสบการณ์ด้านวิชาการกับต่างประเทศของสถาบันวิจัยจุฬาภรณ์</t>
  </si>
  <si>
    <t xml:space="preserve">  ตามข้อตกลงระหว่างประเทศ </t>
  </si>
  <si>
    <t>1.1 เงินอุดหนุนองค์การระหว่างประเทศที่ประเทศไทยเข้าร่วมเป็นสมาชิก</t>
  </si>
  <si>
    <t xml:space="preserve"> - ค่าตอบแทนบุคคลหรือคณะกรรมการจัดซื้อจัดจ้างและบริหารพัสดุ</t>
  </si>
  <si>
    <t xml:space="preserve"> - ค่าภาษีและค่าธรรมเนียม (กรมความร่วมมือฯ)</t>
  </si>
  <si>
    <r>
      <t xml:space="preserve"> - ค่าใช้จ่ายในการดำเนินคดี </t>
    </r>
    <r>
      <rPr>
        <sz val="16"/>
        <rFont val="TH SarabunPSK"/>
        <family val="2"/>
      </rPr>
      <t>(กลุ่มงานนิติการ)</t>
    </r>
  </si>
  <si>
    <t xml:space="preserve"> - ค่าใช้จ่ายในการดูแลบำรุงรักษาอาคารที่ทำการ ทำเนียบเอกอัครราชทูตและบ้านพักที่รัฐบาลไทยถือกรรมสิทธิ์</t>
  </si>
  <si>
    <t>1.3 ค่าวัสดุ</t>
  </si>
  <si>
    <t xml:space="preserve">  - ค่าน้ำประปา </t>
  </si>
  <si>
    <t>สถาบันการต่างประเทศเทวะวงศ์วโรปการ</t>
  </si>
  <si>
    <t>ผลผลิตที่ 1 : ส่งเสริมความสัมพันธ์ระหว่างประเทศ</t>
  </si>
  <si>
    <t>1.1.1 เงินเดือน</t>
  </si>
  <si>
    <t xml:space="preserve">(1) อัตราเดิม </t>
  </si>
  <si>
    <t>2.1 ค่าตอบแทน</t>
  </si>
  <si>
    <t>2.2 ค่าใช้สอย</t>
  </si>
  <si>
    <t>จ่ายจริง  2563</t>
  </si>
  <si>
    <t>โครงการที่ 1: โครงการส่งเสริมความสัมพันธ์ระหว่างประเทศและรักษาผลประโยชน์ของชาติด้านความมั่นคง</t>
  </si>
  <si>
    <t>โครงการที่ 2 : โครงการขับเคลื่อนการทูตเศรษฐกิจและความร่วมมือเพื่อการพัฒนา</t>
  </si>
  <si>
    <t>โครงการที่ 3 : โครงการส่งเสริมความสัมพันธ์และความร่วมมือกับองค์การระหว่างประเทศ</t>
  </si>
  <si>
    <t>กิจกรรม : ส่งเสริมความสัมพันธ์และความร่วมมือกับองค์การระหว่างประเทศ</t>
  </si>
  <si>
    <t>โครงการที่ 4 : โครงการยกระดับบทบาทและสถานะของไทยในประชาคมโลก</t>
  </si>
  <si>
    <t>กิจกรรม : ขับเคลื่อนการยกระดับบทบาทและสถานะของไทยในประชาคมโลก</t>
  </si>
  <si>
    <t>2.6 ค่าใช้จ่ายในการเดินทางไปราชการต่างประเทศชั่วคราว</t>
  </si>
  <si>
    <t>โครงการที่ 5 : โครงการสนับสนุนการขับเคลื่อนการต่างประเทศอย่างมีเอกภาพและบูรณาการ</t>
  </si>
  <si>
    <t xml:space="preserve">2. งบเงินอุดหนุน </t>
  </si>
  <si>
    <t>3. งบรายจ่ายอื่น</t>
  </si>
  <si>
    <r>
      <t>(</t>
    </r>
    <r>
      <rPr>
        <sz val="16"/>
        <rFont val="TH SarabunPSK"/>
        <family val="2"/>
      </rPr>
      <t>กองบรรณสารฯ</t>
    </r>
    <r>
      <rPr>
        <b/>
        <sz val="16"/>
        <rFont val="TH SarabunPSK"/>
        <family val="2"/>
      </rPr>
      <t>)</t>
    </r>
  </si>
  <si>
    <r>
      <t xml:space="preserve">4.1 ค่าใช้จ่ายในการสนับสนุนกิจกรรมคนไทยในต่างประเทศ </t>
    </r>
    <r>
      <rPr>
        <sz val="16"/>
        <rFont val="TH SarabunPSK"/>
        <family val="2"/>
      </rPr>
      <t>(กรมการกงสุล)</t>
    </r>
  </si>
  <si>
    <t xml:space="preserve">4.4  ค่าใช้จ่ายในการพัฒนาระบบทรัพยากรสารสนเทศแบบอิเล็กทรอนิกส์เพื่อเพิ่มประสิทธิภาพการให้บริการของภาครัฐ </t>
  </si>
  <si>
    <t>1.1 ค่าใช้สอย</t>
  </si>
  <si>
    <t>1.2 ค่าวัสดุ</t>
  </si>
  <si>
    <t xml:space="preserve"> 1.3 ค่าสาธารณูปโภค</t>
  </si>
  <si>
    <t xml:space="preserve"> - ค่าน้ำประปา </t>
  </si>
  <si>
    <t xml:space="preserve"> - ค่าไปรษณีย์ </t>
  </si>
  <si>
    <t>2. งบเงินอุดหนุน</t>
  </si>
  <si>
    <r>
      <t>1.1 ค่าใช้จ่ายในการส่งเสริมความร่วมมือด้านการเมืองและความมั่นคงในกรอบอาเซียน</t>
    </r>
    <r>
      <rPr>
        <sz val="16"/>
        <rFont val="TH SarabunPSK"/>
        <family val="2"/>
      </rPr>
      <t xml:space="preserve"> (กรมอาเซียน)</t>
    </r>
  </si>
  <si>
    <r>
      <t xml:space="preserve">1.2 ค่าใช้จ่ายในการดำเนินกิจกรรมประจำปีอาเซียน </t>
    </r>
    <r>
      <rPr>
        <sz val="16"/>
        <rFont val="TH SarabunPSK"/>
        <family val="2"/>
      </rPr>
      <t>(กรมอาเซียน)</t>
    </r>
  </si>
  <si>
    <t>1.3 ค่าใช้จ่ายในการดำเนินการตามกรอบข้อตกลงของประชาคมอาเซียน</t>
  </si>
  <si>
    <r>
      <t>2.1 เงินอุดหนุนสมาคมอาเซียนประเทศไทย (</t>
    </r>
    <r>
      <rPr>
        <sz val="16"/>
        <rFont val="TH SarabunPSK"/>
        <family val="2"/>
      </rPr>
      <t>กรมอาเซียน</t>
    </r>
    <r>
      <rPr>
        <b/>
        <sz val="16"/>
        <rFont val="TH SarabunPSK"/>
        <family val="2"/>
      </rPr>
      <t>)</t>
    </r>
  </si>
  <si>
    <r>
      <t xml:space="preserve">2.2 เงินสนับสนุนการดำเนินงานของศูนย์อาเซียนเพื่อการศึกษาและการหารือด้านการพัฒนาที่ยั่งยืน </t>
    </r>
    <r>
      <rPr>
        <sz val="16"/>
        <rFont val="TH SarabunPSK"/>
        <family val="2"/>
      </rPr>
      <t>(อาเซียน)</t>
    </r>
  </si>
  <si>
    <t>1.1 ค่าใช้จ่ายในการดำเนินการภารกิจตามยุทธศาสตร์ไทยต่อโลกมุสลิม</t>
  </si>
  <si>
    <r>
      <t xml:space="preserve">1.3 ค่าใช้จ่ายในการดำเนินงานด้านเขตแดนระหว่างไทยกับประเทศเพื่อนบ้าน </t>
    </r>
    <r>
      <rPr>
        <sz val="16"/>
        <rFont val="TH SarabunPSK"/>
        <family val="2"/>
      </rPr>
      <t>(กรมสนธิสัญญาและกฎหมาย)</t>
    </r>
  </si>
  <si>
    <r>
      <t xml:space="preserve">1.4 ค่าใช้จ่ายในการดำเนินการหลังคำพิพากษาคดีปราสาทพระวิหาร </t>
    </r>
    <r>
      <rPr>
        <sz val="16"/>
        <rFont val="TH SarabunPSK"/>
        <family val="2"/>
      </rPr>
      <t>(กรมสนธิสัญญาและกฎหมาย)</t>
    </r>
  </si>
  <si>
    <r>
      <t xml:space="preserve">1.5 ค่าใช้จ่ายในการสร้างความเข้าใจกับสหรัฐฯ เกี่ยวกับการแก้ไขปัญหาการค้ามนุษย์ของไทย </t>
    </r>
    <r>
      <rPr>
        <sz val="16"/>
        <rFont val="TH SarabunPSK"/>
        <family val="2"/>
      </rPr>
      <t>(กรมอเมริกาและแปซิฟิกใต้)</t>
    </r>
  </si>
  <si>
    <t>1.7 ค่าใช้จ่ายในการเจรจาและการจัดประชุมนานาชาติ</t>
  </si>
  <si>
    <t>1.8 ค่าใช้จ่ายในการเดินทางไปราชการต่างประเทศชั่วคราว</t>
  </si>
  <si>
    <r>
      <t xml:space="preserve">1.3 ค่าใช้จ่ายในการเสริมสร้างศักยภาพในการแข่งขันของภาคเอกชนไทยกับนานาประเทศ </t>
    </r>
    <r>
      <rPr>
        <sz val="16"/>
        <rFont val="TH SarabunPSK"/>
        <family val="2"/>
      </rPr>
      <t>(กรมเศรษฐกิจระหว่างประเทศ)</t>
    </r>
  </si>
  <si>
    <r>
      <t xml:space="preserve">1.4 ค่าใช้จ่ายในการส่งเสริมพัฒนาความร่วมมือในกรอบภูมิภาคและอนุภูมิภาค </t>
    </r>
    <r>
      <rPr>
        <sz val="16"/>
        <rFont val="TH SarabunPSK"/>
        <family val="2"/>
      </rPr>
      <t>(กรมเศรษฐกิจระหว่างประเทศ)</t>
    </r>
  </si>
  <si>
    <r>
      <t xml:space="preserve">1.5 ค่าใช้จ่ายในการผลักดันการคุ้มครองการลงทุนระหว่างประเทศของไทย </t>
    </r>
    <r>
      <rPr>
        <sz val="16"/>
        <rFont val="TH SarabunPSK"/>
        <family val="2"/>
      </rPr>
      <t>(กรมเศรษฐกิจระหว่างประเทศ)</t>
    </r>
  </si>
  <si>
    <t>1.6 ค่าใช้จ่ายในการศึกษาผลประโยชน์และผลกระทบการเข้าเป็นสมาชิกองค์การเพื่อความร่วมมือทางเศรษฐกิจ</t>
  </si>
  <si>
    <r>
      <t xml:space="preserve">1.9 ค่าใช้จ่ายในการเจรจาและการจัดประชุมนานาชาติ </t>
    </r>
    <r>
      <rPr>
        <sz val="16"/>
        <rFont val="TH SarabunPSK"/>
        <family val="2"/>
      </rPr>
      <t>(กรมเศรษฐกิจระหว่างประเทศ)</t>
    </r>
  </si>
  <si>
    <r>
      <t xml:space="preserve">1.10 ค่าใช้จ่ายในการเดินทางไปราชการต่างประเทศชั่วคราว </t>
    </r>
    <r>
      <rPr>
        <sz val="16"/>
        <rFont val="TH SarabunPSK"/>
        <family val="2"/>
      </rPr>
      <t>(กรมเศรษฐกิจระหว่างประเทศ)</t>
    </r>
  </si>
  <si>
    <r>
      <t xml:space="preserve">2.1 เงินอุดหนุนค่าใช้จ่ายในการศึกษาของนักเรียนทุนรัฐบาลของกระทรวงการต่างประเทศ </t>
    </r>
    <r>
      <rPr>
        <sz val="16"/>
        <rFont val="TH SarabunPSK"/>
        <family val="2"/>
      </rPr>
      <t>(สำนักบริหารบุคคล)</t>
    </r>
  </si>
  <si>
    <t>3.1 ค่าใช้จ่ายในการเดินทางไปราชการต่างประเทศชั่วคราว</t>
  </si>
  <si>
    <t>3.2 ค่าใช้จ่ายในการพัฒนาบุคลากรด้านการทูตและการต่างประเทศ</t>
  </si>
  <si>
    <r>
      <t>3.3 ค่าใช้จ่ายในการเข้าร่วมกิจกรรมเฉลิมพระเกียรติฯ</t>
    </r>
    <r>
      <rPr>
        <sz val="16"/>
        <rFont val="TH SarabunPSK"/>
        <family val="2"/>
      </rPr>
      <t xml:space="preserve"> (สำนักจัดหาและบริหารทรัพย์สิน)</t>
    </r>
  </si>
  <si>
    <r>
      <t xml:space="preserve">3.5 ค่าใช้จ่ายในการประชุมเอกอัครราชทูตและกงสุลใหญ่ </t>
    </r>
    <r>
      <rPr>
        <sz val="16"/>
        <rFont val="TH SarabunPSK"/>
        <family val="2"/>
      </rPr>
      <t>(สำนักนโยบายและแผน)</t>
    </r>
  </si>
  <si>
    <r>
      <t xml:space="preserve">4.3 ค่าใช้จ่ายในการจัดทำบัตรประจำตัวประชาชนสำหรับผู้มีสัญชาติไทยที่อาศัยอยู่ในต่างประเทศ </t>
    </r>
    <r>
      <rPr>
        <sz val="16"/>
        <rFont val="TH SarabunPSK"/>
        <family val="2"/>
      </rPr>
      <t>(กรมการกงสุล)</t>
    </r>
  </si>
  <si>
    <r>
      <t xml:space="preserve">3.4 ค่าใช้จ่ายในการพัฒนาประสิทธิภาพด้านการรักษาความมั่นคงปลอดภัยทางไซเบอร์ของ กต. ระยะที่ 1 </t>
    </r>
    <r>
      <rPr>
        <sz val="16"/>
        <rFont val="TH SarabunPSK"/>
        <family val="2"/>
      </rPr>
      <t>(ศูนย์เทคโนโลยีฯ)</t>
    </r>
  </si>
  <si>
    <r>
      <t xml:space="preserve">      ระหว่างประเทศ </t>
    </r>
    <r>
      <rPr>
        <sz val="16"/>
        <rFont val="TH SarabunPSK"/>
        <family val="2"/>
      </rPr>
      <t>(กรมสนธิสัญญาฯ)</t>
    </r>
  </si>
  <si>
    <t>พ.ร.บ. โอน 63
(2)</t>
  </si>
  <si>
    <t>งปม.ได้รับ 2563
(1)</t>
  </si>
  <si>
    <t>งปม.หลังหัก พ.ร.บ. โอน
(1) - (2)</t>
  </si>
  <si>
    <t>คงเหลือ</t>
  </si>
  <si>
    <t>โอนคืนงบบุคลากร</t>
  </si>
  <si>
    <t xml:space="preserve"> เงินอุดหนุนสำนักงานเลขาธิการถาวรของศูนย์ ARMAC</t>
  </si>
  <si>
    <t xml:space="preserve"> เงินสนับสนุนโรงเรียนนานาชาติ (สำนักบริหารบุคคล)</t>
  </si>
  <si>
    <t>กลุ่มตรวจสอบภายใน</t>
  </si>
  <si>
    <t>กลุ่มงานนิติการ</t>
  </si>
  <si>
    <t xml:space="preserve">คำขอ  </t>
  </si>
  <si>
    <r>
      <t xml:space="preserve">1.6 ค่าใช้จ่ายในการเข้าร่วมประชุมและจัดการประชุมด้านป้องกันและปราบปรามด้านการค้ามนุษย์ </t>
    </r>
    <r>
      <rPr>
        <sz val="16"/>
        <rFont val="TH SarabunPSK"/>
        <family val="2"/>
      </rPr>
      <t xml:space="preserve">(กรมองค์การฯ) </t>
    </r>
  </si>
  <si>
    <r>
      <t xml:space="preserve">1.2 ค่าใช้จ่ายในการสนับสนุนการดำเนินการส่งกลับผู้หนีภัยการสู้รบจากเมียนมาอย่างยั่งยืน </t>
    </r>
    <r>
      <rPr>
        <sz val="16"/>
        <rFont val="TH SarabunPSK"/>
        <family val="2"/>
      </rPr>
      <t>(กรมองค์การระหว่างประเทศ)</t>
    </r>
  </si>
  <si>
    <r>
      <t xml:space="preserve">กรมสนธิสัญญาและกฎหมาย </t>
    </r>
    <r>
      <rPr>
        <b/>
        <sz val="16"/>
        <color rgb="FFFF0000"/>
        <rFont val="TH SarabunPSK"/>
        <family val="2"/>
      </rPr>
      <t>(กรมฯ แจ้งไม่ตั้งคำขอฯ)</t>
    </r>
  </si>
  <si>
    <r>
      <t xml:space="preserve">ค่าใช้จ่ายในการเสริมสร้างความมั่นคงกับประเทศเพื่อนบ้านและแก้ไขปัญหาข้ามชาติ </t>
    </r>
    <r>
      <rPr>
        <sz val="16"/>
        <rFont val="TH SarabunPSK"/>
        <family val="2"/>
      </rPr>
      <t>(สถาบันการต่างประเทศเทวะวงศ์วโรปการ)</t>
    </r>
  </si>
  <si>
    <t>1) เงินเดือน หรือที่เรียกเป็นอย่างอื่น</t>
  </si>
  <si>
    <t>2) เงินเพิ่มอื่นที่จ่ายควบกับเงินเดือน</t>
  </si>
  <si>
    <t>(4) เงินเพิ่ม</t>
  </si>
  <si>
    <t xml:space="preserve">(1) เงินประจำตำแหน่ง </t>
  </si>
  <si>
    <t xml:space="preserve">(2) ค่าตอบแทนรายเดือน </t>
  </si>
  <si>
    <t xml:space="preserve">(3) เงินช่วยเหลือการครองชีพข้าราชการระดับต้น </t>
  </si>
  <si>
    <t xml:space="preserve">(4.2) เงิน พ.ค.ท. (เงินเพิ่มสำหรับหัวหน้าคณะผู้แทนที่ประจำอยู่ในต่างประเทศ) </t>
  </si>
  <si>
    <t>(4.3) เงิน พ.ข.ต. (เงินเพิ่มสำหรับตำแหน่งที่ประจำอยู่ในต่างประเทศ)</t>
  </si>
  <si>
    <t>(4.4) เงิน พ.ส.ร. (เงินเพิ่มพิเศษสำหรับการสู้รบ)</t>
  </si>
  <si>
    <t>(4.5) เงิน สปพ. (เงินสวัสดิการสำหรับการปฏิบัติงานประจำสำนักงานในพื้นที่พิเศษ)</t>
  </si>
  <si>
    <t>(4.6) เงินเพิ่มสำหรับตำแหน่งที่มีเหตุพิเศษ ตำแหน่งพัสดุ</t>
  </si>
  <si>
    <t>1.2 ค่าจ้างประจำ</t>
  </si>
  <si>
    <t>(1) ค่าจ้างประจำ (อัตราเดิม)</t>
  </si>
  <si>
    <t>ค่าจ้างชั่วคราว</t>
  </si>
  <si>
    <t>เงินเดือนและค่าจ้างประจำ</t>
  </si>
  <si>
    <t xml:space="preserve">1.1 ค่าจ้างชั่วคราว </t>
  </si>
  <si>
    <t>1) อัตราเดิม</t>
  </si>
  <si>
    <t>ค่าตอบแทนพนักงานราชการ</t>
  </si>
  <si>
    <t>1.1 ค่าตอบแทนพนักงานราชการ</t>
  </si>
  <si>
    <t>(1) อัตราเดิม (พนักงานราชการ)</t>
  </si>
  <si>
    <t xml:space="preserve">(4.1) เงิน พ.ต.ก. (เงินเพิ่มตำแหน่งที่มีเหตุพิเศษของ ขรก. พลเรือน (ผู้ปฏิบัติงานด้านนิติกร) </t>
  </si>
  <si>
    <t>(1) ค่าเช่าบ้าน</t>
  </si>
  <si>
    <t>(1.1) ค่าเช่าบ้าน [อัตราเดิม]</t>
  </si>
  <si>
    <t>(1.2) ค่าเช่าบ้านอาจารย์ชาวต่างประเทศ [อัตราเดิม]</t>
  </si>
  <si>
    <t>(1.3) ค่าเช่าบ้านช้าราชการในต่างประเทศ (รายการผูกพัน) [อัตราเดิม]</t>
  </si>
  <si>
    <t xml:space="preserve">(2) ค่าตอบแทนพิเศษของข้าราชการและลูกจ้างประจำที่ได้รับเงินเดือนเต็มขั้น  </t>
  </si>
  <si>
    <t>(2.1) ค่าตอบแทนพิเศษของข้าราชการที่ได้รับเงินเดือนเต็มขั้น [อัตราเดิม]</t>
  </si>
  <si>
    <t>(2.2) ค่าตอบแทนพิเศษของลูกจ้างประจำที่ได้รับเงินเดือนเต็มขั้น [อัตราเดิม]</t>
  </si>
  <si>
    <t>(3) ค่าตอบแทนอื่น</t>
  </si>
  <si>
    <t>(3.1) เงิน ต.ป.พ. (ค่าตอบแทนพิเศษรายเดือนให้แก่เจ้าหน้าที่ผู้ปฎิบัติงานในพื้นที่จังหวัดชายแดนภาคใต้) [อัตราเดิม]</t>
  </si>
  <si>
    <t>(3.2) เงินพิเศษจ่ายแก่ลูกจ้างในต่างประเทศ [อัตราเดิม]</t>
  </si>
  <si>
    <t>(3.3) ค่ารักษาพยาบาลข้าราชการที่ประจำในต่างประเทศ [อัตราเดิม]</t>
  </si>
  <si>
    <t>(3.4) เงินช่วยเหลือการศึกษาบุตรของข้าราชการที่ประจำในต่างประเทศ [อัตราเดิม]</t>
  </si>
  <si>
    <t>(1) เงินสมทบกองทุนประกันสังคม</t>
  </si>
  <si>
    <t>(1.1) เงินกองทุนประกันสังคม ของพนักงานราชการ [อัตราเดิม]</t>
  </si>
  <si>
    <t>(1.2) เงินกองทุนประกันสังคม ของลูกจ้างชั่วคราว [อัตราเดิม]</t>
  </si>
  <si>
    <t>(2) เงินสมทบกองทุนเงินทดแทน</t>
  </si>
  <si>
    <t>(2.1) เงินสมทบกองทุนเงินทดแทน ของพนักงานราชการ [อัตราเดิม]</t>
  </si>
  <si>
    <r>
      <t xml:space="preserve">สำนักบริหารบุคคล </t>
    </r>
    <r>
      <rPr>
        <b/>
        <sz val="16"/>
        <color rgb="FFFF0000"/>
        <rFont val="TH SarabunPSK"/>
        <family val="2"/>
      </rPr>
      <t>(รวม เงินสนับสนุนโรงเรียนนานาชาติ 1 ลบ.)</t>
    </r>
  </si>
  <si>
    <t>ศูนย์เทคโนโลยีสารสนเทศและการสื่อสาร</t>
  </si>
  <si>
    <t>สำนักบริหารการคลัง</t>
  </si>
  <si>
    <t>สำนักจัดหาและบริหารทรัพย์สิน</t>
  </si>
  <si>
    <t>หมายเหตุ</t>
  </si>
  <si>
    <t>1. ตัวอักษร สีเขียว  คือ รายการค่าใช้จ่ายที่เปลี่ยนชื่อจากปี งปม. 2564</t>
  </si>
  <si>
    <t>2. ตัวอักษร สีฟ้า คือ รายการค่าใช้จ่ายใหม่ในปี งปม. 2565</t>
  </si>
  <si>
    <r>
      <t xml:space="preserve">ศูนย์ปฏิบัติการต่อต้านการทุจริต </t>
    </r>
    <r>
      <rPr>
        <b/>
        <sz val="16"/>
        <color rgb="FFFF0000"/>
        <rFont val="TH SarabunPSK"/>
        <family val="2"/>
      </rPr>
      <t>(ขอ งปม. ปีแรกในปี 2565)</t>
    </r>
  </si>
  <si>
    <r>
      <t>กลุ่มตรวจสอบภายใน</t>
    </r>
    <r>
      <rPr>
        <b/>
        <sz val="16"/>
        <color rgb="FFFF0000"/>
        <rFont val="TH SarabunPSK"/>
        <family val="2"/>
      </rPr>
      <t xml:space="preserve"> (ขอ งปม. ปีแรกในปี 2565)</t>
    </r>
  </si>
  <si>
    <t>2.3 เงินอุดหนุนสำนักงานเลขาธิการถาวรของศูนย์ ARMAC</t>
  </si>
  <si>
    <t>(ชื่อเดิม ค่าใช้จ่ายในการส่งเสริมบทบาทผู้แทนของไทยในต่างประเทศ)</t>
  </si>
  <si>
    <r>
      <rPr>
        <b/>
        <sz val="16"/>
        <color rgb="FF00B050"/>
        <rFont val="TH SarabunPSK"/>
        <family val="2"/>
      </rPr>
      <t>4.2 ค่าใช้จ่ายในการพัฒนาประสิทธิภาพการให้บริการแก่ประชาชนไทยในต่างประเทศ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(กรมการกงสุล)</t>
    </r>
  </si>
  <si>
    <t>(สถาบันเทวะวงศ์ฯ) (ชื่อเดิม ค่าใช้จ่ายในการจัดตั้งศูนย์ศึกษาและวิจัยการต่างประเทศ)</t>
  </si>
  <si>
    <t xml:space="preserve">1.1 โครงการประชาสัมพันธ์การต่างประเทศผ่านมูลนิธิยุวทูตความดี ในพระราชูปถัมภ์สมเด็จพระเทพรัตนราชสุดาฯ </t>
  </si>
  <si>
    <t xml:space="preserve">เตรียมการเป็นเจ้าภาพการประชุมเอเปคในปี 2565 </t>
  </si>
  <si>
    <r>
      <t xml:space="preserve">    และพัฒนาของประเทศไทย (ระยะที่ 2) </t>
    </r>
    <r>
      <rPr>
        <sz val="16"/>
        <rFont val="TH SarabunPSK"/>
        <family val="2"/>
      </rPr>
      <t xml:space="preserve">(กรมเศรษฐกิจระหว่างประเทศ) </t>
    </r>
    <r>
      <rPr>
        <b/>
        <sz val="16"/>
        <color rgb="FFFF0000"/>
        <rFont val="TH SarabunPSK"/>
        <family val="2"/>
      </rPr>
      <t>กรมไม่ตั้งคำขอ</t>
    </r>
  </si>
  <si>
    <r>
      <t xml:space="preserve">กรมยุโรป </t>
    </r>
    <r>
      <rPr>
        <b/>
        <sz val="16"/>
        <color rgb="FFFF0000"/>
        <rFont val="TH SarabunPSK"/>
        <family val="2"/>
      </rPr>
      <t>กรมฯ ไม่ตั้งคำขอ</t>
    </r>
  </si>
  <si>
    <r>
      <t xml:space="preserve">กรมองค์การระหว่างประเทศ </t>
    </r>
    <r>
      <rPr>
        <b/>
        <sz val="16"/>
        <color rgb="FFFF0000"/>
        <rFont val="TH SarabunPSK"/>
        <family val="2"/>
      </rPr>
      <t>กรมฯ ไม่ตั้งคำขอ</t>
    </r>
  </si>
  <si>
    <r>
      <t>กรมเอเชียใต้ ตะวันออกกลางและแอฟริกา</t>
    </r>
    <r>
      <rPr>
        <b/>
        <sz val="16"/>
        <color rgb="FFFF0000"/>
        <rFont val="TH SarabunPSK"/>
        <family val="2"/>
      </rPr>
      <t xml:space="preserve"> กรมฯ ไม่ตั้งคำขอ</t>
    </r>
  </si>
  <si>
    <t>1.3.1 ค่าใช้จ่ายดำเนินงาน - ค่าตอบแทน - ค่าตอบแทนในการปฏิบัติงาน (ค่าจ้าที่ปรึกษากฎหมาย)</t>
  </si>
  <si>
    <r>
      <t xml:space="preserve">กฎหมายระหว่างประเทศ (International Law Commission - ILC) </t>
    </r>
    <r>
      <rPr>
        <sz val="16"/>
        <color theme="1"/>
        <rFont val="TH SarabunPSK"/>
        <family val="2"/>
      </rPr>
      <t>(กรมสนธิสัญญาฯ)</t>
    </r>
  </si>
  <si>
    <r>
      <rPr>
        <b/>
        <sz val="16"/>
        <color rgb="FF00B0F0"/>
        <rFont val="TH SarabunPSK"/>
        <family val="2"/>
      </rPr>
      <t xml:space="preserve">ระหว่างประเทศภาครัฐในประเทศไทย </t>
    </r>
    <r>
      <rPr>
        <sz val="16"/>
        <rFont val="TH SarabunPSK"/>
        <family val="2"/>
      </rPr>
      <t>(กรมสนธิสัญญาฯ)</t>
    </r>
  </si>
  <si>
    <t>ในต่างประเทศ</t>
  </si>
  <si>
    <r>
      <rPr>
        <b/>
        <sz val="16"/>
        <color rgb="FF00B050"/>
        <rFont val="TH SarabunPSK"/>
        <family val="2"/>
      </rPr>
      <t>3.1 เงินอุดหนุนช่วยเหลือคนไทยที่ตกทุกข์ได้ยากในต่างประเทศ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(กรมการกงสุล) (ชื่อเดิม เงินช่วยเหลือคนไทยที่ตกทุกข์ได้ยาก</t>
    </r>
  </si>
  <si>
    <t>กรมอเมริกา และแปซิฟิกใต้ (US Watch)</t>
  </si>
  <si>
    <r>
      <t xml:space="preserve">กรมอเมริกา และแปซิฟิกใต้ </t>
    </r>
    <r>
      <rPr>
        <b/>
        <sz val="16"/>
        <color rgb="FFFF0000"/>
        <rFont val="TH SarabunPSK"/>
        <family val="2"/>
      </rPr>
      <t>กรมฯ ไม่ได้ตั้งคำขอ</t>
    </r>
  </si>
  <si>
    <r>
      <t xml:space="preserve">ค่าใช้จ่ายในการเป็นประธานอาเซียนของไทยและการประชุมอื่นๆ ที่เกี่ยวข้อง (ASEAN Task Force) </t>
    </r>
    <r>
      <rPr>
        <b/>
        <sz val="16"/>
        <color rgb="FFFF0000"/>
        <rFont val="TH SarabunPSK"/>
        <family val="2"/>
      </rPr>
      <t>กรมฯ ไม่ตั้งคำขอ</t>
    </r>
  </si>
  <si>
    <t>2.10 ค่าใช้จ่ายในการดำเนินงานด้านการรณรงค์หาเสียงสำหรับการสมัครรับเลือกตั้งเพื่อดำรงตำแหน่งสมาชิกคณะกรรมาธิการ</t>
  </si>
  <si>
    <t>2.12 โครงการเพิ่มศักยภาพในการเข้าถึงฐานข้อมูลสนธิสัญญาและระบบสารสนเทศในเชิงรุกเพื่อพัฒนาการเผยแพร่ข้อมูล</t>
  </si>
  <si>
    <t>2.13 โครงการเผยแพร่ให้ความรู้บทบาทของไทยในการให้เอกสิทธิ์และความคุ้มกันต่อองค์การระหว่างประเทศและการประชุม</t>
  </si>
  <si>
    <t>1.17 ค่าใช้จ่ายในการสนับสนุนเพื่อเพิ่มประสิทธิภาพในการดำเนินงานตามภารกิจของกรมสนธิสัญญาและกฎหมาย</t>
  </si>
  <si>
    <t>1.1 ค่าครุภัณฑ์</t>
  </si>
  <si>
    <t>1.2 ค่าที่ดินและสิ่งก่อสร้าง</t>
  </si>
  <si>
    <t>1.3.2 งบลงทุน</t>
  </si>
  <si>
    <t>(ชื่อเดิม ค่าใช้จ่ายในการดำเนินภารกิจส่งเสริมสินค้าและธุรกิจฮาลาลในต่างประเทศ)</t>
  </si>
  <si>
    <t xml:space="preserve">1.1 ค่าใช้จ่ายในการดำเนินโครงการยกระดับความสามารถในการแข่งขันและความนิยมอาหารไทยในต่างประเทศ </t>
  </si>
  <si>
    <t>(กรมเศรษฐกิจระหว่างประเทศ) (ชื่อเดิม ค่าใช้จ่ายในการดำเนินภารกิจส่งเสริมนโยบายครัวไทยสู่ครัวโลกในต่างประเทศ)</t>
  </si>
  <si>
    <r>
      <t>1.2 ค่าใช้จ่ายในการดำเนินโครงการยกระดับความเชื่อมั่นมาตรฐานสินค้าอาหารฮาลาล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(กรมเศรษฐกิจระหว่างประเทศ) </t>
    </r>
  </si>
  <si>
    <t>1.18 โครงการการปรับปรุงประสิทธิภาพกรมสนธิสัญญาและกฎหมาย</t>
  </si>
  <si>
    <r>
      <rPr>
        <b/>
        <sz val="16"/>
        <color rgb="FF00B050"/>
        <rFont val="TH SarabunPSK"/>
        <family val="2"/>
      </rPr>
      <t>หลากหลายสาขาวิชการและเศรษฐกิจ (BIMSTEC)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(กรมเศรษฐกิจระหว่างประเทศ) (ชื่อเดิม ค่าใช้จ่ายโครงการยุทธศาสตร์</t>
    </r>
  </si>
  <si>
    <t>ความริเริ่มแห่งอ่าวเบงกอลสำหรับความร่วมมือหลากหลายสาขาวิชาการและเศรษฐกิจ (BIMSTEC))</t>
  </si>
  <si>
    <t>ทางด้านวิชาการและเศรษฐกิจแก่ต่างประเทศ)</t>
  </si>
  <si>
    <r>
      <rPr>
        <b/>
        <sz val="16"/>
        <color rgb="FF00823B"/>
        <rFont val="TH SarabunPSK"/>
        <family val="2"/>
      </rPr>
      <t>1.1 เงินอุดหนุนความร่วมมือเพื่อการพัฒนาระหว่างประเทศ</t>
    </r>
    <r>
      <rPr>
        <sz val="16"/>
        <color rgb="FF00B05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(ชื่อเดิม เงินอุดหนุนการให้ความช่วยเหลือและความร่วมมือ</t>
    </r>
  </si>
  <si>
    <r>
      <rPr>
        <b/>
        <sz val="16"/>
        <color rgb="FF00823B"/>
        <rFont val="TH SarabunPSK"/>
        <family val="2"/>
      </rPr>
      <t>1.4 เงินอุดหนุนแผนงานพัฒนาชุมชนในทวาย</t>
    </r>
    <r>
      <rPr>
        <b/>
        <sz val="16"/>
        <color rgb="FF00B05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(ชื่อเดิม เงินอุดหนุนแผนงานพัฒนาชุมชนในเขตเศรษฐกิจพิเศษทวาย)</t>
    </r>
  </si>
  <si>
    <r>
      <rPr>
        <b/>
        <sz val="16"/>
        <color rgb="FF00823B"/>
        <rFont val="TH SarabunPSK"/>
        <family val="2"/>
      </rPr>
      <t>1.7 เงินอุดหนุนเพื่อความร่วมมือเพื่อการพัฒนาระหว่างประเทศด้านเศรษฐกิจพอเพียง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(ชื่อเดิม เงินอุดหนุนการให้ความช่วยเหลือ</t>
    </r>
  </si>
  <si>
    <t>และความร่วมมือทางวิชาการและเศรษฐกิจแก่ต่างประเทศด้านเศรษฐกิจพอเพียง)</t>
  </si>
  <si>
    <t>1.5 เงินอุดหนุนในการสร้างความตระหนักและเตรียมความพร้อมสำหรับโรคติดต่อและโรคอุบัติใหม่แนวชายแดนไทย - เพื่อนบ้าน</t>
  </si>
  <si>
    <r>
      <t xml:space="preserve">2.11 โครงการจัดประชุมนานาชาติเพื่อเพิ่มศักยภาพและองค์ความรู้ให้แก่นักกฎหมายระหว่างประเทศ </t>
    </r>
    <r>
      <rPr>
        <sz val="16"/>
        <color theme="1"/>
        <rFont val="TH SarabunPSK"/>
        <family val="2"/>
      </rPr>
      <t>(กรมสนธิสัญญาฯ)</t>
    </r>
  </si>
  <si>
    <r>
      <t xml:space="preserve">ข่าวสารของทางราชการให้แก่สาธารณชนอย่างมีประสิทธิภาพ </t>
    </r>
    <r>
      <rPr>
        <sz val="16"/>
        <rFont val="TH SarabunPSK"/>
        <family val="2"/>
      </rPr>
      <t>(กรมสนธิสัญญาฯ)</t>
    </r>
  </si>
  <si>
    <r>
      <t>สยามบรมราชกุมารี</t>
    </r>
    <r>
      <rPr>
        <sz val="16"/>
        <color rgb="FF00B05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(กรมสารนิเทศ) (ชื่อเดิม การประชาสัมพันธ์การต่างประเทศผ่านมูลนิธิยุวทูตความดี)</t>
    </r>
  </si>
  <si>
    <t>สถาบันพระมหากษัตริย์)</t>
  </si>
  <si>
    <r>
      <t xml:space="preserve">3.9 ค่าใช้จ่ายในการส่งเสริมกิจกรรมด้านศาสนาและจริยธรรม </t>
    </r>
    <r>
      <rPr>
        <sz val="16"/>
        <color rgb="FF00B0F0"/>
        <rFont val="TH SarabunPSK"/>
        <family val="2"/>
      </rPr>
      <t>(กองกลาง)</t>
    </r>
  </si>
  <si>
    <r>
      <t xml:space="preserve">4.5 โครงการให้บริการ Call Center และการจัดทำระบบฐานข้อมูลคนไทยในต่างประเทศ (ปี 2565 - 2567) </t>
    </r>
    <r>
      <rPr>
        <sz val="16"/>
        <color rgb="FF00B0F0"/>
        <rFont val="TH SarabunPSK"/>
        <family val="2"/>
      </rPr>
      <t>(กรมการกงสุล)</t>
    </r>
  </si>
  <si>
    <r>
      <t xml:space="preserve">4.6 โครงการศูนย์บริหารจัดการการตรวจลงตราด้วยระบบอิเล็กทรอนิกส์ (E-Visa) ระยะที่ 2 </t>
    </r>
    <r>
      <rPr>
        <sz val="16"/>
        <color rgb="FF00B0F0"/>
        <rFont val="TH SarabunPSK"/>
        <family val="2"/>
      </rPr>
      <t>(กรมการกงสุล)</t>
    </r>
  </si>
  <si>
    <t xml:space="preserve">  - ค่าวัสดุทางการแพทย์</t>
  </si>
  <si>
    <t>งบประมาณรายจ่ายประจำปีงบประมาณ พ.ศ. 2565</t>
  </si>
  <si>
    <r>
      <t xml:space="preserve"> - การจ้างบริหารอาคารแบบครบวงจรสัญญาต่อเนื่อง 3 ปี </t>
    </r>
    <r>
      <rPr>
        <sz val="16"/>
        <color rgb="FF00B0F0"/>
        <rFont val="TH SarabunPSK"/>
        <family val="2"/>
      </rPr>
      <t>(สำนักจัดหาและบริหารทรัพย์สิน)</t>
    </r>
  </si>
  <si>
    <t>แผนงาน - ผลผลิต - กิจกรรม - งบรายจ่าย - รายการ</t>
  </si>
  <si>
    <t>สถานเอกอัครราชทูต/สถานกงสุลใหญ่/คณะผู้แทนถาวรฯ/สำนักงานการค้าฯ</t>
  </si>
  <si>
    <t>1.1 ค่าใช้จ่ายในการเจรจาและการจัดประชุมนานาชาติ</t>
  </si>
  <si>
    <t>1.1 ค่าใช้จ่ายในการดำเนินการรักษา พัฒนา และส่งเสริมผลประโยชน์ทางเศรษฐกิจของไทย</t>
  </si>
  <si>
    <t xml:space="preserve"> - ค่าวัสดุคอมพิวเตอร์</t>
  </si>
  <si>
    <t>1.2 ค่าใช้จ่ายในการพัฒนาฐานข้อมูลและองค์ความรู้ด้านการต่างประเทศ (GIU)</t>
  </si>
  <si>
    <t xml:space="preserve">1.3 ค่าใช้จ่ายในการเฉลิมฉลองความสัมพันธ์กับประเทศต่าง ๆ </t>
  </si>
  <si>
    <t>1.4 ค่าใช้จ่ายในการผลักดันยุทธศาสตร์ความร่วมมือกับประเทศพันธมิตรที่สำคัญ</t>
  </si>
  <si>
    <t>1.1 ค่าใช้จ่ายในการเสริมสร้างความเชื่อมั่นต่อประเทศไทย</t>
  </si>
  <si>
    <t>1.4 ค่าใช้จ่ายในการส่งเสริมพัฒนาความร่วมมือในกรอบภูมิภาคและอนุภูมิภาค</t>
  </si>
  <si>
    <t xml:space="preserve">1.9 ค่าใช้จ่ายในการเดินทางไปราชการต่างประเทศชั่วคราว </t>
  </si>
  <si>
    <t>โครงการที่ 1 : โครงการส่งเสริมความสัมพันธ์ระหว่างประเทศและรักษาผลประโยชน์ของชาติด้านความมั่นคง</t>
  </si>
  <si>
    <t>(1)
คำขอ 2565</t>
  </si>
  <si>
    <t>เพิ่ม/ลด
(1) - (2)</t>
  </si>
  <si>
    <t>(1) ค่าจ้างชั่วคราวในประเทศ (ค่าจ้างอาจารย์ชาวต่างประเทศ 3 อัตรา)</t>
  </si>
  <si>
    <t>(2) ค่าจ้างชั่วคราวต่างประเทศ 1,307 อัตรา</t>
  </si>
  <si>
    <t xml:space="preserve">  - ค่าตอบแทนเหมาจ่ายแทนการจัดหารถประจำตำแหน่ง 12 อัตรา</t>
  </si>
  <si>
    <t xml:space="preserve"> - ค่าเช่าอาคารสถานเอกอัครราชทูตและสถานกงสุลใหญ่ </t>
  </si>
  <si>
    <t>ผูกพันใหม่ 5 คัน</t>
  </si>
  <si>
    <t>ผูกพันเดิม 108 คัน</t>
  </si>
  <si>
    <t>คำของบประมาณ
ปี 2565หลังสำนักงบฯ ปรับลด (16 มี.ค. 64)</t>
  </si>
  <si>
    <t>(1) ครุภัณฑ์สำนักงานที่มีราคาต่อหน่วยต่ำกว่า 1 ล้านบาท รวม 41 รายการ (รวม 380 หน่วย)</t>
  </si>
  <si>
    <t>(1.1) โทรศัพท์สำนักงานระบบ VOIP 1  เครื่อง</t>
  </si>
  <si>
    <t>(1.2) เก้าอี้สำนักงาน แบบล้อเลื่อน มีเท้าแขน (สำหรับเจ้าหน้าที่) 6 ตัว</t>
  </si>
  <si>
    <t>(1.3) เก้าอี้สำนักงาน แบบล้อเลื่อน มีเท้าแขน (สำหรับเจ้าหน้าที่) 17 ตัว</t>
  </si>
  <si>
    <t>(1.4) ชุดโต๊ะรับประทานอาหาร พร้อมเก้าอี้ จำนวน 4 ตัว 1 ชุด</t>
  </si>
  <si>
    <t>(1.5) เก้าอี้สำนักงาน แบบล้อเลื่อน มีเท้าแขน (สำหรับห้องประชุมกรม) 30 ตัว</t>
  </si>
  <si>
    <t>(1.6) เก้าอี้สำนักงาน แบบล้อเลื่อน มีเท้าแขน (สำหรับเจ้าหน้าที่) 10 ตัว</t>
  </si>
  <si>
    <t>(1.7) เก้าอี้สำนักงาน แบบล้อเลื่อน มีเท้าแขน (สำหรับผู้บริหารระดับต้น) 8 ตัว</t>
  </si>
  <si>
    <t>(1.8) เก้าอี้สำนักงาน แบบล้อเลื่อน มีเท้าแขน (สำหรับเจ้าหน้าที่) 5 ตัว</t>
  </si>
  <si>
    <t>(1.9) โต๊ะทำงาน (ผู้อำนวยการกอง) 1 ชุด</t>
  </si>
  <si>
    <t>(1.10) เครื่องเจาะกระดาษ 1 เครื่อง</t>
  </si>
  <si>
    <t>(1.11) เครื่องเย็บกระดาษ 1 เครื่อง</t>
  </si>
  <si>
    <t>(1.12) เก้าอี้สำนักงาน แบบล้อเลื่อน มีเท้าแขน (สำหรับเจ้าหน้าที่) 25 ตัว</t>
  </si>
  <si>
    <t>(1.13) เครื่องทำลายเอกสาร แบบตัดตรง ทำลายครั้งละ 20 แผ่น 1 เครื่อง</t>
  </si>
  <si>
    <t>(1.14) กระดานอิเล็กทรอนิกส์ แบบจอระบบสัมผัส ขนาด 55 นิ้ว 1 เครื่อง</t>
  </si>
  <si>
    <t>(1.15) เครื่องทำลายเอกสาร แบบตัดละเอียด ทำลายครั้งละ 20 แผ่น 1 เครื่อง</t>
  </si>
  <si>
    <t>(1.16) พัดลม แบบตั้งพื้น ขนาด 18 นิ้ว 2 ตัว</t>
  </si>
  <si>
    <t>(1.17) เก้าอี้รับประทานอาหาร 4 ตัว</t>
  </si>
  <si>
    <t>(1.18) กระดานไวท์บอร์ด 1 อัน</t>
  </si>
  <si>
    <t>(1.19) เครื่องเคลือบบัตร 1 เครื่อง</t>
  </si>
  <si>
    <t>(1.20) เครื่องพิมพ์ดีดไฟฟ้า 1 เครื่อง</t>
  </si>
  <si>
    <t>(1.21) ตู้เหล็กแบบ 2 บาน 1 ตู้</t>
  </si>
  <si>
    <t>(1.22) เก้าอี้เก้าอี้สำนักงาน แบบล้อเลื่อน มีเท้าแขน (สำหรับเจ้าหน้าที่) 10 ตัว</t>
  </si>
  <si>
    <t>(1.23) ชุดโซฟารับแขกสำหรับห้องอธิบดี 1 ชุด</t>
  </si>
  <si>
    <t>(1.25) เครื่องทำลายเอกสาร แบบตัดละเอียด ทำลายครั้งละ 30 แผ่น 6 เครื่อง</t>
  </si>
  <si>
    <t>(1.26) โทรศัพท์สำนักงานระบบ VOIP 4 เครื่อง</t>
  </si>
  <si>
    <t>(1.27) กระดานไวท์บอร์ดขาตั้งแบบล้อเลื่อน 2 หน้า 2 อัน</t>
  </si>
  <si>
    <t>(1.28) เครื่องเคลือบบัตร 1 เครื่อง</t>
  </si>
  <si>
    <t>(1.29) พัดลม แบบตั้งพื้น ขนาด 18 นิ้ว 3 ตัว</t>
  </si>
  <si>
    <t>(1.30) ชุดโต๊ะทำงาน (ระดับรองอธิบดี) ประกอบด้วย โต๊ะทำงานพร้อมโต๊ะข้าง /เก้าอี้ทำงานผู้บริหาร /ตู้ใส่เอกสาร 1 ชุด</t>
  </si>
  <si>
    <t>(1.31) ชุดโซฟาพร้อมโต๊ะกลางและโต๊ะข้าง (สำหรับผู้บริหาร) 10 ชุด</t>
  </si>
  <si>
    <t>(1.32) โต๊ะประชุมส่วนกลาง 1 ตัว</t>
  </si>
  <si>
    <t>(1.33) โต๊ะทำงาน (ระดับผู้อำนวยการกอง) 1 ชุด</t>
  </si>
  <si>
    <t>(1.34) เก้าอี้เก้าอี้สำนักงาน แบบล้อเลื่อน มีเท้าแขน (สำหรับเจ้าหน้าที่) 105 ตัว</t>
  </si>
  <si>
    <t>(1.35) เครื่องทำลายเอกสาร แบบตัดตรง ทำลายครั้งละ 10 แผ่น 6 เครื่อง</t>
  </si>
  <si>
    <t>(1.36) ตู้เซฟนิรภัย 1 ตู้</t>
  </si>
  <si>
    <t>(1.37) โต๊ะทำงาน (ผู้อำนวยการกอง) 1 ชุด</t>
  </si>
  <si>
    <t>(1.38) เครื่องทำลายเอกสาร แบบตัดละเอียด ทำลายครั้งละ 20 แผ่น 2 เครื่อง</t>
  </si>
  <si>
    <t>(1.39) เก้าอี้เก้าอี้สำนักงาน แบบล้อเลื่อน มีเท้าแขน (สำหรับเจ้าหน้าที่) 100 ตัว</t>
  </si>
  <si>
    <t>(1.40) เครื่องเย็บกระดาษสำหรับงานหนัก 1 เครื่อง</t>
  </si>
  <si>
    <t>(1.41) เครื่องเจาะกระดาษ  เจาะได้ไม่น้อยกว่า 80 แผ่น 3 เครื่อง</t>
  </si>
  <si>
    <t>(1) ครุภัณฑ์คอมพิวเตอร์ที่มีราคาต่อหน่วยต่ำกว่า 1 ล้านบาท รวม 10 รายการ (รวม 330 หน่วย)</t>
  </si>
  <si>
    <t>(1.1) เครื่องคอมพิวเตอร์ สำหรับงานประมวลผล แบบที่ 2 (จอแสดงภาพขนาดไม่น้อยกว่า 19 นิ้ว) 58 ชุด</t>
  </si>
  <si>
    <t>(1.2) เครื่องคอมพิวเตอร์โน้ตบุ๊ก สำหรับงานประมวลผล 25 เครื่อง</t>
  </si>
  <si>
    <t>(1.3) เครื่องพิมพ์เลเซอร์ หรือ LED ขาวดำ ชนิด Network แบบที่ 2 (38 หน้า/นาที) 47 เครื่อง</t>
  </si>
  <si>
    <t>(1.4) เครื่องพิมพ์เลเซอร์ หรือ LED สี ชนิด Network แบบที่ 2 (27 หน้า/นาที) 23 เครื่อง</t>
  </si>
  <si>
    <t>(1.6) เครื่องสำรองไฟฟ้า ขนาด 1 kVA 1 เครื่อง</t>
  </si>
  <si>
    <t>(1.7) ชุดโปรแกรมระบบปฏิบัติการ แบบสิทธิการใช้งานประเภทติดตั้งมาจากโรงงาน (OEM) ที่มีลิขสิทธิ์
ถูกต้องตามกฎหมาย 83 ชุด</t>
  </si>
  <si>
    <t>(1.8) ชุดโปรแกรมจัดการสำนักงาน ที่มีลิขสิทธิ์ถูกต้องตามกฎหมาย 83 ชุด</t>
  </si>
  <si>
    <t>(1.9) ลิขสิทธิโปรแกรมช่วยเหลือทางไกล Team Viewer แบบ Corporate 2 licenses</t>
  </si>
  <si>
    <t>(1.10) สแกนเนอร์แบบ ADF และ Flatbed 2 เครื่อง</t>
  </si>
  <si>
    <t>(1) ครุภัณฑ์โฆษณาและเผยแพร่ที่มีราคาต่อหน่วยต่ำกว่า 1 ล้านบาท รวม 16 รายการ (รวม 35 หน่วย)</t>
  </si>
  <si>
    <t>(1.1) โทรทัศน์ แอล อี ดี (LED TV) แบบ Smart TV ระดับความละเอียดจอภาพ 3840 x 2160 พิกเซล 
ขนาด 50 นิ้ว 1 เครื่อง</t>
  </si>
  <si>
    <t>(1.2) โทรทัศน์ แอล อี ดี (LED TV) แบบ Smart TV ระดับความละเอียดจอภาพ 1920 x 1080 พิกเซล 
ขนาด 40 นิ้ว 1 เครื่อง</t>
  </si>
  <si>
    <t>(1.3) โทรทัศน์ แอล อี ดี (LED TV) แบบ Smart TV ระดับความละเอียดจอภาพ 3840 x 2160 พิกเซล 
ขนาด 50 นิ้ว 2 เครื่อง</t>
  </si>
  <si>
    <t>(1.4) โทรทัศน์ แอล อี ดี (LED TV) แบบ Smart TV ระดับความละเอียดจอภาพ 3840 x 2160 พิกเซล 
ขนาด 50 นิ้ว 1 เครื่อง</t>
  </si>
  <si>
    <t>(1.5) เครื่องมัลติมีเดียโปรเจคเตอร์ ระดับ XGA ขนาด 3,000 ANSI Lumens 5 เครื่อง</t>
  </si>
  <si>
    <t>(1.6) โทรทัศน์ แอล อี ดี (LED TV) แบบ Smart TV ระดับความละเอียดจอภาพ 3840 x 2160 พิกเซล 
ขนาด 55 นิ้ว 6 เครื่อง</t>
  </si>
  <si>
    <t>(1.7) เครื่องมัลติมีเดียโปรเจคเตอร์ ระดับ XGA ขนาด 5,000 ANSI Lumens 1 เครื่อง</t>
  </si>
  <si>
    <t>(1.8) จอรับภาพ ชนิดมอเตอร์ไฟฟ้า ขนาดเส้นทแยงมุม 120 นิ้ว 1 จอ</t>
  </si>
  <si>
    <t>(1.9) โทรทัศน์ แอล อี ดี (LED TV) แบบ Smart TV ระดับความละเอียดจอภาพ 3840 x 2160 พิกเซล 
ขนาด 55 นิ้ว 1 เครื่อง</t>
  </si>
  <si>
    <t>(1.10) โทรทัศน์ แอล อี ดี (LED TV) แบบ Smart TV ระดับความละเอียดจอภาพ 1920 x 1080 พิกเซล 
ขนาด 40 นิ้ว 1 เครื่อง</t>
  </si>
  <si>
    <t>(1.11) โทรทัศน์ แอล อี ดี (LED TV) แบบ Smart TV ระดับความละเอียดจอภาพ 3840 x 2160 พิกเซล 
ขนาด 50 นิ้ว 2 เครื่อง</t>
  </si>
  <si>
    <t>(1.12) โทรทัศน์ แอล อี ดี (LED TV) แบบ Smart TV ระดับความละเอียดจอภาพ 3840 x 2160 พิกเซล 
ขนาด 50 นิ้ว 1 เครื่อง</t>
  </si>
  <si>
    <t>(1.13) โทรทัศน์ แอล อี ดี (LED TV) แบบ Smart TV ระดับความละเอียดจอภาพ 1366 x 768 พิกเซล 
ขนาด 32 นิ้ว 9 เครื่อง</t>
  </si>
  <si>
    <t>(1.14) จอรับภาพ ชนิดมอเตอร์ไฟฟ้า ขนาดเส้นทแยงมุม 150 นิ้ว 1 จอ</t>
  </si>
  <si>
    <t>(1.15) เครื่องมัลติมีเดียโปรเจคเตอร์ ระดับ XGA ขนาด 3,500 ANSI Lumens 1 เครื่อง</t>
  </si>
  <si>
    <t>(1.16) เครื่องมัลติมีเดียโปรเจคเตอร์ ระดับ XGA ขนาด 5,000 ANSI Lumens 1 เครื่อง</t>
  </si>
  <si>
    <t>(1) ครุภัณฑ์นวัตกรรมไทย - ด้านไฟฟ้า อิเล็กทรอนิกส์ และโทรคมนาคมที่มีราคาต่อหน่วยต่ำกว่า 1 ล้านบาท 
รวม 12 รายการ (รวม 44 หน่วย)</t>
  </si>
  <si>
    <t>(1.1) เครื่องฟอกอากาศสำหรับห้อง ที่มีเทคโนโลยีตัวกรองฝุ่น ละเอียด (Ultrafine air) 1 เครื่อง</t>
  </si>
  <si>
    <t>(1.2) เครื่องฟอกอากาศสำหรับห้อง ที่มีเทคโนโลยีตัวกรองฝุ่น ละเอียด (Ultrafine air) 3 เครื่อง</t>
  </si>
  <si>
    <t>(1.3) เครื่องฟอกอากาศสำหรับห้อง ที่มีเทคโนโลยีตัวกรองฝุ่น ละเอียด (Ultrafine air) 3 เครื่อง</t>
  </si>
  <si>
    <t>(1.4) เครื่องฟอกอากาศสำหรับห้อง ที่มีเทคโนโลยีตัวกรองฝุ่น ละเอียด (Ultrafine air) 1 เครื่อง</t>
  </si>
  <si>
    <t>(1.5) เครื่องฟอกอากาศสำหรับห้อง ที่มีเทคโนโลยีตัวกรองฝุ่น ละเอียด (Ultrafine air) 6 เครื่อง</t>
  </si>
  <si>
    <t>(1.6) เครื่องฟอกอากาศสำหรับห้อง ที่มีเทคโนโลยีตัวกรองฝุ่น ละเอียด (Ultrafine air) 3 เครื่อง</t>
  </si>
  <si>
    <t>(1.7) เครื่องฟอกอากาศสำหรับห้อง ที่มีเทคโนโลยีตัวกรองฝุ่น ละเอียด (Ultrafine air) 3 เครื่อง</t>
  </si>
  <si>
    <t>(1.8) เครื่องฟอกอากาศสำหรับห้อง ที่มีเทคโนโลยีตัวกรองฝุ่น ละเอียด (Ultrafine air) 4 เครื่อง</t>
  </si>
  <si>
    <t>(1.9) เครื่องฟอกอากาศสำหรับห้อง ที่มีเทคโนโลยีตัวกรองฝุ่น ละเอียด (Ultrafine air) 8 เครื่อง</t>
  </si>
  <si>
    <t>(1.10) เครื่องฟอกอากาศสำหรับห้อง ที่มีเทคโนโลยีตัวกรองฝุ่นละเอียด (Ultrafine air) 3 เครื่อง</t>
  </si>
  <si>
    <t>(1.11) เครื่องฟอกอากาศสำหรับห้อง ที่มีเทคโนโลยีตัวกรองฝุ่น ละเอียด (Ultrafine air) 8 เครื่อง</t>
  </si>
  <si>
    <t>(1.12) เครื่องฟอกอากาศสำหรับห้อง ที่มีเทคโนโลยีตัวกรองฝุ่น ละเอียด (Ultrafine air) 1 เครื่อง</t>
  </si>
  <si>
    <t>(1) ครุภัณฑ์งานบ้านงานครัวที่มีราคาต่อหน่วยต่ำกว่า 1 ล้านบาท รวม 15 รายการ (รวม 26 หน่วย)</t>
  </si>
  <si>
    <t>(1.1) ตู้เย็นขนาด 13 คิวบิกฟุต 1 ตู้</t>
  </si>
  <si>
    <t>(1.2) ตู้กดน้ำร้อน-น้ำเย็น 4 เครื่อง</t>
  </si>
  <si>
    <t>(1.3) ตู้เย็นขนาด 16 คิวบิกฟุต 1 ตู้</t>
  </si>
  <si>
    <t>(1.4) ตู้กดน้ำร้อน-น้ำเย็น 2 เครื่อง</t>
  </si>
  <si>
    <t>(1.5) ตู้กดน้ำร้อน-น้ำเย็น 2 เครื่อง</t>
  </si>
  <si>
    <t>(1.6) เตาอบไมโครเวฟ 1 เตา</t>
  </si>
  <si>
    <t>(1.7) ตู้เย็นขนาด 7 คิวบิกฟุต 1 ตู้</t>
  </si>
  <si>
    <t>(1.8) ตู้กดน้ำร้อน-น้ำเย็น 1 เครื่อง</t>
  </si>
  <si>
    <t>(1.9) ตู้เย็นขนาด 13 คิวบิกฟุต 1 ตู้</t>
  </si>
  <si>
    <t>(1.10) ตู้กดน้ำร้อน-น้ำเย็น 1 เครื่อง</t>
  </si>
  <si>
    <t>(1.11) ตู้กดน้ำร้อน-น้ำเย็น 1 เครื่อง</t>
  </si>
  <si>
    <t>(1.12) ตู้กดน้ำร้อน-น้ำเย็น 2 เครื่อง</t>
  </si>
  <si>
    <t>(1.13) ตู้เย็นขนาด 16 คิวบิกฟุต 5 ตู้</t>
  </si>
  <si>
    <t>(1.14) ตู้เย็นขนาด 9 คิวบิกฟุต 1 ตู้</t>
  </si>
  <si>
    <t>(1.15) ตู้กดน้ำร้อน-น้ำเย็น 2 เครื่อง</t>
  </si>
  <si>
    <t>1.1.2 ค่าครุภัณฑ์คอมพิวเตอร์</t>
  </si>
  <si>
    <t>1.1.3 ค่าครุภัณฑ์งานบ้านงานครัว</t>
  </si>
  <si>
    <t>1.1.4 ค่าครุภัณฑ์โฆษณาและเผยแพร่</t>
  </si>
  <si>
    <t>1.1.5 ค่าครุภัณฑ์นวัตกรรมไทย - ด้านไฟฟ้า อิเล็กทรอนิกส์ และโทรคมนาคม</t>
  </si>
  <si>
    <t>1.2.1 ค่าปรับปรุงอาคารที่ทำการและสิ่งก่อสร้างประกอบ</t>
  </si>
  <si>
    <t>(1) ค่าปรับปรุงอาคารที่ทำการและสิ่งก่อสร้างประกอบที่มีราคาต่อหน่วยต่ำกว่า 10 ล้านบาท รวม 9 รายการ 
(รวม 9 หน่วย)</t>
  </si>
  <si>
    <t>(1.1) งานติดตั้งลิฟต์โดยสารสำหรับคนพิการ อาคารกระทรวงการต่างประเทศ ถนนศรีอยุธยา 1 งาน</t>
  </si>
  <si>
    <t>(1.2) งานเปลี่ยนเครื่องกำเนิดไฟฟ้าสำรอง (Generator Set) อาคารกระทรวงการต่างประเทศ ถนนศรีอยุธยา 1 งาน</t>
  </si>
  <si>
    <t>(1.3) งานเปลี่ยนตู้สวิตช์เกียร์ไฟฟ้าแรงดันสูง (Ring Main Unit :  RMU) และหม้อแปลงไฟฟ้า 
อาคารกระทรวงการต่างประเทศ ถนนศรีอยุธยา 1 งาน</t>
  </si>
  <si>
    <t>(1.4) งานปรับปรุงระบบแขนกั้นรถยนต์อัตโนมัติ อาคารกระทรวงการต่างประเทศ ถนนศรีอยุธยา 1 งาน</t>
  </si>
  <si>
    <t>(1.5) งานปรับปรุงทาสีภายนอกและภายใน อาคารบรรณสาร กองบรรณสารและห้องสมุด หลังที่ 1 
และ 2 ถนนแจ้งวัฒนะ 1 งาน</t>
  </si>
  <si>
    <t>(1.6) งานปรับปรุงพื้นที่ให้บริการของห้องสมุดกระทรวง อาคารกระทรวงการต่างประเทศ ถนนศรีอยุธยา 1 งาน</t>
  </si>
  <si>
    <t>(1.7) งานปรับปรุงห้องเตรียมอาหาร (Pantry) ของสำนักนโยบายและแผน อาคารกระทรวงการต่างประเทศ 
ถนนศรีอยุธยา 1 งาน</t>
  </si>
  <si>
    <t>(1.8) งานปรับปรุงห้องประชุมกรมองค์การระหว่างประเทศ อาคารกระทรวงการต่างประเทศ ถนนศรีอยุธยา 1 งาน</t>
  </si>
  <si>
    <t>(1.9) งานปรับปรุงพื้นที่ภายในกรมเอเชียใต้ ตะวันออกกลางและแอฟริกา อาคารกระทรวงการต่างประเทศ 
ถนนศรีอยุธยา 1 งาน</t>
  </si>
  <si>
    <t>2.1.1 ค่าครุภัณฑ์สำนักงาน</t>
  </si>
  <si>
    <t>1.1.1 ค่าครุภัณฑ์สำนักงาน</t>
  </si>
  <si>
    <t>(1) ครุภัณฑ์สำนักงานที่มีราคาต่อหน่วยต่ำกว่า 1 ล้านบาท รวม 96 รายการ (รวม 341 หน่วย)</t>
  </si>
  <si>
    <t>(1.1) เก้าอี้สำนักงาน ซิดนีย์ เครือรัฐออสเตรเลีย 2 ตัว</t>
  </si>
  <si>
    <t>(1.2) เครื่องฟอกอากาศ  ดาการ์ สาธารณรัฐเซเนกัล 10 เครื่อง</t>
  </si>
  <si>
    <t>(1.3) ตู้เก็บเอกสาร  ราบัต ราชอาณาจักรโมร็อกโก 1 ตู้</t>
  </si>
  <si>
    <t>(1.4) ตู้นิรภัย  ไคโร สาธารณรัฐอาหรับอียิปต์ 1 ตู้</t>
  </si>
  <si>
    <t>(1.5) เครื่องฟอกอากาศ  มุมไบ สาธารณรัฐอินเดีย 3 เครื่อง</t>
  </si>
  <si>
    <t>(1.6) เครื่องปรับอากาศ การาจี สาธารณรัฐอิสลามปากีสถาน 5 เครื่อง</t>
  </si>
  <si>
    <t>(1.7) เครื่องปรับอากาศแบบติดฝ้าเพดาน ขนาดไม่ต่ำกว่า 4 ตัน  ธากา สาธารณรัฐประชาชนบังกลาเทศ 2 เครื่อง</t>
  </si>
  <si>
    <t>(1.8) เครื่องปรับอากาศแบบติดฝ้าเพดาน ขนาดไม่ต่ำกว่า 1.5 ตัน  ธากา สาธารณรัฐประชาชนบังกลาเทศ 1 เครื่อง</t>
  </si>
  <si>
    <t>(1.9) เครื่องปรับอากาศแบบติดผนัง ขนาดไม่ต่ำกว่า 1.5 ตัน  ธากา สาธารณรัฐประชาชนบังกลาเทศ 1 เครื่อง</t>
  </si>
  <si>
    <t>(1.10) เครื่องปรับอากาศ แบบ 2 ระบบ (ระบบร้อนและเย็น) ขนาดไม่ต่ำกว่า 1.8 ตัน  อิสลามาบัด 
สาธารณรัฐอิสลามปากีสถาน 15 เครื่อง</t>
  </si>
  <si>
    <t>(1.11) เครื่องปรับอากาศ แบบ 2 ระบบ (ระบบร้อนและเย็น) ขนาดไม่ต่ำกว่า 1.6 ตัน  อิสลามาบัด 
สาธารณรัฐอิสลามปากีสถาน 15 เครื่อง</t>
  </si>
  <si>
    <t>(1.12) เครื่องปรับอากาศ แบบ 2 ระบบ (ระบบร้อนและเย็น) ขนาดไม่ต่ำกว่า 1.0 ตัน  อิสลามาบัด 
สาธารณรัฐอิสลามปากีสถาน 3 เครื่อง</t>
  </si>
  <si>
    <t>(1.13) เครื่องดูดฝุ่น อิสลามาบัด สาธารณรัฐอิสลามปากีสถาน 1 เครื่อง</t>
  </si>
  <si>
    <t>(1.14) เครื่องฟอกอากาศ  เจนไน สาธารณรัฐอินเดีย 5 เครื่อง</t>
  </si>
  <si>
    <t>(1.15) เก้าอี้ทำงาน โคลัมโบ สาธารณรัฐสังคมนิยมประชาธิปไตยศรีลังกา 1 ตัว</t>
  </si>
  <si>
    <t>(1.16) เก้าอี้สำนักงาน  โคลัมโบ สาธารณรัฐสังคมนิยมประชาธิปไตยศรีลังกา 6 ตัว</t>
  </si>
  <si>
    <t>(1.17) เครื่องฟอกอากาศและดูดความชื้น กัลกัตตา สาธารณรัฐอินเดีย 2 เครื่อง</t>
  </si>
  <si>
    <t>(1.18) เครื่องฟอกอากาศ จาการ์ตา สาธารณรัฐอินโดนีเซีย 4 เครื่อง</t>
  </si>
  <si>
    <t>(1.19) เก้าอี้ยาวสำหรับผู้มาใช้บริการ โกตาบารู มาเลเซีย 5 ตัว</t>
  </si>
  <si>
    <t>(1.20) เก้าอี้สำนักงาน โกตาบารู มาเลเซีย 5 ตัว</t>
  </si>
  <si>
    <t>(1.21) ม่านบังแสงพร้อมติดตั้ง โกตาบารู มาเลเซีย 1 ชุด</t>
  </si>
  <si>
    <t>(1.22) เครื่องโทรสาร มะนิลา สาธารณรัฐฟิลิปปินส์ 1 เครื่อง</t>
  </si>
  <si>
    <t>(1.23) เครื่องฟอกอากาศ มะนิลา สาธารณรัฐฟิลิปปินส์ 4 เครื่อง</t>
  </si>
  <si>
    <t>(1.24) เก้าอี้สำนักงาน เวียงจันทน์ สาธารณรัฐประชาธิปไตยประชาชนลาว 7 ตัว</t>
  </si>
  <si>
    <t>(1.25) เครื่องฟอกอากาศ เวียงจันทน์ สาธารณรัฐประชาธิปไตยประชาชนลาว 8 เครื่อง</t>
  </si>
  <si>
    <t>(1.26) เครื่องปรับอากาศ ขนาดไม่ต่ำกว่า 12,000 BTU  เวียงจันทน์ สาธารณรัฐประชาธิปไตยประชาชนลาว 1 เครื่อง</t>
  </si>
  <si>
    <t>(1.27) เครื่องโทรศัพท์แบบพื้นฐาน ดิลี สาธารณรัฐประชาธิปไตยติมอร์ตะวันออก 1 เครื่อง</t>
  </si>
  <si>
    <t>(1.28) พัดลมไอเย็น สิงคโปร์ สาธารณรัฐสิงคโปร์ 4 ตัว</t>
  </si>
  <si>
    <t>(1.29) ระบบโทรศัพท์พร้อมอุปกรณ์ ริยาด ราชอาณาจักรซาอุดิอาระเบีย 1 ระบบ</t>
  </si>
  <si>
    <t>(1.30) เครื่องทำลายเอกสาร ริยาด ราชอาณาจักรซาอุดิอาระเบีย 1 เครื่อง</t>
  </si>
  <si>
    <t>(1.31) เก้าอี้สำนักงาน ริยาด ราชอาณาจักรซาอุดิอาระเบีย 5 ตัว</t>
  </si>
  <si>
    <t>(1.32) เก้าอี้รับแขก ริยาด ราชอาณาจักรซาอุดิอาระเบีย 4 ตัว</t>
  </si>
  <si>
    <t>(1.33) เครื่องดูดฝุ่น ขนาดไม่ต่ำกว่า 20 ลิตร ริยาด ราชอาณาจักรซาอุดิอาระเบีย 1 เครื่อง</t>
  </si>
  <si>
    <t>(1.34) เครื่องดูดฝุ่น ขนาดไม่ต่ำกว่า 4 ลิตร ริยาด ราชอาณาจักรซาอุดิอาระเบีย 1 เครื่อง</t>
  </si>
  <si>
    <t>(1.35) ชุดโต๊ะทำงาน ประกอบด้วย โต๊ะทำงาน ชั้นวางของ และเก้าอี้สำนักงาน เจดดาห์ 
ราชอาณาจักรซาอุดิอาระเบีย 3 ชุด</t>
  </si>
  <si>
    <t>(1.36) เครื่องโทรสาร คูเวต รัฐคูเวต 2 เครื่อง</t>
  </si>
  <si>
    <t>(1.37) เครื่องดูดฝุ่น คูเวต รัฐคูเวต 2 เครื่อง</t>
  </si>
  <si>
    <t>(1.38) เก้าอี้สำนักงาน เตหะราน สาธารณรัฐอิสลามอิหร่าน 11 ตัว</t>
  </si>
  <si>
    <t>(1.39) เครื่องฟอกอากาศ เตหะราน สาธารณรัฐอิสลามอิหร่าน 8 เครื่อง</t>
  </si>
  <si>
    <t>(1.40) เครื่องทำลายเอกสาร โดฮา รัฐกาตาร์ 1 เครื่อง</t>
  </si>
  <si>
    <t>(1.41) เครื่องถ่ายเอกสารสี มัลติฟังก์ชั่น ขนาดความเร็วไม่น้อยกว่า 20 แผ่นต่อนาที โดฮา รัฐกาตาร์ 1 เครื่อง</t>
  </si>
  <si>
    <t>(1.42) เครื่องดูดฝุ่น โดฮา รัฐกาตาร์ 1 เครื่อง</t>
  </si>
  <si>
    <t>(1.43) เก้าอี้ห้องประชุม คุนหมิง สาธารณรัฐประชาชนจีน 12 ตัว</t>
  </si>
  <si>
    <t>(1.44) เครื่องสแกนลายนิ้วมือ เฉิงตู สาธารณรัฐประชาชนจีน 4 เครื่อง</t>
  </si>
  <si>
    <t>(1.45) ชุดโซฟารับแขก เฉิงตู สาธารณรัฐประชาชนจีน 1 ชุด</t>
  </si>
  <si>
    <t>(1.46) โต๊ะสำหรับหอประชุม โตเกียว ญี่ปุ่น 2 ตัว</t>
  </si>
  <si>
    <t>(1.47) เครื่องปรับอากาศติดผนัง ระบบทำความเย็นและทำความอบอุ่น  โซล สาธารณรัฐเกาหลี 1 เครื่อง</t>
  </si>
  <si>
    <t>(1.48) เครื่องโทรสาร โซล สาธารณรัฐเกาหลี 1 เครื่อง</t>
  </si>
  <si>
    <t>(1.49) เครื่องฟอกอากาศ โซล สาธารณรัฐเกาหลี 4 เครื่อง</t>
  </si>
  <si>
    <t>(1.50) เก้าอี้สำหรับจัดเลี้ยงรับรองแขก แบบมีเท้าแขน  ลอสแอนเจลิส สหรัฐอเมริกา 2 ตัว</t>
  </si>
  <si>
    <t>(1.51) เก้าอี้สำหรับจัดเลี้ยงรับรองแขก แบบไม่มีเท้าแขน  ลอสแอนเจลิส สหรัฐอเมริกา 14 ตัว</t>
  </si>
  <si>
    <t>(1.52) ตู้ไม้เก็บเอกสาร ลอสแอนเจลิส สหรัฐอเมริกา 1 ตู้</t>
  </si>
  <si>
    <t>(1.53) เก้าอี้สำหรับห้องประชุมแบบมีเท้าแขน ลอสแอนเจลิส สหรัฐอเมริกา 2 ตัว</t>
  </si>
  <si>
    <t>(1.54) เก้าอี้สำหรับห้องประชุมแบบไม่มีเท้าแขน  ลอสแอนเจลิส สหรัฐอเมริกา 16 ตัว</t>
  </si>
  <si>
    <t>(1.55) ชุดโต๊ะทำงาน ประกอบด้วย โต๊ะทำงานพร้อมเก้าอี้ และตู้เก็บเอกสาร ลอสแอนเจลิส สหรัฐอเมริกา 1 ชุด</t>
  </si>
  <si>
    <t>(1.56) ชุดโต๊ะทำงาน ประกอบด้วย โต๊ะทำงานพร้อมเก้าอี้ และตู้เก็บเอกสาร ลอสแอนเจลิส สหรัฐอเมริกา 1 ชุด</t>
  </si>
  <si>
    <t>(1.57) ชุดโต๊ะทำงาน ประกอบด้วย โต๊ะทำงานพร้อมเก้าอี้ และตู้เก็บเอกสาร ลอสแอนเจลิส สหรัฐอเมริกา 1 ชุด</t>
  </si>
  <si>
    <t>(1.58) ตู้เก็บเอกสาร ลอสแอนเจลิส สหรัฐอเมริกา 1 ตู้</t>
  </si>
  <si>
    <t>(1.59) เครื่องฟอกอากาศ ลอสแอนเจลิส สหรัฐอเมริกา 3 เครื่อง</t>
  </si>
  <si>
    <t>(1.60) เก้าอี้สำนักงาน ออตตาวา แคนาดา 6 ตัว</t>
  </si>
  <si>
    <t>(1.62) ระบบโทรศัพท์พร้อมอุปกรณ์ ออตตาวา แคนาดา 1 ชุด</t>
  </si>
  <si>
    <t>(1.63. เก้าอี้สำหรับรับประทานอาหาร แวนคูเวอร์ แคนาดา 8 ตัว</t>
  </si>
  <si>
    <t>(1.64) โทรศัพท์เคลื่อนที่สำหรับผู้บริหาร บัวโนสไอเรส สาธารณรัฐอาร์เจนตินา 1 เครื่อง</t>
  </si>
  <si>
    <t>(1.65) โทรศัพท์เคลื่อนที่ บัวโนสไอเรส สาธารณรัฐอาร์เจนตินา 1 เครื่อง</t>
  </si>
  <si>
    <t>(1.66) เก้าอี้ทำงาน ซานติอาโก สาธารณรัฐชิลี 8 ตัว</t>
  </si>
  <si>
    <t>(1.67) เครื่องปรับอากาศ ขนาดไม่ต่ำกว่า 18,000 BTU ซานติอาโก สาธารณรัฐชิลี 1 เครื่อง</t>
  </si>
  <si>
    <t>(1.68) เก้าอี้ทำงาน (สำหรับ ออท)) โคเปนเฮเกน ราชอาณาจักรเดนมาร์ก 1 ตัว</t>
  </si>
  <si>
    <t>(1.69) เก้าอี้ทำงาน (สำหรับ อทป)) โคเปนเฮเกน ราชอาณาจักรเดนมาร์ก 1 ตัว</t>
  </si>
  <si>
    <t>(1.70) เก้าอี้ทำงาน (สำหรับห้องทำงาน ออท)) อังการา สาธารณรัฐตุรกี 1 ตัว</t>
  </si>
  <si>
    <t>(1.71) เก้าอี้ทำงาน (สำหรับเจ้าหน้าที่) อังการา สาธารณรัฐตุรกี 4 ตัว</t>
  </si>
  <si>
    <t>(1.72) เก้าอี้นั่ง (สำหรับแขก) อังการา สาธารณรัฐตุรกี 8 ตัว</t>
  </si>
  <si>
    <t>(1.73) เครื่องดูดฝุ่น บรัสเซลส์ ราชอาณาจักรเบลเยี่ยม 2 เครื่อง</t>
  </si>
  <si>
    <t>(1.74) เครื่องฟอกอากาศ (ลมเย็น) บรัสเซลส์ ราชอาณาจักรเบลเยี่ยม 1 เครื่อง</t>
  </si>
  <si>
    <t>(1.75) เครื่องฟอกอากาศ (ลมเย็นและลมร้อน) บรัสเซลส์ ราชอาณาจักรเบลเยี่ยม 3 เครื่อง</t>
  </si>
  <si>
    <t>(1.76) เครื่องฟอกอากาศ บรัสเซลส์ ราชอาณาจักรเบลเยี่ยม 2 เครื่อง</t>
  </si>
  <si>
    <t>(1.77) เครื่องฟอกอากาศ เบอร์ลิน สหพันธ์สาธารณรัฐเยอรมนี 6 เครื่อง</t>
  </si>
  <si>
    <t>(1.78) เครื่องดูดฝุ่น ขนาดไม่ต่ำกว่า 4 ลิตร เบอร์ลิน สหพันธ์สาธารณรัฐเยอรมนี 1 เครื่อง</t>
  </si>
  <si>
    <t>(1.79) เครื่องดูดฝุ่น ขนาดไม่ต่ำกว่า 13 ลิตร เบอร์ลิน สหพันธ์สาธารณรัฐเยอรมนี 1 เครื่อง</t>
  </si>
  <si>
    <t>(1.80) ชุดผ้าม่านพร้อมติดตั้ง สำหรับห้องรับประทานอาหาร  แฟรงก์เฟิร์ต สหพันธ์สาธารณรัฐเยอรมนี 1 ชุด</t>
  </si>
  <si>
    <t>(1.81) ชุดผ้าม่านพร้อมติดตั้ง สำหรับห้องรับแขก แฟรงก์เฟิร์ต สหพันธ์สาธารณรัฐเยอรมนี 1 ชุด</t>
  </si>
  <si>
    <t>(1.82) เครื่องฟอกอากาศ มิวนิก สหพันธ์สาธารณรัฐเยอรมนี 1 เครื่อง</t>
  </si>
  <si>
    <t>(1.83) เครื่องฟอกอากาศ มาดริด ราชอาณาจักรสเปน 7 เครื่อง</t>
  </si>
  <si>
    <t>(1.85) ชุดโซฟารับแขก บูดาเปสต์ สาธารณรัฐฮังการี 1 ชุด</t>
  </si>
  <si>
    <t>(1.86) ชุดโซฟารับแขก บูดาเปสต์ สาธารณรัฐฮังการี 1 ชุด</t>
  </si>
  <si>
    <t xml:space="preserve">(1.84) เครื่องโทรสาร โรม สาธารณรัฐอิตาลี 2 เครื่อง </t>
  </si>
  <si>
    <t>(1.87) ชุดโซฟารับแขก บูดาเปสต์ สาธารณรัฐฮังการี 1 ชุด</t>
  </si>
  <si>
    <t>(1.88) โต๊ะทำงาน เฮลซิงกิ ฟินแลนด์ 1 ตัว</t>
  </si>
  <si>
    <t>(1.89) โต๊ะทำงาน เฮลซิงกิ ฟินแลนด์ 1 ตัว</t>
  </si>
  <si>
    <t>(1.90) เก้าอี้ทำงาน เฮลซิงกิ ฟินแลนด์ 12 ตัว</t>
  </si>
  <si>
    <t>(1.91) เครื่องทำความอบอุ่น บูคาเรสต์ โรมาเนีย 4 เครื่อง</t>
  </si>
  <si>
    <t>(1.92) เก้าอี้ทำงาน ลิสบอน สาธารณรัฐโปรตุเกส 16 ตัว</t>
  </si>
  <si>
    <t>(1.93) เครื่องปรับอากาศ ขนาดไม่ต่ำกว่า 9,000 BTU ลิสบอน สาธารณรัฐโปรตุเกส 1 เครื่อง</t>
  </si>
  <si>
    <t>(1.94) ชุดอุปกรณ์เปิด - ปิดประตูอัตโนมัติ ลิสบอน สาธารณรัฐโปรตุเกส 1 ชุด</t>
  </si>
  <si>
    <t>(1.95) เครื่องฟอกอากาศ วอร์ซอ สาธารณรัฐโปแลนด์ 5 เครื่อง</t>
  </si>
  <si>
    <t>(1.96) เครื่องถ่ายเอกสารขาวดำ ขนาดความเร็วไม่น้อยกว่า 30 แผ่นต่อนาที  กรุงนูร์-ซุลตัน คาซัคสถาน 1 เครื่อง</t>
  </si>
  <si>
    <t>(1.1) กล้องวงจรปิดพร้อมอุปกรณ์  ธากา สาธารณรัฐประชาชนบังกลาเทศ 1 ชุด</t>
  </si>
  <si>
    <t>(1.2) ชุดกล้องวงจรปิด  ฮานอย สาธารณรัฐสังคมนิยมเวียดนาม 1 ชุด</t>
  </si>
  <si>
    <t>(1.3) ระบบกล้องวงจรปิด โกตาบารู มาเลเซีย 1 ระบบ</t>
  </si>
  <si>
    <t>2.1.2 ค่าครุภัณฑ์คอมพิวเตอร์</t>
  </si>
  <si>
    <t>(1) ครุภัณฑ์คอมพิวเตอร์ที่มีราคาต่อหน่วยต่ำกว่า 1 ล้านบาท รวม 3 รายการ (รวม 3 หน่วย)</t>
  </si>
  <si>
    <t>2.1.3 ค่าครุภัณฑ์งานบ้านงานครัว</t>
  </si>
  <si>
    <t>(1) ครุภัณฑ์งานบ้านงานครัวที่มีราคาต่อหน่วยต่ำกว่า 1 ล้านบาท รวม 40 รายการ (รวม 56 หน่วย)</t>
  </si>
  <si>
    <t>2.1.4 ค่าครุภัณฑ์โฆษณาและเผยแพร่</t>
  </si>
  <si>
    <t>(1) ครุภัณฑ์โฆษณาและเผยแพร่ที่มีราคาต่อหน่วยต่ำกว่า 1 ล้านบาท รวม 8 รายการ (รวม 20 หน่วย)</t>
  </si>
  <si>
    <t>(1.1) กล้องถ่ายรูปดิจิตอล  ไคโร สาธารณรัฐอาหรับอียิปต์ 1 ตัว</t>
  </si>
  <si>
    <t>(1.2) โทรทัศน์สี ขนาดไม่ต่ำกว่า 40 นิ้ว  ไคโร สาธารณรัฐอาหรับอียิปต์ 1 เครื่อง</t>
  </si>
  <si>
    <t>(1.3) เครื่องฉายภาพโปรเจ็คเตอร์พร้อมอุปกรณ์  อิสลามาบัด สาธารณรัฐอิสลามปากีสถาน 1 ชุด</t>
  </si>
  <si>
    <t>(1.4) โทรทัศน์สี ขนาดไม่ต่ำกว่า 65 นิ้ว  อิสลามาบัด สาธารณรัฐอิสลามปากีสถาน 3 เครื่อง</t>
  </si>
  <si>
    <t>(1.5) โทรทัศน์สี ขนาดไม่ต่ำกว่า 40 นิ้ว  อิสลามาบัด สาธารณรัฐอิสลามปากีสถาน 9 เครื่อง</t>
  </si>
  <si>
    <t>(1.6) โทรทัศน์สี ขนาดไม่ต่ำกว่า 45 นิ้ว  เวียงจันทน์ สาธารณรัฐประชาธิปไตยประชาชนลาว 1 เครื่อง</t>
  </si>
  <si>
    <t>(1.7) โทรทัศน์สี ขนาดไม่ต่ำกว่า 40 นิ้ว  ริยาด ราชอาณาจักรซาอุดิอาระเบีย 3 เครื่อง</t>
  </si>
  <si>
    <t>(1.8) โทรทัศน์สี ขนาดไม่ต่ำกว่า 40 นิ้ว  ดูไบ สหรัฐอาหรับเอมิเรตส์ 1 เครื่อง</t>
  </si>
  <si>
    <t>(1.1) เครื่องซักและอบผ้า อาบูจา ไนจีเรีย 1 เครื่อง</t>
  </si>
  <si>
    <t>(1.2) เตียงนอน ขนาด King size  อาบูจา ไนจีเรีย 2 เตียง</t>
  </si>
  <si>
    <t>(1.3) เตียงนอน ขนาด Queen size  อาบูจา ไนจีเรีย 4 เตียง</t>
  </si>
  <si>
    <t>(1.4) ตู้แช่ ขนาดไม่ต่ำกว่า 700 ลิตร  อาบูจา ไนจีเรีย 1 ตู้</t>
  </si>
  <si>
    <t>(1.5) ตู้เย็น ขนาดความจุไม่ต่ำกว่า 500 ลิตร อาบูจา ไนจีเรีย 1 ตู้</t>
  </si>
  <si>
    <t>(1.6) เครื่องสูบน้ำ กาฐมาณฑุ ราชอาณาจักรเนปาล 1 เครื่อง</t>
  </si>
  <si>
    <t>(1.7) เครื่องสูบน้ำ  กาฐมาณฑุ ราชอาณาจักรเนปาล 1 เครื่อง</t>
  </si>
  <si>
    <t>(1.8) ตู้เย็น แบบ 4 ประตู  อิสลามาบัด สาธารณรัฐอิสลามปากีสถาน 2 ตู้</t>
  </si>
  <si>
    <t>(1.9) ตู้เย็น ขนาดความจุไม่ต่ำกว่า 18 คิวบิกฟุต  อิสลามาบัด สาธารณรัฐอิสลามปากีสถาน 1 ตู้</t>
  </si>
  <si>
    <t>(1.10) ไมโครเวฟ  อิสลามาบัด สาธารณรัฐอิสลามปากีสถาน 1 เครื่อง</t>
  </si>
  <si>
    <t>(1.11) เครื่องล้างจาน จาการ์ตา สาธารณรัฐอินโดนีเซีย 1 เครื่อง</t>
  </si>
  <si>
    <t>(1.12) ตู้เย็น ขนาดความจุไม่ต่ำกว่า 680 ลิตร  จาการ์ตา สาธารณรัฐอินโดนีเซีย 1 ตู้</t>
  </si>
  <si>
    <t>(1.13) ตู้แช่ไวน์  มะนิลา สาธารณรัฐฟิลิปปินส์ 1 ตู้</t>
  </si>
  <si>
    <t>(1.14) ตู้เย็น ขนาดความจุไม่ต่ำกว่า 16 คิวบิกฟุต  มะนิลา สาธารณรัฐฟิลิปปินส์ 2 ตู้</t>
  </si>
  <si>
    <t>(1.15) เครื่องตัดหญ้า  มะนิลา สาธารณรัฐฟิลิปปินส์ 1 เครื่อง</t>
  </si>
  <si>
    <t>(1.16) เครื่องเป่าใบไม้  มะนิลา สาธารณรัฐฟิลิปปินส์ 1 เครื่อง</t>
  </si>
  <si>
    <t>(1.17) ตู้เย็น ขนาดความจุไม่ต่ำกว่า 520 ลิตร  สิงคโปร์ สาธารณรัฐสิงคโปร์ 1 ตู้</t>
  </si>
  <si>
    <t>(1.18) เครื่องทำน้ำร้อน น้ำเย็น  ริยาด ราชอาณาจักรซาอุดิอาระเบีย 3 เครื่อง</t>
  </si>
  <si>
    <t>(1.19) เตาไฟฟ้าพร้อมเตาอบ  ริยาด ราชอาณาจักรซาอุดิอาระเบีย 1 เครื่อง</t>
  </si>
  <si>
    <t>(1.21) ตู้ใส่เสื้อผ้า แบบ (1.2 ประตู  มานามา รัฐบาห์เรน 1 ตู้</t>
  </si>
  <si>
    <t>(1.23) เตาแก๊สพร้อมเตาอบ คูเวต รัฐคูเวต 1 เตา</t>
  </si>
  <si>
    <t>(1.24) เตียงนอนพร้อมที่นอน ปักกิ่ง สาธารณรัฐประชาชนจีน 2 เตียง</t>
  </si>
  <si>
    <t>(1.25) เตาแก๊สพร้อมเตาอบ โซล สาธารณรัฐเกาหลี 1 เตา</t>
  </si>
  <si>
    <t>(1.26) เครื่องซักผ้า โซล สาธารณรัฐเกาหลี 1 เครื่อง</t>
  </si>
  <si>
    <t>(1.27) เครื่องอบผ้า โซล สาธารณรัฐเกาหลี 1 เครื่อง</t>
  </si>
  <si>
    <t>(1.28) ตู้เย็น ขนาดความจุไม่ต่ำกว่า (1.25 คิวบิกฟุต  ชิคาโก สหรัฐอเมริกา 1 ตู้</t>
  </si>
  <si>
    <t>(1.29) เครื่องตัดหญ้าแบบเข็น ซานติอาโก สาธารณรัฐชิลี 1 เครื่อง</t>
  </si>
  <si>
    <t>(1.30) เครื่องตัดหญ้า โคเปนเฮเกน ราชอาณาจักรเดนมาร์ก 1 เครื่อง</t>
  </si>
  <si>
    <t>(1.31) เครื่องตัดหญ้า  ออสโล ราชอาณาจักรนอร์เวย์ 1 เครื่อง</t>
  </si>
  <si>
    <t>(1.32) เครื่องอุ่นจาน  ออสโล ราชอาณาจักรนอร์เวย์ 1 เครื่อง</t>
  </si>
  <si>
    <t>(1.33) เครื่องล้างจาน  ออสโล ราชอาณาจักรนอร์เวย์ 1 เครื่อง</t>
  </si>
  <si>
    <t>(1.34) เครื่องเป่าใบไม้  เวียนนา สาธารณรัฐออสเตรีย 1 เครื่อง</t>
  </si>
  <si>
    <t>(1.35) เครื่องอบผ้า  โรม สาธารณรัฐอิตาลี 1 เครื่อง</t>
  </si>
  <si>
    <t>(1.36) ตู้เย็น ขนาดความจุไม่ต่ำกว่า 400 ลิตร  โรม สาธารณรัฐอิตาลี 6 ตู้</t>
  </si>
  <si>
    <t>(1.37) เครื่องล้างจาน เฮลซิงกิ ฟินแลนด์ 1 เครื่อง</t>
  </si>
  <si>
    <t>(1.38) ตู้อาบน้ำห้องรับรองแขก  เฮลซิงกิ ฟินแลนด์ 1 ตู้</t>
  </si>
  <si>
    <t>(1.39) ตู้เย็น ขนาดความจุไม่ต่ำกว่า 500 ลิตร  ลิสบอน สาธารณรัฐโปรตุเกส 1 ตู้</t>
  </si>
  <si>
    <t>(1.40) ตู้แช่แข็ง ขนาดความจุไม่น้อยกว่า 240 ลิตร  ลิสบอน สาธารณรัฐโปรตุเกส 1 ตู้</t>
  </si>
  <si>
    <t>2.1.5 ค่าครุภัณฑ์ไฟฟ้าและวิทยุ</t>
  </si>
  <si>
    <t>(1.1) ชุดเครื่องเสียงพร้อมอุปกรณ์  อิสลามาบัด สาธารณรัฐอิสลามปากีสถาน 1 ชุด</t>
  </si>
  <si>
    <t>(1.2) ชุดเครื่องขยายเสียงและลำโพง เบอร์ลิน สหพันธ์สาธารณรัฐเยอรมนี 2 ชุด</t>
  </si>
  <si>
    <t>(1.3) ชุดไมโครโฟนไร้สาย  เบอร์ลิน สหพันธ์สาธารณรัฐเยอรมนี 1 ชุด</t>
  </si>
  <si>
    <t>(1.4) เครื่องสำรองไฟฟ้า บูคาเรสต์ โรมาเนีย 6 เครื่อง</t>
  </si>
  <si>
    <t>(1) ค่าปรับปรุงสิ่งก่อสร้างอื่นที่มีราคาต่อหน่วยต่ำกว่า 10 ล้านบาท รวม 5 รายการ (รวม 5 หน่วย)</t>
  </si>
  <si>
    <t>2.2.1 ค่าปรับปรุงสิ่งก่อสร้างอื่น</t>
  </si>
  <si>
    <t>(1.1) ปรับปรุงซ่อมแซมหลังคาทางเดินเชื่อมศาลาไทยและกันสาดคลับเฮาท์ อิสลามาบัด 
สาธารณรัฐอิสลามปากีสถาน 1 งาน</t>
  </si>
  <si>
    <t>(1.2) ปรับปรุงซ่อมแซมประตูรั้วด้านหน้า (ตะวันออก) และติดตั้งรั้วด้านข้าง (ฝั่งตะวันตก) ของสำนักงาน 
ชิคาโก สหรัฐอเมริกา 1 งาน</t>
  </si>
  <si>
    <t>(1.3) ปรับปรุงซ่อมแซมสนามเทนนิสของทำเนียบเอกอัครราชทูต ณ กรุงมาดริด ราชอาณาจักรสเปน 1 งาน</t>
  </si>
  <si>
    <t>(1.4) ปรับปรุงซ่อมแซมลานอเนกประสงค์ของที่ทำการสถานเอกอัครราชทูต ณ กรุงมาดริด ราชอาณาจักรสเปน 1 งาน</t>
  </si>
  <si>
    <t>(1.5) ปรับปรุงซ่อมแซมทาสีกำแพงด้านนอกของที่ทำการสถานเอกอัครราชทูต  ณ กรุงมาดริด 
ราชอาณาจักรสเปน 1 งาน</t>
  </si>
  <si>
    <t>2.2.2 ค่าปรับปรุงอาคารที่ทำการและสิ่งก่อสร้างประกอบ</t>
  </si>
  <si>
    <t>(1) ค่าปรับปรุงอาคารที่ทำการและสิ่งก่อสร้างประกอบที่มีราคาต่อหน่วยต่ำกว่า 10 ล้านบาท รวม 10 รายการ 
(รวม 10 หน่วย)</t>
  </si>
  <si>
    <t>(1.1) ปรับปรุงซ่อมแซมทาสีอาคารที่ทำการสถานเอกอัครราชทูต บ้านพัก โซนจัดเลี้ยง และศาลาไทย อิสลามาบัด สาธารณรัฐอิสลามปากีสถาน 1 งาน</t>
  </si>
  <si>
    <t>(1.2) ปรับปรุงซ่อมแซมและต่อเติมห้องพักรอสำหรับประชาชนผู้มาติดต่อขอรับบริการที่ฝ่ายกงสุล ย่างกุ้ง สหภาพพม่า
1 งาน</t>
  </si>
  <si>
    <t>(1.3) ปรับปรุงซ่อมแซมอาคารที่ทำการสถานกงสุลใหญ่ ณ เมืองโกตาบารู มาเลเซีย 1 งาน</t>
  </si>
  <si>
    <t>(1.4) ปรับปรุงซ่อมแซมอาคารฝ่ายกงสุล ณ เมืองโกตาบารู มาเลเซีย 1 งาน</t>
  </si>
  <si>
    <t>(1.5) ปรับปรุงซ่อมแซมอาคารที่ทำการสถานกงสุลใหญ่ และบ้านพักกงสุลใหญ่ ณ แขวงสะหวันนะเขต 
สาธารณรัฐประชาธิปไตยประชาชนลาว 1 งาน</t>
  </si>
  <si>
    <t>(1.6) ปรับปรุงซ่อมแซมห้องอุปกรณ์ระบบสื่อสารภายในอาคารที่ทำการแห่งใหม่ นิวยอร์ก สหรัฐอเมริกา 1 งาน</t>
  </si>
  <si>
    <t>(1.7) ปรับปรุงทำหลังคากันสาดกระจกหน้าฝ่ายกงสุล อาคารที่ทำการสถานเอกอัครราชทูต ณ กรุงเวียนนา 
สาธารณรัฐออสเตรีย 1 งาน</t>
  </si>
  <si>
    <t>(1.8) ปรับปรุงขยายห้องทำงาน ห้องกระจก ที่เก็บเอกสาร บริเวณชั้น 1 อาคารที่ทำการสถานเอกอัครราชทูต 
ณ กรุงเวียนนา สาธารณรัฐออสเตรีย 1 งาน</t>
  </si>
  <si>
    <t>(1.9) ปรับปรุงซ่อมแซมอาคารที่ทำการสถานเอกอัครราชทูต ณ กรุงลิสบอน สาธารณรัฐโปรตุเกส 1 งาน</t>
  </si>
  <si>
    <t>(1.10) ปรับปรุงซ่อมแซมอาคารที่ทำการสถานเอกอัครราชทูต และทำเนียบเอกอัครราชทูต ณ กรุงพนมเปญ ราชอาณาจักรกัมพูชา 1 งาน</t>
  </si>
  <si>
    <t>2.2.3 ค่าปรับปรุงอาคารที่พักอาศัยและสิ่งก่อสร้างประกอบ</t>
  </si>
  <si>
    <t>(1) ค่าปรับปรุงอาคารที่พักอาศัยและสิ่งก่อสร้างประกอบที่มีราคาต่อหน่วยต่ำกว่า 10 ล้านบาท รวม 10 รายการ 
(รวม 10 หน่วย)</t>
  </si>
  <si>
    <t>2.2.4 ค่าปรับปรุงทางและสะพาน</t>
  </si>
  <si>
    <t>(1) ค่าปรับปรุงทางและสะพานที่มีราคาต่อหน่วยต่ำกว่า 10 ล้านบาท รวม 1 รายการ (รวม 1 หน่วย)</t>
  </si>
  <si>
    <t>(1.1) ปรับปรุงซ่อมแซมพื้นทางเดินสาธารณะด้านหน้าอาคารที่ทำการสถานกงสุลใหญ่ ณ นครลอสแอนเจลิส สหรัฐอเมริกา 1 งาน</t>
  </si>
  <si>
    <t>(1.10) ปรับปรุงซ่อมแซมอาคารทำเนียบเอกอัครราชทูต ณ กรุงบรัสเซลส์ ราชอาณาจักรเบลเยี่ยม 1 งาน</t>
  </si>
  <si>
    <t>(1.9) ปรับปรุงซ่อมแซมอาคารทำเนียบเอกอัครราชทูต ณ กรุงลิสบอน สาธารณรัฐโปรตุเกส 1 งาน</t>
  </si>
  <si>
    <t>(1.3) ปรับปรุงซ่อมแซมชั้นใต้ดินอาคารทำเนียบเอกอัครราชทูต ณ กรุงมาดริด ราชอาณาจักรสเปน 1 งาน</t>
  </si>
  <si>
    <t>(1.2)  ปรับปรุงซ่อมแซมอาคารทำเนียบเอกอัครราชทูต ณ กรุงบัวโนสไอเรส สาธารณรัฐอาร์เจนตินา 1 งาน</t>
  </si>
  <si>
    <t>(1.1) ปรับปรุงซ่อมแซมบ้านพักกงสุลใหญ่ ณ เมืองโกตาบารู มาเลเซีย 1 งาน</t>
  </si>
  <si>
    <t>2.2.5 ค่าปรับปรุงระบบสาธารณูปโภค</t>
  </si>
  <si>
    <t>(1) ค่าปรับปรุงระบบสาธารณูปโภคที่มีราคาต่อหน่วยต่ำกว่า 10 ล้านบาท รวม 6 รายการ (รวม 6 หน่วย)</t>
  </si>
  <si>
    <t>(1.1) ปรับปรุงระบบให้ความเย็น/ความร้อนและน้ำร้อน อาคารที่ทำการสถานกงสุลใหญ่ ณ นครลอสแอนเจลิส สหรัฐอเมริกา 1 งาน</t>
  </si>
  <si>
    <t>(1.2)  ปรับปรุงระบบกล้องวงจรปิดอาคารที่ทำการสถานกงสุลใหญ่ ณ นครลอสแอนเจลิส สหรัฐอเมริกา 1 งาน</t>
  </si>
  <si>
    <t>(1.3)  ปรับปรุงระบบไฟฟ้าส่องสว่างอาคารที่ทำการสถานกงสุลใหญ่ ณ นครลอสแอนเจลิส สหรัฐอเมริกา 1 งาน</t>
  </si>
  <si>
    <t>(1.4)  ปรับปรุงระบบปรับอากาศบ้านพักกงสุลใหญ่ ณ นครลอสแอนเจลิส สหรัฐอเมริกา 1 งาน</t>
  </si>
  <si>
    <t>(1.5)  ปรับปรุงระบบกล้องวงจรปิดบ้านพักกงสุลใหญ่ ณ นครลอสแอนเจลิส สหรัฐอเมริกา 1 งาน</t>
  </si>
  <si>
    <t>(1.6) ปรับปรุงซ่อมแซมท่อน้ำร้อนที่บาร์น้ำชั้นล่างของ อาคารทำเนียบเอกอัครราชทูต ณ กรุงเฮลซิงกิ ฟินแลนด์
1 งาน</t>
  </si>
  <si>
    <t>(2) ค่าปรับปรุงอาคารที่ทำการและสิ่งก่อสร้างประกอบที่มีราคาต่อหน่วย 10 ล้านบาทขึ้นไป รวม 2 รายการ (รวม 2 หน่วย)</t>
  </si>
  <si>
    <t>(1.1) ปรับปรุงซ่อมแซมอาคารที่ทำการสถานกงสุลใหญ่ และบ้านพักกงสุลใหญ่ ณ นครเซี่ยงไฮ้ สาธารณรัฐประชาชนจีน
1 งาน</t>
  </si>
  <si>
    <t>(1.2) ปรับปรุงซ่อมแซมอาคารที่ทำการสถานเอกอัครราชทูต ณ กรุงบรัสเซลส์ ราชอาณาจักรเบลเยี่ยม 1 งาน</t>
  </si>
  <si>
    <t>2.2.6 ค่าก่อสร้างอาคารที่ทำการและสิ่งก่อสร้างประกอบ</t>
  </si>
  <si>
    <t>(1) ค่าก่อสร้างอาคารที่ทำการและสิ่งก่อสร้างประกอบที่มีราคาต่อหน่วย 10 ล้านบาทขึ้นไป รวม 1 รายการ (รวม 1 หน่วย)</t>
  </si>
  <si>
    <t>(1.1) ค่าก่อสร้างอาคารที่ทำการและสิ่งก่อสร้างประกอบสถานเอกอัครราชทูต ณ เวียงจันทน์ สปป.ลาว เวียงจันทน์ สาธารณรัฐประชาธิปไตยประชาชนลาว 1 งาน</t>
  </si>
  <si>
    <t>2.2.7 ค่าควบคุมงาน</t>
  </si>
  <si>
    <t>(1.1) ค่าควบคุมงานก่อสร้างอาคารที่ทำการและสิ่งก่อสร้างประกอบ สถานเอกอัครราชทูต ณ เวียงจันทน์ สปป.ลาว เวียงจันทน์ สาธารณรัฐประชาธิปไตยประชาชนลาว 1 งาน</t>
  </si>
  <si>
    <t>(2) ครุภัณฑ์คอมพิวเตอร์ที่มีราคาต่อหน่วย 1 ล้านบาทขึ้นไป รวม 1 รายการ (รวม 1 หน่วย)</t>
  </si>
  <si>
    <t>(1.1) กล้องวงจรปิดพร้อมอุปกรณ์ เวลลิงตัน นิวซีแลนด์ 1 ชุด</t>
  </si>
  <si>
    <t>2.1.6 ครุภัณฑ์ยานพาหนะและขนส่ง</t>
  </si>
  <si>
    <t>(1) ครุภัณฑ์ยานพาหนะและขนส่งที่มีราคาต่อหน่วย 1 ล้านบาทขึ้นไป รวม 12 รายการ (รวม 12 หน่วย)</t>
  </si>
  <si>
    <t>(1.1) รถยนต์ประจำตำแหน่งของผู้ดำรงตำแหน่งหัวหน้าส่วนราชการระดับเอกอัครราชทูต 
ของ สอท. ณ กรุงเวลลิงตัน 1 คัน</t>
  </si>
  <si>
    <t>(1.2) รถยนต์ประจำตำแหน่งของผู้ดำรงตำแหน่งที่สองรองจากเอกอัครราชทูตหรือผู้ที่มีฐานะเทียบเท่า
ของ สอท. ณ กรุงริยาด 1 คัน</t>
  </si>
  <si>
    <t>(1.3) รถยนต์ประจำตำแหน่งของผู้ดำรงตำแหน่งหัวหน้าส่วนราชการระดับเอกอัครราชทูต ของ สอท. ณ กรุงราบัต
1 คัน</t>
  </si>
  <si>
    <t>(1.4) รถยนต์ประจำตำแหน่งของผู้ดำรงตำแหน่งที่สองรองจากเอกอัครราชทูตหรือผู้ที่มีฐานะเทียบเท่า 
ของ สอท. ณ กรุงสตอกโฮล์ม 1 คัน</t>
  </si>
  <si>
    <t>(1.5) รถยนต์ประจำตำแหน่งของผู้ดำรงตำแหน่งหัวหน้าส่วนราชการระดับเอกอัครราชทูต ของ สอท. ณ กรุงสตอกโฮล์ม
1 คัน</t>
  </si>
  <si>
    <t>(1.6) รถยนต์ประจำตำแหน่งของผู้ดำรงตำแหน่งหัวหน้าส่วนราชการระดับเอกอัครราชทูต ของ สอท. ณ กรุงมะนิลา
1 คัน</t>
  </si>
  <si>
    <t>(1.7) รถยนต์ประจำตำแหน่งของผู้ดำรงตำแหน่งหัวหน้าส่วนราชการระดับเอกอัครราชทูต ของ สอท. ณ กรุงฮานอย
1 คัน</t>
  </si>
  <si>
    <t>(1.8) รถยนต์ประจำตำแหน่งของผู้ดำรงตำแหน่งหัวหน้าส่วนราชการระดับเอกอัครราชทูต ของ สอท. ณ กรุงเทลอาวีฟ
1 คัน</t>
  </si>
  <si>
    <t>(1.9) รถยนต์ประจำตำแหน่งของผู้ดำรงตำแหน่งหัวหน้าส่วนราชการระดับเอกอัครราชทูต 
ของ สอท. ณ บันดาร์เสรีเบกาวัน 1 คัน</t>
  </si>
  <si>
    <t>(1.10) รถยนต์ประจำตำแหน่งของผู้ดำรงตำแหน่งหัวหน้าส่วนราชการระดับเอกอัครราชทูต 
ของ สอท. ณ กรุงกาฐมาณฑุ 1 คัน</t>
  </si>
  <si>
    <t>(1.11) รถยนต์ประจำตำแหน่งของผู้ดำรงตำแหน่งหัวหน้าส่วนราชการระดับกงสุลใหญ่ของ สกญ. ณ นครแฟรงก์เฟิร์ต
1 คัน</t>
  </si>
  <si>
    <t>(1.12) รถยนต์ประจำตำแหน่งของผู้ดำรงตำแหน่งที่สองรองจากเอกอัครราชทูตหรือผู้ที่มีฐานะเทียบเท่า
ของ สอท. ณ กรุงย่างกุ้ง 1 คัน</t>
  </si>
  <si>
    <t>(2) ค่าปรับปรุงอาคารที่ทำการและสิ่งก่อสร้างประกอบที่มีราคาต่อหน่วย 10 ล้านบาทขึ้นไป รวม 3 รายการ 
(รวม 3 หน่วย)</t>
  </si>
  <si>
    <t>(2.1) งานปรับปรุงระบบแจ้งเตือนอัคคีภัย (Fire Alarm) อาคารกระทรวงการต่างประเทศ ถนนศรีอยุธยา 1 งาน</t>
  </si>
  <si>
    <t>(2.3) งานปรับปรุงพื้นที่ทำงานกรมสารนิเทศ อาคารกระทรวงการต่างประเทศ ถนนศรีอยุธยา 1 งาน</t>
  </si>
  <si>
    <t>(2.2) งานปรับปรุงตู้ควบคุมการจ่ายกระแสไฟฟ้าหลัก (Main Distribution Board: MDB) และตู้ควบคุมการจ่ายกระแสไฟฟ้ากรณีฉุกเฉิน (Emergency Main Distribution Board: EMDB) อาคารกระทรวงการต่างประเทศ 
ถนนศรีอยุธยา 1 งาน</t>
  </si>
  <si>
    <t>(1.24) ชุดโซฟารับแขกสำหรับห้องรองอธิบดี 2 ชุด</t>
  </si>
  <si>
    <t>(1.5) สแกนเนอร์ สำหรับงานเก็บเอกสารระดับศูนย์บริการ แบบที่ 3 จำนวน 6 เครื่อง</t>
  </si>
  <si>
    <t>(1.61) เก้าอี้สำนักงาน (สำหรับผู้บริหาร) ออตตาวา แคนาดา 3 ตัว</t>
  </si>
  <si>
    <t>(1.20) เตียงนอนพร้อมที่นอน เทลอาวีฟ รัฐอิสราเอล 3 เตียง</t>
  </si>
  <si>
    <t>(1.22) ตู้ใส่เสื้อผ้า แบบ 3 ประตู  มานามา รัฐบาห์เรน 1 ตู้</t>
  </si>
  <si>
    <t>(1) ครุภัณฑ์ไฟฟ้าและวิทยุที่มีราคาต่อหน่วยต่ำกว่า 1 ล้านบาท รวม 4 รายการ (รวม 10 หน่วย)</t>
  </si>
  <si>
    <t>(1.4) ปรับปรุงซ่อมแซมพื้นห้องผู้ติดตามอาคารทำเนียบเอกอัครราชทูต ณ กรุงมาดริด ราชอาณาจักรสเปน 1 งาน</t>
  </si>
  <si>
    <t>(1.5) ปรับปรุงซ่อมแซมระเบียงชั้น 3 อาคารทำเนียบเอกอัครราชทูต ณ กรุงเบิร์น สมาพันธรัฐสวิส 1 งาน</t>
  </si>
  <si>
    <t>(1.7) ปรับปรุงซ่อมแซมระเบียง อาคารทำเนียบเอกอัครราชทูต ณ กรุงเฮลซิงกิ ฟินแลนด์ 1 งาน</t>
  </si>
  <si>
    <t>(1.8) ปรับปรุงซ่อมแซมเพดานห้องรับแขก อาคารทำเนียบเอกอัครราชทูต ณ กรุงเฮลซิงกิ ฟินแลนด์ 1 งาน</t>
  </si>
  <si>
    <t>(1.6) ปรับปรุงซ่อมแซมและติดตั้งรั้วรอบระเบียงชั้น 3 อาคารทำเนียบเอกอัครราชทูต ณ กรุงเบิร์น 
สมาพันธรัฐสวิส 1 งาน</t>
  </si>
  <si>
    <t>(1) ค่าควบคุมงานที่มีราคาต่อหน่วย 10 ล้านบาทขึ้นไป รวม 1 รายการ (รวม 1 หน่วย)</t>
  </si>
  <si>
    <t xml:space="preserve">สำนักงานปลัดกระทรวงฯ </t>
  </si>
  <si>
    <t>งบประมาณ
ที่ได้รับจัดสรร
ปี 2565</t>
  </si>
  <si>
    <t>รายละเอียด</t>
  </si>
  <si>
    <t>การจัดสรรงบประมาณรายจ่าย</t>
  </si>
  <si>
    <t>สารบัญ</t>
  </si>
  <si>
    <t>หน้า</t>
  </si>
  <si>
    <t>1.</t>
  </si>
  <si>
    <t>1</t>
  </si>
  <si>
    <t>2.</t>
  </si>
  <si>
    <t>2</t>
  </si>
  <si>
    <t>2.1</t>
  </si>
  <si>
    <t>แผนภูมิวงกลมแสดงการจำแนกประเภทงบประมาณรายจ่ายประจำปีงบประมาณ</t>
  </si>
  <si>
    <t>3</t>
  </si>
  <si>
    <t>2.2</t>
  </si>
  <si>
    <t>แผนภูมิแท่งแสดงข้อมูลคำของบประมาณ งบประมาณที่ได้รับจัดสรร</t>
  </si>
  <si>
    <t>4</t>
  </si>
  <si>
    <t>2.3</t>
  </si>
  <si>
    <t>5</t>
  </si>
  <si>
    <t>2.4</t>
  </si>
  <si>
    <t>6</t>
  </si>
  <si>
    <t>จำแนกตามแผนงานและประเภทงบรายจ่าย</t>
  </si>
  <si>
    <t>3.</t>
  </si>
  <si>
    <t>7</t>
  </si>
  <si>
    <t>3.1</t>
  </si>
  <si>
    <t>จำแนกตามแผนงานยุทธศาสตร์/โครงการ/กิจกรรม/ผลผลิต</t>
  </si>
  <si>
    <t>8</t>
  </si>
  <si>
    <t>แผนงานบูรณาการขับเคลื่อนการแก้ไขปัญหาในจังหวัดชายแดนภาคใต้</t>
  </si>
  <si>
    <t>9</t>
  </si>
  <si>
    <t>10</t>
  </si>
  <si>
    <t>29</t>
  </si>
  <si>
    <t>สารบัญ (ต่อ)</t>
  </si>
  <si>
    <t>จำแนกตามกรม</t>
  </si>
  <si>
    <t xml:space="preserve"> 1) กรมเอเชียตะวันออก</t>
  </si>
  <si>
    <t xml:space="preserve"> 2) กรมเอเชียใต้ ตะวันออกกลางและแอฟริกา</t>
  </si>
  <si>
    <t xml:space="preserve"> 3) กรมยุโรป</t>
  </si>
  <si>
    <t>39</t>
  </si>
  <si>
    <t xml:space="preserve"> 4) กรมอเมริกาและแปซิฟิกใต้</t>
  </si>
  <si>
    <t>42</t>
  </si>
  <si>
    <t xml:space="preserve"> 5) กรมความร่วมมือระหว่างประเทศ</t>
  </si>
  <si>
    <t xml:space="preserve"> 6) กรมอาเซียน</t>
  </si>
  <si>
    <t xml:space="preserve"> 7) กรมองค์การระหว่างประเทศ</t>
  </si>
  <si>
    <t xml:space="preserve"> 8) กรมเศรษฐกิจระหว่างประเทศ</t>
  </si>
  <si>
    <t xml:space="preserve"> 9) กรมสนธิสัญญาและกฎหมาย</t>
  </si>
  <si>
    <t>10) กรมสารนิเทศ</t>
  </si>
  <si>
    <t xml:space="preserve">11) กรมพิธีการทูต </t>
  </si>
  <si>
    <t>60</t>
  </si>
  <si>
    <t>12) กรมการกงสุล</t>
  </si>
  <si>
    <t>13) สำนักงานปลัดกระทรวงการต่างประเทศ</t>
  </si>
  <si>
    <t>14) สถานเอกอัครราชทูต/สถานกงสุลใหญ่/คณะผู้แทนถาวรฯ/สำนักงานการค้าฯ</t>
  </si>
  <si>
    <t>จำแนกตามแผนงาน</t>
  </si>
  <si>
    <t>แผนงานบุคลากร</t>
  </si>
  <si>
    <t xml:space="preserve"> ปี 2564</t>
  </si>
  <si>
    <t>คำขอ</t>
  </si>
  <si>
    <t>จัดสรร</t>
  </si>
  <si>
    <t xml:space="preserve"> </t>
  </si>
  <si>
    <t>เบิกจ่าย</t>
  </si>
  <si>
    <t>อยู่ระหว่างปีงบประมาณ</t>
  </si>
  <si>
    <t>พวกเบิกจ่ายกี่ % ถามพี่โบว์ได้ เช่น 100% มันก็จะ 100% ทั้งภาพรวมและรายจ่ายลงทุน</t>
  </si>
  <si>
    <t>%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</si>
  <si>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: </t>
    </r>
  </si>
  <si>
    <t>แผนพื้นฐาน</t>
  </si>
  <si>
    <t>แผนยุทธ</t>
  </si>
  <si>
    <t>โครงสร้างงบประมาณรายจ่ายประจำปีงบประมาณ พ.ศ. 2565</t>
  </si>
  <si>
    <t>สรุปภาพรวมงบประมาณรายจ่ายประจำปีงบประมาณ พ.ศ. 2565</t>
  </si>
  <si>
    <t>พ.ศ. 2565 จำแนกตามแผนงานและประเภทงบรายจ่าย</t>
  </si>
  <si>
    <t>และผลการเบิกจ่าย ระหว่างปีงบประมาณ พ.ศ. 2563-2565 (ภาพรวมงบประมาณ)</t>
  </si>
  <si>
    <t>และผลการเบิกจ่าย ระหว่างปีงบประมาณ พ.ศ. 2563-2565 (รายจ่ายลงทุน)</t>
  </si>
  <si>
    <t>รายละเอียดงบประมาณรายจ่ายประจำปีงบประมาณ พ.ศ. 2565</t>
  </si>
  <si>
    <t xml:space="preserve"> ปี 2565</t>
  </si>
  <si>
    <t>กรมอเชียใต้ ตะวันออกกลางและแอฟริกา</t>
  </si>
  <si>
    <t>แผนงานบูรณาการขับเคลื่อนการแก้ไขปัญหาจังหวัด
ชายแดนภาคใต้</t>
  </si>
  <si>
    <t>กิจกรรมที่ 1: ส่งเสริมความสัมพันธ์ระหว่างประเทศ</t>
  </si>
  <si>
    <r>
      <rPr>
        <b/>
        <sz val="16"/>
        <color rgb="FFFF0000"/>
        <rFont val="TH SarabunPSK"/>
        <family val="2"/>
      </rPr>
      <t>1) ค่าใช้จ่ายในการจัดกิจกรรมสนับสนุนนักศึกษาไทยในต่างประเทศ</t>
    </r>
    <r>
      <rPr>
        <sz val="16"/>
        <color rgb="FFFF0000"/>
        <rFont val="TH SarabunPSK"/>
        <family val="2"/>
      </rPr>
      <t xml:space="preserve"> (กลุ่มงานความมั่นคงระหว่างประเทศ)</t>
    </r>
  </si>
  <si>
    <t>สำนักงานรัฐมนตรี</t>
  </si>
  <si>
    <t>กองกลาง</t>
  </si>
  <si>
    <t>ศูนย์ปฏิบัติการต่อต้านการทุจริต</t>
  </si>
  <si>
    <t>(1) ค่าปรับปรุงอาคารที่ทำการและสิ่งก่อสร้างประกอบที่มีราคาต่อหน่วยต่ำกว่า 10 ล้านบาท รวม 7 รายการ 
(รวม 7 หน่วย)</t>
  </si>
  <si>
    <t>(2) ค่าปรับปรุงอาคารที่ทำการและสิ่งก่อสร้างประกอบที่มีราคาต่อหน่วย 10 ล้านบาทขึ้นไป รวม 2 รายการ 
(รวม 2 หน่วย)</t>
  </si>
  <si>
    <t xml:space="preserve">2.1 ค่าใช้จ่ายในการสนับสนุนความร่วมมือทางวิชาการกับต่างประเทศ </t>
  </si>
  <si>
    <t>2.3 ค่าใช้จ่ายในการส่งเสริมความเข้าใจด้านการต่างประเทศต่อสาธารณชน</t>
  </si>
  <si>
    <r>
      <t xml:space="preserve">2.4 ค่าใช้จ่ายในการพัฒนาระบบการให้บริการด้านเอกสิทธิและความคุ้มกันทางการทูต </t>
    </r>
    <r>
      <rPr>
        <sz val="16"/>
        <rFont val="TH SarabunPSK"/>
        <family val="2"/>
      </rPr>
      <t xml:space="preserve"> (กรมพิธีการทูต)</t>
    </r>
  </si>
  <si>
    <t>โครงการที่ 1 : โครงการส่งเสริมความสัมพันธ์ระหว่างประเทศและรักษาผลประโยชน์ของชาติ
ด้านความมั่นคง</t>
  </si>
  <si>
    <t>ผลการเบิกจ่าย 63</t>
  </si>
  <si>
    <r>
      <t xml:space="preserve">1.9 ค่าใช้จ่ายในการดำเนินภารกิจตามสถานการณ์การเปลี่ยนแปลงด้านการต่างประเทศ (CF) </t>
    </r>
    <r>
      <rPr>
        <sz val="16"/>
        <rFont val="TH SarabunPSK"/>
        <family val="2"/>
      </rPr>
      <t>(สำนักนโยบายและแผน)</t>
    </r>
  </si>
  <si>
    <t>1.10 ค่าใช้จ่ายในการพัฒนาฐานข้อมูลและองค์ความรู้ด้านการต่างประเทศ (GIU)</t>
  </si>
  <si>
    <r>
      <t>1.11 ค่าใช้จ่ายในการดำเนินงานสันถวไมตรี</t>
    </r>
    <r>
      <rPr>
        <sz val="16"/>
        <rFont val="TH SarabunPSK"/>
        <family val="2"/>
      </rPr>
      <t xml:space="preserve"> (สำนักนโยบายและแผน)</t>
    </r>
  </si>
  <si>
    <r>
      <t xml:space="preserve">1.12 ค่าใช้จ่ายในการให้ความช่วยเหลือแก่มิตรประเทศที่ประสบภัยพิบัติ </t>
    </r>
    <r>
      <rPr>
        <sz val="16"/>
        <rFont val="TH SarabunPSK"/>
        <family val="2"/>
      </rPr>
      <t>(สำนักนโยบายและแผน)</t>
    </r>
  </si>
  <si>
    <t xml:space="preserve">1.13 ค่าใช้จ่ายในการเฉลิมฉลองความสัมพันธ์กับประเทศต่าง ๆ </t>
  </si>
  <si>
    <t>1.14 ค่าใช้จ่ายในการส่งเสริมความสัมพันธ์และขยายความร่วมมือกับประเทศเพื่อนบ้าน</t>
  </si>
  <si>
    <r>
      <t>1.15 ค่าใช้จ่ายยุทธศาสตร์ส่งเสริมผลประโยชน์ไทยในแอฟริกา (</t>
    </r>
    <r>
      <rPr>
        <sz val="16"/>
        <rFont val="TH SarabunPSK"/>
        <family val="2"/>
      </rPr>
      <t>กรมเอเชียใต้ ตะวันออกกลางและแอฟริกา</t>
    </r>
    <r>
      <rPr>
        <b/>
        <sz val="16"/>
        <rFont val="TH SarabunPSK"/>
        <family val="2"/>
      </rPr>
      <t>)</t>
    </r>
  </si>
  <si>
    <t>1.16 ค่าใช้จ่ายในการผลักดันยุทธศาสตร์ความร่วมมือกับประเทศพันธมิตรที่สำคัญ</t>
  </si>
  <si>
    <t>1.7 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</t>
  </si>
  <si>
    <r>
      <rPr>
        <b/>
        <sz val="16"/>
        <color rgb="FF00B050"/>
        <rFont val="TH SarabunPSK"/>
        <family val="2"/>
      </rPr>
      <t>1.8 โครงการการเป็นเจ้าภาพจัดการประชุมเอเปคของไทยปี 2565</t>
    </r>
    <r>
      <rPr>
        <sz val="16"/>
        <rFont val="TH SarabunPSK"/>
        <family val="2"/>
      </rPr>
      <t xml:space="preserve"> (กรมเศรษฐกิจระหว่างประเทศ) (ชื่อเดิม ค่าใช้จ่ายในการ</t>
    </r>
  </si>
  <si>
    <t>1.11 ค่าใช้จ่ายในการดำเนินการรักษา พัฒนา และส่งเสริมผลประโยชน์ทางเศรษฐกิจของไทย</t>
  </si>
  <si>
    <r>
      <t xml:space="preserve">1.12 ค่าใช้จ่ายในการดำเนินภารกิจทีมประเทศไทย </t>
    </r>
    <r>
      <rPr>
        <sz val="16"/>
        <rFont val="TH SarabunPSK"/>
        <family val="2"/>
      </rPr>
      <t>(สำนักนโยบายและแผน)</t>
    </r>
  </si>
  <si>
    <t xml:space="preserve">2.2 ค่าใช้จ่ายในการสนับสนุนความร่วมมือทางวิชาการกับต่างประเทศ </t>
  </si>
  <si>
    <t>2.3 ค่าใช้จ่ายในการดำเนินภารกิจยุทธศาสตร์พหุภาคีและประเด็นระหว่างประเทศที่สำคัญ</t>
  </si>
  <si>
    <r>
      <t xml:space="preserve">2.4 ค่าใช้จ่ายในการดำเนินการด้านสิทธิมนุษยชน </t>
    </r>
    <r>
      <rPr>
        <sz val="16"/>
        <rFont val="TH SarabunPSK"/>
        <family val="2"/>
      </rPr>
      <t>(กรมองค์การระหว่างประเทศ)</t>
    </r>
  </si>
  <si>
    <t>2.5 ค่าใช้จ่ายในการดำเนินงานด้านส่งเสริมบทบาทของไทยในการประชุมสมัชชาสหประชาชาติ</t>
  </si>
  <si>
    <r>
      <t xml:space="preserve">2.6 ค่าใช้จ่ายในการสัมมนากฎหมายระหว่างประเทศระดับภูมิภาคของสหประชาชาติ </t>
    </r>
    <r>
      <rPr>
        <sz val="16"/>
        <rFont val="TH SarabunPSK"/>
        <family val="2"/>
      </rPr>
      <t>(กรมสนธิสัญญาฯ)</t>
    </r>
  </si>
  <si>
    <t>2.7 ค่าใช้จ่ายในการดำเนินการตามพันธกรณีของอนุสัญญาระหว่างประเทศที่เกี่ยวข้องกับกฎหมายทะเล</t>
  </si>
  <si>
    <r>
      <t xml:space="preserve">2.8 ค่าใช้จ่ายในการพัฒนาฐานข้อมูลและจัดการองค์ความรู้ด้านกฎหมายระหว่างประเทศ </t>
    </r>
    <r>
      <rPr>
        <sz val="16"/>
        <rFont val="TH SarabunPSK"/>
        <family val="2"/>
      </rPr>
      <t>(กรมสนธิสัญญาฯ)</t>
    </r>
  </si>
  <si>
    <t>2.9 ค่าใช้จ่ายในการดำเนินโครงการปาฐกถาสมเด็จเจ้าฟ้าสิรินธรเพื่อเผยแพร่กฎหมายมนุษยธรรม</t>
  </si>
  <si>
    <r>
      <t>2.3 ค่าใช้จ่ายในการเสริมสร้างความเข้าใจเกี่ยวกับบทบาทของสถาบันพระมหากษัตริย์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(ชื่อเดิม ค่าใช้จ่ายในการปกป้องและเชิดชู</t>
    </r>
  </si>
  <si>
    <t>2.4 ค่าใช้จ่ายในการส่งเสริมความเข้าใจด้านการต่างประเทศต่อสาธารณชน</t>
  </si>
  <si>
    <r>
      <t xml:space="preserve">2.5 ค่าใช้จ่ายในการพัฒนาระบบการให้บริการด้านเอกสิทธิและความคุ้มกันทางการทูต </t>
    </r>
    <r>
      <rPr>
        <sz val="16"/>
        <rFont val="TH SarabunPSK"/>
        <family val="2"/>
      </rPr>
      <t xml:space="preserve"> (กรมพิธีการทูต)</t>
    </r>
  </si>
  <si>
    <t>จัดสรรตามสัดส่วน งปม. ที่ได้รับ</t>
  </si>
  <si>
    <t>จัดสรรเท่ากับปี 64</t>
  </si>
  <si>
    <t>ที่เหลืออยู่ใน สป.</t>
  </si>
  <si>
    <t>จัดสรรเหมือนปี 64</t>
  </si>
  <si>
    <t>จัดสรรตามสัดส่วน</t>
  </si>
  <si>
    <t>งปม.ได้รับ 65</t>
  </si>
  <si>
    <t>เทียบกับ งบ 64</t>
  </si>
  <si>
    <t>ตัดยอด สป. ให้</t>
  </si>
  <si>
    <t>กรม ครม. 0.26 ลบ.</t>
  </si>
  <si>
    <t>ยกเว้นกรมการกงสุลให้เท่า 64</t>
  </si>
  <si>
    <t>ถ้าจัดตามสัดส่วน</t>
  </si>
  <si>
    <t>เทียบกับผลการเบิกจ่าย</t>
  </si>
  <si>
    <t xml:space="preserve">ปี 63 แล้ว </t>
  </si>
  <si>
    <t>กรมต่าง ๆ จะได้</t>
  </si>
  <si>
    <t>งปม. ลดลงมาก</t>
  </si>
  <si>
    <r>
      <t xml:space="preserve">กรมความร่วมมือระหว่างประเทศ </t>
    </r>
    <r>
      <rPr>
        <b/>
        <sz val="16"/>
        <color theme="1"/>
        <rFont val="TH SarabunPSK"/>
        <family val="2"/>
      </rPr>
      <t>กรมฯ ไม่ตั้งคำขอ</t>
    </r>
  </si>
  <si>
    <t>จัดสรรเท่ากันทุกหน่วย</t>
  </si>
  <si>
    <t>กรม ครม. จัดสรรเท่าปี 64</t>
  </si>
  <si>
    <t>กรมการกงสุล เพิ่มให้ 2 ลบ.</t>
  </si>
  <si>
    <t>ที่เหลือ สป.</t>
  </si>
  <si>
    <r>
      <t xml:space="preserve">3.6 ค่าใช้จ่ายในการเพิ่มประสิทธิภาพการดำเนินบทบาทผู้แทนของไทยในต่างประเทศ </t>
    </r>
    <r>
      <rPr>
        <sz val="16"/>
        <rFont val="TH SarabunPSK"/>
        <family val="2"/>
      </rPr>
      <t>(สำนักนโยบายและแผน)</t>
    </r>
  </si>
  <si>
    <t xml:space="preserve">3.7 ค่าใช้จ่ายในการขับเคลื่อนศูนย์ศึกษาการต่างประเทศเพื่อศึกษาและวิเคราะห์ประเด็นปัญหาและนโยบายด้านการต่างประเทศ </t>
  </si>
  <si>
    <r>
      <t xml:space="preserve">3.8 ค่าใช้จ่ายในการพัฒนาระบบเพื่อปฏิรูปกระบวนการทำงานภาครัฐด้วยเทคโนโลยีดิจิทัล </t>
    </r>
    <r>
      <rPr>
        <sz val="16"/>
        <rFont val="TH SarabunPSK"/>
        <family val="2"/>
      </rPr>
      <t>(สำนักนโยบายและแผน)</t>
    </r>
  </si>
  <si>
    <t>11</t>
  </si>
  <si>
    <t>23</t>
  </si>
  <si>
    <t>28</t>
  </si>
  <si>
    <t>18</t>
  </si>
  <si>
    <t>24</t>
  </si>
  <si>
    <t>25</t>
  </si>
  <si>
    <t>31</t>
  </si>
  <si>
    <t>34</t>
  </si>
  <si>
    <t>37</t>
  </si>
  <si>
    <t>40</t>
  </si>
  <si>
    <t>43</t>
  </si>
  <si>
    <t>46</t>
  </si>
  <si>
    <t>49</t>
  </si>
  <si>
    <t>52</t>
  </si>
  <si>
    <t>55</t>
  </si>
  <si>
    <t>58</t>
  </si>
  <si>
    <t>68</t>
  </si>
  <si>
    <t>งบประมาณ
ที่ได้รับจัดสรร
ปี 2564</t>
  </si>
  <si>
    <t>เบิกจ่าย 2564</t>
  </si>
  <si>
    <t>รับโอน/จ่ายโอน/
รับจัดสรรเพิ่ม 
งบบุคลากร 2564</t>
  </si>
  <si>
    <t>คำของบประมาณ
2566</t>
  </si>
  <si>
    <t>คำของบประมาณ 2566
 หลัง สงป. ปรับลด</t>
  </si>
  <si>
    <t>โครงการที่ 1 : โครงการพัฒนาตามศักยภาพพื้นที่</t>
  </si>
  <si>
    <t>กิจกรรม : ส่งเสริมด้านการศึกษาเพื่อรองรับการพัฒนาจังหวัดชายแดนภาคใต้</t>
  </si>
  <si>
    <t>โครงการที่ 2 : โครงการเสริมสร้างความเข้าใจและประสานความร่วมมือ</t>
  </si>
  <si>
    <t>1.3.1 ค่าใช้จ่ายดำเนินงาน - ค่าตอบแทน - ค่าตอบแทนในการปฏิบัติงาน (ค่าจ้างที่ปรึกษากฎหมาย)</t>
  </si>
  <si>
    <r>
      <t xml:space="preserve">1.9 ค่าใช้จ่ายในการดำเนินภารกิจเร่งด่วนตามสถานการณ์ความเปลี่ยนแปลงด้านการต่างประเทศ (CF) </t>
    </r>
    <r>
      <rPr>
        <sz val="16"/>
        <rFont val="TH SarabunPSK"/>
        <family val="2"/>
      </rPr>
      <t>(สำนักนโยบายและแผน)</t>
    </r>
  </si>
  <si>
    <r>
      <t xml:space="preserve">กรมสนธิสัญญาและกฎหมาย </t>
    </r>
    <r>
      <rPr>
        <b/>
        <sz val="16"/>
        <color indexed="10"/>
        <rFont val="TH SarabunPSK"/>
        <family val="2"/>
      </rPr>
      <t>(กรมฯ แจ้งไม่ตั้งคำขอฯ) เคยได้รับจัดสรรปี 64</t>
    </r>
  </si>
  <si>
    <t>กรมเอเชียตะวันออก (เคยได้รับจัดสรรปี 64 และ 65)</t>
  </si>
  <si>
    <t>กรมอเมริกา และแปซิฟิกใต้ (เคยได้รับจัดสรรปี 64 และ 65)</t>
  </si>
  <si>
    <r>
      <t xml:space="preserve">2.2 เงินสนับสนุนการดำเนินงานของศูนย์อาเซียนเพื่อการศึกษาและการหารือด้านการพัฒนาที่ยั่งยืน </t>
    </r>
    <r>
      <rPr>
        <sz val="16"/>
        <rFont val="TH SarabunPSK"/>
        <family val="2"/>
      </rPr>
      <t>(กรมอาเซียน)</t>
    </r>
  </si>
  <si>
    <t>2.3 เงินอุดหนุนสำนักงานเลขาธิการถาวรของศูนย์ ARMAC (เคยได้รับจัดสรรปี 64 และ 65)</t>
  </si>
  <si>
    <t>(กรมเศรษฐกิจระหว่างประเทศ)</t>
  </si>
  <si>
    <r>
      <t xml:space="preserve">1.2 ค่าใช้จ่ายในการดำเนินโครงการยกระดับความเชื่อมั่นมาตรฐานสินค้าอาหารฮาลาล </t>
    </r>
    <r>
      <rPr>
        <sz val="16"/>
        <rFont val="TH SarabunPSK"/>
        <family val="2"/>
      </rPr>
      <t xml:space="preserve">(กรมเศรษฐกิจระหว่างประเทศ) </t>
    </r>
  </si>
  <si>
    <t>กลุ่มงานความร่วมมือลุ่มน้ำโขง</t>
  </si>
  <si>
    <t>ค่าใช้จ่ายในการศึกษาผลประโยชน์และผลกระทบการเข้าเป็นสมาชิกองค์การเพื่อความร่วมมือทางเศรษฐกิจ</t>
  </si>
  <si>
    <r>
      <t xml:space="preserve">    และพัฒนาของประเทศไทย (ระยะที่ 2) </t>
    </r>
    <r>
      <rPr>
        <sz val="16"/>
        <rFont val="TH SarabunPSK"/>
        <family val="2"/>
      </rPr>
      <t xml:space="preserve">(กรมเศรษฐกิจระหว่างประเทศ) </t>
    </r>
    <r>
      <rPr>
        <b/>
        <sz val="16"/>
        <color indexed="10"/>
        <rFont val="TH SarabunPSK"/>
        <family val="2"/>
      </rPr>
      <t>กรมไม่ตั้งคำขอ เคยได้รับจัดสรรปี 64</t>
    </r>
  </si>
  <si>
    <t>1.6 ค่าใช้จ่ายในการเป็นเจ้าภาพการประชุมผู้นำกรอบความร่วมมือความริเริ่มแห่งอ่าวเบงกอลสำหรับความร่วมมือ</t>
  </si>
  <si>
    <r>
      <t xml:space="preserve">หลากหลายสาขาวิชการและเศรษฐกิจ (BIMSTEC) </t>
    </r>
    <r>
      <rPr>
        <sz val="16"/>
        <rFont val="TH SarabunPSK"/>
        <family val="2"/>
      </rPr>
      <t>(กรมเศรษฐกิจระหว่างประเทศ)</t>
    </r>
  </si>
  <si>
    <r>
      <t>1.7 โครงการการเป็นเจ้าภาพจัดการประชุมเอเปคของไทยปี 2565</t>
    </r>
    <r>
      <rPr>
        <sz val="16"/>
        <rFont val="TH SarabunPSK"/>
        <family val="2"/>
      </rPr>
      <t xml:space="preserve"> </t>
    </r>
  </si>
  <si>
    <t>1.8 ค่าใช้จ่ายในการเจรจาและการจัดประชุมนานาชาติ</t>
  </si>
  <si>
    <t>1.10 ค่าใช้จ่ายในการดำเนินการรักษา พัฒนา และส่งเสริมผลประโยชน์ทางเศรษฐกิจของไทย</t>
  </si>
  <si>
    <r>
      <t xml:space="preserve">1.11 ค่าใช้จ่ายในการดำเนินภารกิจทีมประเทศไทย </t>
    </r>
    <r>
      <rPr>
        <sz val="16"/>
        <rFont val="TH SarabunPSK"/>
        <family val="2"/>
      </rPr>
      <t>(สำนักนโยบายและแผน)</t>
    </r>
  </si>
  <si>
    <t>1.1 เงินอุดหนุนความร่วมมือเพื่อการพัฒนาระหว่างประเทศ</t>
  </si>
  <si>
    <t xml:space="preserve">1.4 เงินอุดหนุนแผนงานพัฒนาชุมชนในทวาย </t>
  </si>
  <si>
    <t>1.5 เงินอุดหนุนในการสร้างความตระหนักและเตรียมความพร้อมสำหรับโรคติดต่อและโรคอุบัติใหม่ตามแนวชายแดนไทย-เพื่อนบ้าน</t>
  </si>
  <si>
    <t xml:space="preserve">1.7 เงินอุดหนุนเพื่อความร่วมมือเพื่อการพัฒนาระหว่างประเทศด้านเศรษฐกิจพอเพียง </t>
  </si>
  <si>
    <t>1.8 โครงการจัดตั้งศูนย์เรียนรู้เพื่อการพัฒนาเกษตรแบบยั่งยืนตามแนวทางปรัชญาของเศรษฐกิจพอเพียง</t>
  </si>
  <si>
    <t>ให้แก่โรงเรียนเทคนิควิชาชีพ แบบผสม แขวงอัตตะปือ สปป.ลาว (กลุ่มงาน SEP)</t>
  </si>
  <si>
    <t>1.9 โครงการพระราชดำริในสมเด็จพระกนิษฐาธิราชเจ้า กรมสมเด็จพระเทพรัตนราชสุดาฯ สยามบรมราชกุมารี</t>
  </si>
  <si>
    <t>1.10 โครงการพระราชดำริเพื่อร่วมมือและแลกเปลี่ยนประสบการณ์ด้านวิชาการกับต่างประเทศของสถาบันวิจัยจุฬาภรณ์</t>
  </si>
  <si>
    <t>1.11 เงินอุดหนุนโครงการความร่วมมือกับแหล่งความช่วยเหลือต่าง ๆ ที่ให้กับประเทศกำลังพัฒนาอื่น ๆ</t>
  </si>
  <si>
    <t>2.2 ค่าใช้จ่ายในการดำเนินภารกิจยุทธศาสตร์พหุภาคีและประเด็นระหว่างประเทศที่สำคัญ</t>
  </si>
  <si>
    <r>
      <t>2.3 โครงการภารกิจการทูตเพื่อการพัฒนาที่ยั่งยืน (SDGs Diplomacy)</t>
    </r>
    <r>
      <rPr>
        <sz val="16"/>
        <rFont val="TH SarabunPSK"/>
        <family val="2"/>
      </rPr>
      <t xml:space="preserve"> (กรมองค์การระหว่างประเทศ)</t>
    </r>
  </si>
  <si>
    <t>2.10 โครงการเพิ่มศักยภาพในการเข้าถึงฐานข้อมูลสนธิสัญญาและระบบสารสนเทศในเชิงรุกเพื่อพัฒนาการเผยแพร่ข้อมูล</t>
  </si>
  <si>
    <t>2.11 โครงการเผยแพร่ให้ความรู้บทบาทของไทยในการให้เอกสิทธิ์และความคุ้มกันต่อองค์การระหว่างประเทศและการประชุม</t>
  </si>
  <si>
    <r>
      <t xml:space="preserve">ระหว่างประเทศภาครัฐในประเทศไทย </t>
    </r>
    <r>
      <rPr>
        <sz val="16"/>
        <rFont val="TH SarabunPSK"/>
        <family val="2"/>
      </rPr>
      <t>(กรมสนธิสัญญาฯ)</t>
    </r>
  </si>
  <si>
    <r>
      <t>2.12 ค่าใช้จ่ายการจัดการประชุมประจำปีขององค์การที่ปรึกษากฎหมายแห่งเอเชียและแอฟริกา (AALCO)</t>
    </r>
    <r>
      <rPr>
        <sz val="16"/>
        <color indexed="40"/>
        <rFont val="TH SarabunPSK"/>
        <family val="2"/>
      </rPr>
      <t xml:space="preserve"> </t>
    </r>
    <r>
      <rPr>
        <sz val="16"/>
        <rFont val="TH SarabunPSK"/>
        <family val="2"/>
      </rPr>
      <t>(กรมสนธิสัญญาฯ)</t>
    </r>
  </si>
  <si>
    <t xml:space="preserve">2.13 ค่าใช้จ่ายในการดำเนินการสนับสนุนภารกิจในการดำรงตำแหน่งสมาชิกคณะกรรมาธิการกฎหมายระหว่างประเทศ </t>
  </si>
  <si>
    <r>
      <t xml:space="preserve">(International Law Commission - ILC) </t>
    </r>
    <r>
      <rPr>
        <sz val="16"/>
        <rFont val="TH SarabunPSK"/>
        <family val="2"/>
      </rPr>
      <t>(กรมสนธิสัญญาฯ)</t>
    </r>
  </si>
  <si>
    <r>
      <t>สยามบรมราชกุมารี</t>
    </r>
    <r>
      <rPr>
        <sz val="16"/>
        <rFont val="TH SarabunPSK"/>
        <family val="2"/>
      </rPr>
      <t xml:space="preserve"> (กรมสารนิเทศ) </t>
    </r>
  </si>
  <si>
    <r>
      <t xml:space="preserve">(ได้รับจัดสรรในปี 64) ค่าใช้จ่ายในการผลักดันประเทศไทยสู่แถวหน้าในเวทีโลก </t>
    </r>
    <r>
      <rPr>
        <sz val="16"/>
        <rFont val="TH SarabunPSK"/>
        <family val="2"/>
      </rPr>
      <t>(กรมสารนิเทศ)</t>
    </r>
  </si>
  <si>
    <r>
      <t>2.2 ค่าใช้จ่ายในการเสริมสร้างความเข้าใจเกี่ยวกับบทบาทของสถาบันพระมหากษัตริย์</t>
    </r>
    <r>
      <rPr>
        <b/>
        <sz val="16"/>
        <color indexed="8"/>
        <rFont val="TH SarabunPSK"/>
        <family val="2"/>
      </rPr>
      <t/>
    </r>
  </si>
  <si>
    <r>
      <t>2.5 ค่าใช้จ่ายในการเดินทางไปราชการต่างประเทศชั่วคราว</t>
    </r>
    <r>
      <rPr>
        <sz val="16"/>
        <rFont val="TH SarabunPSK"/>
        <family val="2"/>
      </rPr>
      <t xml:space="preserve"> (กรมพิธีการทูต)</t>
    </r>
    <r>
      <rPr>
        <b/>
        <sz val="16"/>
        <rFont val="TH SarabunPSK"/>
        <family val="2"/>
      </rPr>
      <t xml:space="preserve"> </t>
    </r>
  </si>
  <si>
    <r>
      <t xml:space="preserve"> - การจ้างบริหารอาคารแบบครบวงจรสัญญาต่อเนื่อง 3 ปี </t>
    </r>
    <r>
      <rPr>
        <sz val="16"/>
        <color indexed="40"/>
        <rFont val="TH SarabunPSK"/>
        <family val="2"/>
      </rPr>
      <t>(สำนักจัดหาและบริหารทรัพย์สิน)</t>
    </r>
  </si>
  <si>
    <t>ผูกพันเดิม 62 คัน</t>
  </si>
  <si>
    <t xml:space="preserve">กรมความร่วมมือระหว่างประเทศ </t>
  </si>
  <si>
    <t xml:space="preserve">สถาบันการต่างประเทศเทวะวงศ์วโรปการ </t>
  </si>
  <si>
    <r>
      <t xml:space="preserve">สำนักบริหารบุคคล </t>
    </r>
    <r>
      <rPr>
        <b/>
        <sz val="16"/>
        <color indexed="10"/>
        <rFont val="TH SarabunPSK"/>
        <family val="2"/>
      </rPr>
      <t>(รวม เงินสนับสนุนโรงเรียนนานาชาติ 1 ลบ.)</t>
    </r>
  </si>
  <si>
    <t xml:space="preserve">ศูนย์ปฏิบัติการต่อต้านการทุจริต </t>
  </si>
  <si>
    <t>3.7 ค่าใช้จ่ายในการขับเคลื่อนศูนย์ศึกษาการต่างประเทศเพื่อศึกษาและวิเคราะห์ประเด็นปัญหาและนโยบาย</t>
  </si>
  <si>
    <r>
      <rPr>
        <b/>
        <sz val="16"/>
        <rFont val="TH SarabunPSK"/>
        <family val="2"/>
      </rPr>
      <t>ด้านการต่างประเทศ</t>
    </r>
    <r>
      <rPr>
        <sz val="16"/>
        <rFont val="TH SarabunPSK"/>
        <family val="2"/>
      </rPr>
      <t xml:space="preserve"> (สถาบันเทวะวงศ์ฯ) </t>
    </r>
  </si>
  <si>
    <r>
      <t xml:space="preserve">3.9 ค่าใช้จ่ายในการส่งเสริมกิจกรรมด้านศาสนาและจริยธรรม </t>
    </r>
    <r>
      <rPr>
        <sz val="16"/>
        <color indexed="40"/>
        <rFont val="TH SarabunPSK"/>
        <family val="2"/>
      </rPr>
      <t>(กองกลาง)</t>
    </r>
  </si>
  <si>
    <t>2.1.6 ครุภัณฑ์โรงงาน</t>
  </si>
  <si>
    <t>(1) ครุภัณฑ์โรงงานที่มีราคาต่อหน่วย 1 ล้านบาทขึ้นไป รวม 10 รายการ (รวม 10 หน่วย)</t>
  </si>
  <si>
    <t>2.1.7 ครุภัณฑ์ก่อสร้าง</t>
  </si>
  <si>
    <t>(1) ครุภัณฑ์ก่อสร้างที่มีราคาต่อหน่วย 1 ล้านบาทขึ้นไป รวม 10 รายการ (รวม 10 หน่วย)</t>
  </si>
  <si>
    <t>2.2.1 ค่าก่อสร้างอาคารที่ทำการและสิ่งก่อสร้างประกอบ</t>
  </si>
  <si>
    <t>2.2.2 ค่าควบคุมงาน</t>
  </si>
  <si>
    <t>1. ค่าก่อสร้างอาคารที่ทำการและสิ่งก่อสร้างประกอบสถานเอกอัครราชทูต ณ เวียงจันทน์ สปป.ลาว เวียงจันทน์ 
สาธารณรัฐประชาธิปไตยประชาชนลาว 1 แห่ง</t>
  </si>
  <si>
    <t>2.2.2 ค่าสำรวจออกแบบ</t>
  </si>
  <si>
    <t xml:space="preserve">(1) ค่าสำรวจออกแบบที่มีราคาต่อหน่วยไม่เกิน 10 ล้านบาท รวม 1 รายการ </t>
  </si>
  <si>
    <t>1. งานสำรวจความเสียหายของพื้นไม้และผนังห้องทำงานที่อาคารที่ทำการ สอท. ย่างกุ้ง สหภาพพม่า 1 งาน</t>
  </si>
  <si>
    <t>2.2.3 ค่าควบคุมงาน</t>
  </si>
  <si>
    <t xml:space="preserve">(1) ค่าควบคุมงานที่มีราคาต่อหน่วยไม่เกิน 10 ล้านบาท รวม 1 รายการ </t>
  </si>
  <si>
    <t>2.2.4 ค่าปรับปรุงสิ่งก่อสร้างอื่น</t>
  </si>
  <si>
    <t xml:space="preserve">(1) ค่าปรับปรุงสิ่งก่อสร้างอื่นที่มีราคาต่อหน่วยไม่เกิน 10 ล้านบาท รวม 1 รายการ </t>
  </si>
  <si>
    <t>1. งานปรับปรุงซ่อมแซมหน้าต่างกระจกและประตูศาลาไทยบริเวณอาคารทำเนียบ ออท. บราซิเลีย 
สหพันธ์สาธารณรัฐบราซิล 1 งาน</t>
  </si>
  <si>
    <t>2.2.5 ค่าปรับปรุงอาคารที่ทำการและสิ่งก่อสร้างประกอบ</t>
  </si>
  <si>
    <t xml:space="preserve">(1) ค่าปรับปรุงอาคารที่ทำการและสิ่งก่อสร้างประกอบที่มีราคาต่อหน่วยไม่เกิน 10 ล้านบาท รวม 8 รายการ </t>
  </si>
  <si>
    <t>1.  งานปรับปรุงซ่อมแซมกระจกอาคารที่ทำการ สกญ. สะหวันนะเขต สาธารณรัฐประชาธิปไตยประชาชนลาว 1 งาน</t>
  </si>
  <si>
    <t>2. งานปรับปรับซ่อมแซมประตูและวงกบอาคารที่ทำการ สกญ. และอาคารบ้านพัก กสญ. สะหวันนะเขต 
สาธารณรัฐประชาธิปไตยประชาชนลาว 1 งาน</t>
  </si>
  <si>
    <t>3. ปรับปรุงซ่อมแซมทาสีภายนอกอาคารที่ทำการ สอท. อาคารประกอบ รั้วรอบ สอท. และทำทำเนียบ ออท. ธากา 
สาธารณรัฐประชาชนบังกลาเทศ 1 งาน</t>
  </si>
  <si>
    <t>4. ปรับปรุงห้องน้ำ ชั้น 2 อาคารที่ทำการ สกญ. ลอสแอนเจลิส สหรัฐอเมริกา 1 งาน</t>
  </si>
  <si>
    <t>5. งานปรับปรุงต่อเติมระเบียงด้านทางเข้าอาคาร สอท. มาดริด ราชอาณาจักรสเปน 1 งาน</t>
  </si>
  <si>
    <t>6. งานปรับปรุงซ่อมแซมหลังคาอาคารที่ทำการ สอท. บราซิเลีย สหพันธ์สาธารณรัฐบราซิล 1 งาน</t>
  </si>
  <si>
    <t>7. งานปรับปรุงซ่อมแซมภายใน ผนังและเพดานของอาคารที่ทำการ สอท. (ส่วนฝ่ายกงสุล) บราซิเลีย 
สหพันธ์สาธารณรัฐบราซิล 1 งาน</t>
  </si>
  <si>
    <t>8. งานปรับปรุงซ่อมแซมทาสีด้านหน้าอาคาร ประตูและหน้าต่างอาคารที่ทำการ สอท. ลอนดอน 
สหราชอาณาจักรบริเตนใหญ่และไอร์แลนด์เหนือ 1 งาน</t>
  </si>
  <si>
    <t xml:space="preserve">(2) ค่าปรับปรุงอาคารที่ทำการและสิ่งก่อสร้างประกอบที่มีราคาต่อหน่วยตั้งแต่ 10 ล้านบาท รวม 1 รายการ </t>
  </si>
  <si>
    <t>1. งานปรับปรุงระบบความร้อน-เย็น และระบบการระบายอากาศของอาคารที่ทำการ สอท. วอชิงตัน สหรัฐอเมริกา 1 งาน</t>
  </si>
  <si>
    <t>2.2.6 ค่าปรับปรุงอาคารที่พักอาศัยและสิ่งก่อสร้างประกอบ</t>
  </si>
  <si>
    <t xml:space="preserve">(1) ค่าปรับปรุงอาคารที่พักอาศัยและสิ่งก่อสร้างประกอบที่มีราคาต่อหน่วยไม่เกิน 10 ล้านบาท รวม 11 รายการ </t>
  </si>
  <si>
    <t>1.  ปรับปรุงซ่อมแซมพื้นไม้ปาเก้และกระจกอาคารบ้านพัก สกญ. สะหวันนะเขต สาธารณรัฐประชาธิปไตยประชาชนลาว 1 งาน</t>
  </si>
  <si>
    <t>2. ปรับปรุงซ่อมแซมประตูอาคารทำเนียบ ออท. ลิสบอน สาธารณรัฐโปรตุเกส 1 งาน</t>
  </si>
  <si>
    <t>3. งานปรับปรุงอาคารห้องน้ำ ชั้น 1 อาคารทำเนียบ ออท. โตเกียว ญี่ปุ่น 1 งาน</t>
  </si>
  <si>
    <t>4. งานปรับปรุงระเบียงทำเนียบ ออท. ซานติอาโก สาธารณรัฐชิลี 1 งาน</t>
  </si>
  <si>
    <t>5. งานปรับปรุงห้องน้ำชั้น 1 อาคารทำเนียบ ออท. มาดริด ราชอาณาจักรสเปน 1 งาน</t>
  </si>
  <si>
    <t>6. งานปรับปรุงห้องนอน ชั้น 2 อาคารทำเนียบ ออท. มาดริด ราชอาณาจักรสเปน 1 งาน</t>
  </si>
  <si>
    <t>7. งานปรับปรุงซ่อมแซมทาสีภายนอกอาคารทำเนียบ ออท. บูดาเปสต์ สาธารณรัฐฮังการี 1 งาน</t>
  </si>
  <si>
    <t>8. งานปรับปรุงซ่อมแซมกระเบื้องหลังคาเซรามิกอาคารทำเนียบ ออท. บราซิเลีย สหพันธ์สาธารณรัฐบราซิล 1 งาน</t>
  </si>
  <si>
    <t>9. งานปรับปรุงซ่อมแซมเปลี่ยนพื้นไม้ห้องครัวอาคารทำเนียบ ออท. บราซิเลีย สหพันธ์สาธารณรัฐบราซิล 1 งาน</t>
  </si>
  <si>
    <t>10. งานซ่อมแซมพื้นที่ลานอเนกประสงค์ทำเนียบ ออท. บราซิเลีย สหพันธ์สาธารณรัฐบราซิล 1 งาน</t>
  </si>
  <si>
    <t>11. งานปรับปรุงซ่อมแซมอาคารทำเนียบ ออท. ย่างกุ้ง สหภาพพม่า 1 งาน</t>
  </si>
  <si>
    <t xml:space="preserve">(2) ค่าปรับปรุงอาคารที่พักอาศัยและสิ่งก่อสร้างประกอบที่มีราคาต่อหน่วยตั้งแต่ 10 ล้านบาท รวม 1 รายการ </t>
  </si>
  <si>
    <t>1. ปรับปรุงซ่อมแซมทำเนียบ ออท. ผทถ. เจนีวา สมาพันธรัฐสวิส 1 งาน</t>
  </si>
  <si>
    <t>2.2.7 ค่าปรับปรุงระบบสาธารณูปโภค</t>
  </si>
  <si>
    <t xml:space="preserve">(1) ค่าปรับปรุงระบบสาธารณูปโภคที่มีราคาต่อหน่วยไม่เกิน 10 ล้านบาท รวม 1 รายการ </t>
  </si>
  <si>
    <t>1. งานปรับปรุงระบบไฟส่องสว่างภายนอกอาคารที่ทำการ สกญ. แวนคูเวอร์ แคนาดา 1 งาน</t>
  </si>
  <si>
    <r>
      <t xml:space="preserve">3.1 เงินอุดหนุนช่วยเหลือคนไทยที่ตกทุกข์ได้ยากในต่างประเทศ </t>
    </r>
    <r>
      <rPr>
        <sz val="16"/>
        <rFont val="TH SarabunPSK"/>
        <family val="2"/>
      </rPr>
      <t>(กรมการกงสุล)</t>
    </r>
  </si>
  <si>
    <t>3.2 เงินช่วยเหลือบรรเทาทุกข์เร่งด่วนให้กับคนไทยในต่างประเทศจากสถานการณ์แพร่ระบาดโรคติดเชื้อไวรัสโควิด - 19</t>
  </si>
  <si>
    <t>(กรมการกงสุล)</t>
  </si>
  <si>
    <r>
      <t xml:space="preserve">4.2 ค่าใช้จ่ายในการพัฒนาประสิทธิภาพการให้บริการแก่ประชาชนไทยในต่างประเทศ </t>
    </r>
    <r>
      <rPr>
        <sz val="16"/>
        <rFont val="TH SarabunPSK"/>
        <family val="2"/>
      </rPr>
      <t xml:space="preserve"> (กรมการกงสุล)</t>
    </r>
  </si>
  <si>
    <r>
      <t xml:space="preserve">4.5 ค่าใช้จ่ายในการเดินทางไปราชการต่างประเทศชั่วคราว </t>
    </r>
    <r>
      <rPr>
        <sz val="16"/>
        <rFont val="TH SarabunPSK"/>
        <family val="2"/>
      </rPr>
      <t>(กรมการกงสุล)</t>
    </r>
  </si>
  <si>
    <r>
      <t xml:space="preserve">4.6 ค่าใช้จ่ายในการให้บริการกงสุลสัญจรให้กับคนไทยในต่างประเทศ </t>
    </r>
    <r>
      <rPr>
        <sz val="16"/>
        <color indexed="40"/>
        <rFont val="TH SarabunPSK"/>
        <family val="2"/>
      </rPr>
      <t>(กรมการกงสุล)</t>
    </r>
  </si>
  <si>
    <t>(1.1) เครื่องปรับอากาศ แบบแยกส่วน (ราคาพร้อมค่าติดตั้ง) แบบตั้งพื้นหรือแบบแขวน (ระบบ Inverter) 
ขนาด 36,000 บีทียู 2 เครื่อง</t>
  </si>
  <si>
    <t>(1.2) เครื่องทำลายเอกสาร แบบตัดละเอียด ทำลายครั้งละ 30 แผ่น 2 เครื่อง</t>
  </si>
  <si>
    <t>(1.3) ตู้เหล็กแบบ 2 บาน 3 ตู้</t>
  </si>
  <si>
    <t>(1.4) ตู้ล็อคเกอร์ 9 ช่อง 2 ตู้</t>
  </si>
  <si>
    <t>(1.5) ตู้ล็อคเกอร์ 6 ช่อง 4 ตู้</t>
  </si>
  <si>
    <t>(1.6) โต๊ะทำงาน 6 ตัว</t>
  </si>
  <si>
    <t>(1.7) โซฟารับแขก 3 ที่นั่ง 1 ตัว</t>
  </si>
  <si>
    <t>(1.8) เครื่องโทรศัพท์สำนักงานระบบ VOIP 10 เครื่อง</t>
  </si>
  <si>
    <t>(1.9) เครื่องดูดฝุ่น ขนาด 15 ลิตร 1 เครื่อง</t>
  </si>
  <si>
    <t>(1.10) เครื่องโทรศัพท์สำนักงานระบบ VOIP 29 เครื่อง</t>
  </si>
  <si>
    <t>(1.11) เก้าอี้สำนักงาน แบบล้อเลื่อน มีเท้าแขน (สำหรับเจ้าหน้าที่) 30 เครื่อง</t>
  </si>
  <si>
    <t>(1.12) ตู้เก็บเอกสารแบบรางเลื่อน 1 ตู้</t>
  </si>
  <si>
    <t>(1.13) เครื่องทำลายเอกสาร แบบตัดละเอียด ทำลายครั้งละ 20 แผ่น 1 เครื่อง</t>
  </si>
  <si>
    <t>(1.14) เครื่องเย็บกระดาษ 5 เครื่อง</t>
  </si>
  <si>
    <t>(1.15) เครื่องเจาะกระดาษ 3 เครื่อง</t>
  </si>
  <si>
    <t>(1.16) เก้าอี้สำนักงาน แบบล้อเลื่อน มีเท้าแขน (สำหรับเจ้าหน้าที่) 6 ตัว</t>
  </si>
  <si>
    <t>(1.17) เครื่องขจัดความชื้น 5 เครื่อง</t>
  </si>
  <si>
    <t>(1.18) เครื่องทำลายเอกสารแบบตัดตรง ทำลายครั้งละ 30 แผ่น 1 เครื่อง</t>
  </si>
  <si>
    <t>(1.19) แท่นตัดกระดาษ A4 2 เครื่อง</t>
  </si>
  <si>
    <t>(1.20) โต๊ะประชุมพร้อมเก้าอี้ (10 ตัว) 1 ชุด</t>
  </si>
  <si>
    <t>(1.21) เครื่องผลิตบัตรประจำตัวนักการทูต HDP6600 CARD PRINTER 2 เครื่อง</t>
  </si>
  <si>
    <t xml:space="preserve">(1.22) เครื่องถ่ายเอกสาร ระบบดิจิตอล  (ขาว - ดำ และสี) ความเร็ว 50 แผ่นต่อนาที 1  เครื่อง      </t>
  </si>
  <si>
    <t>(1.23) เก้าอี้สำนักงาน แบบล้อเลื่อน มีเท้าแขน (สำหรับเจ้าหน้าที่) 10 ตัว</t>
  </si>
  <si>
    <t>(1.24) ตู้เก็บเอกสาร แบบบานเลื่อนกระจก 4 ชั้น 10 ตู้</t>
  </si>
  <si>
    <t>(1.25) ตู้เก็บเอกสาร แบบบานเลื่อนกระจก 3 ชั้น 18 ตู้</t>
  </si>
  <si>
    <t>(1.26) แท่นตัดกระดาษ (ขนาด 61x36x8 ซม.) 4 เครื่อง</t>
  </si>
  <si>
    <t xml:space="preserve">กลุ่มตรวจสอบภายใน  </t>
  </si>
  <si>
    <t>(1.27) เครื่องกำจัดเชื้อโรคและสารพิษในอากาศ 2 เครื่อง</t>
  </si>
  <si>
    <t xml:space="preserve">กลุ่มงานความมั่นคงระหว่างประเทศ  </t>
  </si>
  <si>
    <t>(1.28) เครื่องเจาะกระดาษ 1 เครื่อง</t>
  </si>
  <si>
    <t xml:space="preserve">ศูนย์ปฏิบัติการต่อต้านการทุจริต  </t>
  </si>
  <si>
    <t>(1.29) ตู้เก็บของไม้ ขนาด 90x40x80 ซม. 1 ตู้</t>
  </si>
  <si>
    <t>(1.30) เครื่องเจาะกระดาษ 1 เครื่อง</t>
  </si>
  <si>
    <t xml:space="preserve">กลุ่มงานความร่วมมือลุ่มน้ำโขง  </t>
  </si>
  <si>
    <t>(1.31) เครื่องโทรศัพท์สำนักงานระบบ VOIP สำหรับห้องทำงานผู้บริหาร 1 เครื่อง</t>
  </si>
  <si>
    <t>(1.32) แท่นตัดกระดาษ 1 เครื่อง</t>
  </si>
  <si>
    <t xml:space="preserve">สถาบันการต่างประเทศเทวะวงศ์วโรปการ  </t>
  </si>
  <si>
    <t>(1.33) ตู้เก็บเอกสาร ขนาด 160x120 ซม. 1 ตู้</t>
  </si>
  <si>
    <t>(1.34) เครื่องเจาะกระดาษ
ชนิดเจาะกระดาษ 2 รู ความหนาสูงสุดไม่ต่ำกว่า  
140 แผ่น (กระดาษ 80 แกรม) 2 ตัว</t>
  </si>
  <si>
    <t>(1.35) เครื่องเคลือบบัตร 1 เครื่อง</t>
  </si>
  <si>
    <t xml:space="preserve">สำนักบริหารบุคคล      </t>
  </si>
  <si>
    <t>(1.36) โต๊ะคอมพิวเตอร์ผู้บริหาร 1 ตัว</t>
  </si>
  <si>
    <t>(1.1) ตู้เย็น ขนาด 9 คิวบิกฟุต 2 ตู้</t>
  </si>
  <si>
    <t>(1.2) ตู้เย็นขนาด 16 คิวบิกฟุต 1 ตู้</t>
  </si>
  <si>
    <t>(1.3) ตู้กดน้ำร้อนน้ำเย็น 1 ตู้</t>
  </si>
  <si>
    <t>(1.4) ตู้กดน้ำร้อนน้ำเย็น 2 ตู้</t>
  </si>
  <si>
    <t xml:space="preserve">กรมเอเชียใต้ ตะวันออกกลางและแอฟริกา      </t>
  </si>
  <si>
    <t>(1.5) ตู้กดน้ำร้อนน้ำเย็น 1 ตู้</t>
  </si>
  <si>
    <t>(1.1) โทรทัศน์ แอล อี ดี (LED TV) แบบ Smart TV ระดับความละเอียดจอภาพ 3840 x 2160 พิกเซล 
ขนาด 65 นิ้ว 4 เครื่อง</t>
  </si>
  <si>
    <t>(1.2) กล้องถ่ายภาพ (พร้อมอุปกรณ์) 2 ชุด</t>
  </si>
  <si>
    <t>(1.3) กล้องถ่ายวีดีโอ (พร้อมอุปกรณ์) 3 ชุด</t>
  </si>
  <si>
    <t>(1.4) เครื่องมัลติมีเดียโปรเจคเตอร์ ระดับ XGA   ขนาด 5,000 ANSI Lumens 1 เครื่อง</t>
  </si>
  <si>
    <t>(1.5) โทรทัศน์ แอล อี ดี (LED TV) แบบ Smart TV ระดับความละเอียดจอภาพ 3840 x 2160 พิกเซล 
ขนาด 65 นิ้ว 1 เครื่อง</t>
  </si>
  <si>
    <t>(1.6) ชุดกล้องถ่ายรูปพร้อมเลนส์ 1 ชุด</t>
  </si>
  <si>
    <t>1.1.5 ค่าครุภัณฑ์ไฟฟ้าและวิทยุ</t>
  </si>
  <si>
    <t>(1.1) เครื่องบันทึกเสียงการประชุม 1 เครื่อง</t>
  </si>
  <si>
    <t>(1.2) เครื่องบันทึกเสียง 1 เครื่อง</t>
  </si>
  <si>
    <t>(1.3) หูฟังครอบหู แบบมีสาย สำหรับใช้เชื่อมต่อกับระบบเครื่องเสียงห้องสอบภาษา 220 อัน</t>
  </si>
  <si>
    <t>(1.4) ระบบ Access Control พร้อมชุดอุปกรณ์ 1 ชุด</t>
  </si>
  <si>
    <t>(1.5) ระบบ Microphone ห้องประชุมไร้สาย 1 ชุด</t>
  </si>
  <si>
    <t>(1.6) เครื่องรับส่งวิทยุ ระบบ VHF/FM  ชนิดมือถือ 5 วัตต์ 6 เครื่อง</t>
  </si>
  <si>
    <t>1.1.6 ค่าครุภัณฑ์โรงงาน</t>
  </si>
  <si>
    <t>(1.1) สว่านไขควงไร้สาย พร้อมดอกไขควง 1 ชุด</t>
  </si>
  <si>
    <t>(1.2) เครื่องเป่าลม Blower 1 เครื่อง</t>
  </si>
  <si>
    <t>1.1.7 ค่าครุภัณฑ์นวัตกรรมไทย - ด้านไฟฟ้า อิเล็กทรอนิกส์ และโทรคมนาคม</t>
  </si>
  <si>
    <t>(1.1) เครื่องฟอกอากาศสำหรับห้องที่มีเทคโนโลยีตัวกรองฝุ่นละเอียด (Ultrafine air) 4 เครื่อง</t>
  </si>
  <si>
    <t>(1.2) เครื่องฟอกอากาศสำหรับห้องที่มีเทคโนโลยีตัวกรองฝุ่นละเอียด (Ultrafine air)  4 เครื่อง</t>
  </si>
  <si>
    <t>(1.1) งานจ้างเปลี่ยนเครื่องสูบน้ำดับเพลิง (Fire Pump) และเครื่องสูบน้ำรักษาแรงดัน (Jockey Pump) 
อาคารกระทรวงการต่างประเทศ ถนนศรีอยุธยา 1 งาน</t>
  </si>
  <si>
    <t>(1.2) งานจ้างปรับปรุงรอยต่อระหว่างพื้นและผนังบริเวณทางเดิน ภายในและภายนอกอาคาร โซน A ถึงโซน F
(Expansion Joint System) อาคารกระทรวงการต่างประเทศ ถนนศรีอยุธยา 1 งาน</t>
  </si>
  <si>
    <t>(1.3) งานจ้างปรับปรุงห้องพักเจ้าหน้าที่หมวดยานพาหนะ และห้องน้ำ โซน D และ F อาคารกระทรวงการต่างประเทศ 
ถนนศรีอยุธยา  1 งาน</t>
  </si>
  <si>
    <t>(1.4) งานจ้างเปลี่ยนประตูนิรภัยห้องเครื่องไฟฟ้า อาคารกระทรวงการต่างประเทศ ถนนศรีอยุธยา 
อาคารกระทรวงการต่างประเทศ ถนนศรีอยุธยา 1 งาน</t>
  </si>
  <si>
    <t>(1.5) งานจ้างปรับปรุงพื้นที่จัดเก็บเอกสารในห้องเก็บเอกสารและห้องทำงานของสำนักบริหารบุคคล 
อาคารกระทรวงการต่างประเทศ ถนนศรีอยุธยา 1 งาน</t>
  </si>
  <si>
    <t>(1.6) งานจ้างปรับปรุงฝ้า เพดาน และเปลี่ยนหลอดไฟเป็น LED กรมเศรษฐกิจระหว่างประเทศ 
อาคารกระทรวงการต่างประเทศถนนศรีอยุธยา 1 งาน</t>
  </si>
  <si>
    <t>(1.7) งานจ้างปรับปรุงอาคารที่ทำการกรมเอเชียตะวันออก อาคารกระทรวงการต่างประเทศ ถนนศรีอยุธยา 1 งาน</t>
  </si>
  <si>
    <t>(1.1) งานจ้างปรับปรุงระบบบำบัดน้ำเสียและระบายน้ำเสีย อาคารกระทรวงการต่างประเทศ ถนนศรีอยุธยา 1 งาน</t>
  </si>
  <si>
    <t>(1.2) งานจ้างเปลี่ยน Busduct &amp; Plug-in (ระบบรางจ่ายไฟฟ้าและระบบเชื่อมต่อ) พร้อมเปลี่ยนหม้อแปลงไฟฟ้า 
ขนาด 2,500 KVA จำนวน 2 ลูก อาคารกระทรวงการต่างประเทศ ถนนศรีอยุธยา 1 งาน</t>
  </si>
  <si>
    <t>1.2.2 ค่าสำรวจออกแบบ</t>
  </si>
  <si>
    <t>(1) ค่าสำรวจออกแบบที่มีราคาต่อหน่วยต่ำกว่า 10 ล้านบาท รวม 9 รายการ 
(รวม 9 หน่วย)</t>
  </si>
  <si>
    <t>1.2.3 ค่าปรับปรุงอาคารที่ทำการและสิ่งก่อสร้างประกอบ</t>
  </si>
  <si>
    <t>โครงการปรับปรุงระบบ  Smart meeting room ห้องประชุม 123 ห้องประชุมสำนักงานปลัดกระทรวง ห้องประชุมสำนักงานรัฐมนตรี กระทรวงการต่างประเทศ ถนนศรีอยุธยา ให้รองรับการประชุมแบบ virtual meeting</t>
  </si>
  <si>
    <t>(1) เงินเดือน หรือที่เรียกเป็นอย่างอื่น</t>
  </si>
  <si>
    <t>(1) 1,806 อัตรา</t>
  </si>
  <si>
    <t>(2) เงินเพิ่มอื่นที่จ่ายควบกับเงินเดือน</t>
  </si>
  <si>
    <t>(1) เงินประจำตำแหน่ง 260 อัตรา</t>
  </si>
  <si>
    <t>(2) ค่าตอบแทนรายเดือน 440 อัตรา</t>
  </si>
  <si>
    <t>(3) เงินช่วยเหลือการครองชีพข้าราชการระดับต้น 8 อัตรา</t>
  </si>
  <si>
    <t>(4.1) เงิน พ.ต.ก. (เงินเพิ่มตำแหน่งที่มีเหตุพิเศษของ ขรก. พลเรือน (ผู้ปฏิบัติงานด้านนิติกร) 7 อัตรา</t>
  </si>
  <si>
    <t>(4.2) เงิน พ.ค.ท. (เงินเพิ่มสำหรับหัวหน้าคณะผู้แทนที่ประจำอยู่ในต่างประเทศ) 70 อัตรา</t>
  </si>
  <si>
    <t>(4.3) เงิน พ.ข.ต. (เงินเพิ่มสำหรับตำแหน่งที่ประจำอยู่ในต่างประเทศ) 606 อัตรา</t>
  </si>
  <si>
    <t>(4.4) เงิน พ.ส.ร. (เงินเพิ่มพิเศษสำหรับการสู้รบ) 3 อัตรา</t>
  </si>
  <si>
    <t>(4.5) เงิน สปพ. (เงินสวัสดิการสำหรับการปฏิบัติงานประจำสำนักงานในพื้นที่พิเศษ) 2 อัตรา</t>
  </si>
  <si>
    <t>(4.6) เงินเพิ่มสำหรับตำแหน่งที่มีเหตุพิเศษ ตำแหน่งพัสดุ 8 อัตรา</t>
  </si>
  <si>
    <t>(1) ค่าจ้างประจำ (45 อัตรา)</t>
  </si>
  <si>
    <t>(1) อัตราเดิม</t>
  </si>
  <si>
    <t>(1) อัตราเดิม (พนักงานราชการ 64 อัตรา)</t>
  </si>
  <si>
    <t>(1.1) ค่าเช่าบ้าน [3 อัตรา]</t>
  </si>
  <si>
    <t>(1.2) ค่าเช่าบ้านอาจารย์ชาวต่างประเทศ [2 อัตรา]</t>
  </si>
  <si>
    <t xml:space="preserve">(1.3) ค่าเช่าบ้านช้าราชการในต่างประเทศ (รายการผูกพัน) </t>
  </si>
  <si>
    <t>ผูกพันเดิม 470 อัตรา</t>
  </si>
  <si>
    <t>ผูกพันใหม่ 35 อัตรา</t>
  </si>
  <si>
    <t>(2.1) ค่าตอบแทนพิเศษของข้าราชการที่ได้รับเงินเดือนเต็มขั้น [ 40 อัตรา]</t>
  </si>
  <si>
    <t>(2.2) ค่าตอบแทนพิเศษของลูกจ้างประจำที่ได้รับเงินเดือนเต็มขั้น [ 30 อัตรา]</t>
  </si>
  <si>
    <t>(3.1) เงิน ต.ป.พ. (ค่าตอบแทนพิเศษรายเดือนให้แก่เจ้าหน้าที่ผู้ปฎิบัติงานในพื้นที่จังหวัดชายแดนภาคใต้) [3 อัตรา]</t>
  </si>
  <si>
    <t>(3.2) เงินพิเศษจ่ายแก่ลูกจ้างในต่างประเทศ [1,318 อัตรา]</t>
  </si>
  <si>
    <t>(1.1) เงินกองทุนประกันสังคม ของพนักงานราชการ [62 อัตรา]</t>
  </si>
  <si>
    <t>(1.2) เงินกองทุนประกันสังคม ของลูกจ้างชั่วคราว [851 อัตรา]</t>
  </si>
  <si>
    <t>(2.1) เงินสมทบกองทุนเงินทดแทน ของพนักงานราชการ [62 อัตรา]</t>
  </si>
  <si>
    <t>1. ตัวอักษร สีฟ้า คือ รายการค่าใช้จ่ายใหม่ในปี งปม. 2566</t>
  </si>
  <si>
    <t>ประจำปีงบประมาณ พ.ศ. 2566</t>
  </si>
  <si>
    <t>สิงหาคม 2565</t>
  </si>
  <si>
    <t>โครงสร้างงบประมาณรายจ่ายประจำปีงบประมาณ พ.ศ. 2566</t>
  </si>
  <si>
    <t>สรุปภาพรวมงบประมาณรายจ่ายประจำปีงบประมาณ พ.ศ. 2566</t>
  </si>
  <si>
    <t>พ.ศ. 2566 จำแนกตามแผนงานและประเภทงบรายจ่าย</t>
  </si>
  <si>
    <t>ตารางสรุปภาพรวมงบประมาณรายจ่ายประจำปีงบประมาณ พ.ศ. 2566</t>
  </si>
  <si>
    <t>รายละเอียดงบประมาณรายจ่ายประจำปีงบประมาณ พ.ศ. 2566</t>
  </si>
  <si>
    <t>และผลการเบิกจ่าย ระหว่างปีงบประมาณ พ.ศ. 2564-2566 (ภาพรวมงบประมาณ)</t>
  </si>
  <si>
    <t>และผลการเบิกจ่าย ระหว่างปีงบประมาณ พ.ศ. 2564-2566 (รายจ่ายลงทุน)</t>
  </si>
  <si>
    <t>(1.1) เก้าอี้ทำงาน เวลลิงตัน นิวซีแลนด์ 1 ตัว</t>
  </si>
  <si>
    <t>(1.2) เครื่องทำลายเอกสาร เวลลิงตัน นิวซีแลนด์ 1 เครื่อง</t>
  </si>
  <si>
    <t>(1.3) โซฟา ขนาด 3 ที่นั่ง ซิดนีย์ เครือรัฐออสเตรเลีย 2 ตัว</t>
  </si>
  <si>
    <t>(1.4) ชุดโต๊ะทำงานพร้อมที่กั้น สำหรับ 10 ที่นั่ง ซิดนีย์ เครือรัฐออสเตรเลีย 1 ชุด</t>
  </si>
  <si>
    <t>(1.5) เก้าอี้พนักไม้ พริทอเรีย สาธารณรัฐแอฟริกาใต้ 8 ตัว</t>
  </si>
  <si>
    <t>(1.6) เครื่องปรับอากาศแบบติดผนัง ขนาด 1.5 ตัน ธากา สาธารณรัฐประชาชนบังกลาเทศ 1 เครื่อง</t>
  </si>
  <si>
    <t>(1.7) เครื่องปรับอากาศแบบติดผนัง ขนาด 2.5 ตัน ธากา สาธารณรัฐประชาชนบังกลาเทศ 1 เครื่อง</t>
  </si>
  <si>
    <t>(1.8) เครื่องปรับอากาศแบติดฝ้าเพดาน ขนาด 4 ตัน ธากา สาธารณรัฐประชาชนบังกลาเทศ 1 เครื่อง</t>
  </si>
  <si>
    <t>(1.9) เครื่องทำลายเอกสาร กาฐมาณฑุ ราชอาณาจักรเนปาล 1 เครื่อง</t>
  </si>
  <si>
    <t>(1.11) โซฟารับแขก แบบ U Shape ขนาด 9 ที่นั่ง อิสลามาบัด สาธารณรัฐอิสลามปากีสถาน 1 ตัว</t>
  </si>
  <si>
    <t>(1.12) โซฟารับแขก แบบ U Shape ขนาด 7 ที่นั่ง อิสลามาบัด สาธารณรัฐอิสลามปากีสถาน 1 ตัว</t>
  </si>
  <si>
    <t>(1.13) ตู้นิรภัย โคลัมโบ สาธารณรัฐสังคมนิยมประชาธิปไตยศรีลังกา 1 ตู้</t>
  </si>
  <si>
    <t>(1.14) เครื่องทำลายเอกสาร โคลัมโบ สาธารณรัฐสังคมนิยมประชาธิปไตยศรีลังกา 1 เครื่อง</t>
  </si>
  <si>
    <t>(1.15) ชุดโต๊ะทำงาน ประกอบด้วย โต๊ะ และโต๊ะข้าง รวม 3 ชิ้น โคลัมโบ สาธารณรัฐสังคมนิยมประชาธิปไตยศรีลังกา 1 ชุด</t>
  </si>
  <si>
    <t>(1.16) เครื่องปรับอากาศแบบติดผนัง ขนาด 2.4 ตัน กัลกัตตา สาธารณรัฐอินเดีย 1 เครื่อง</t>
  </si>
  <si>
    <t>(1.17) เครื่องปรับอากาศแบบติดผนัง ขนาด 1.5 ตัน กัลกัตตา สาธารณรัฐอินเดีย 3 เครื่อง</t>
  </si>
  <si>
    <t>(1.18) เครื่องนับธนบัตร สิงคโปร์ สาธารณรัฐสิงคโปร์ 1 เครื่อง</t>
  </si>
  <si>
    <t>(1.19) โซฟาเข้ามุม 6 ที่นั่ง ริยาด ราชอาณาจักรซาอุดิอาระเบีย 2 ตัว</t>
  </si>
  <si>
    <t>(1.20) ชุดรับแขก ริยาด ราชอาณาจักรซาอุดิอาระเบีย 1 ชุด</t>
  </si>
  <si>
    <t>(1.21) เครื่องปรับอากาศติดผนัง ขนาด 21,000 บีทียู ริยาด ราชอาณาจักรซาอุดิอาระเบีย 2 เครื่อง</t>
  </si>
  <si>
    <t>(1.22) เก้าอี้พลาสติกแบบมีที่วางแขนและพนักพิง มัสกัต รัฐสุลต่านโอมาน 40 ตัว</t>
  </si>
  <si>
    <t>(1.23) เครื่องปรับอากาศแบบติดผนัง เจดดาห์ ราชอาณาจักรซาอุดิอาระเบีย 3 เครื่อง</t>
  </si>
  <si>
    <t>(1.24) โทรศัพท์เคลื่อนที่ โตเกียว ญี่ปุ่น 2 เครื่อง</t>
  </si>
  <si>
    <t>(1.25) เก้าอี้สำหรับเจ้าหน้าที่  โซล สาธารณรัฐเกาหลี 15 ตัว</t>
  </si>
  <si>
    <t>(1.26) โต๊ะลงนาม โซล สาธารณรัฐเกาหลี 1 ตัว</t>
  </si>
  <si>
    <t>(1.27) เครื่องโทรสาร หนานหนิง สาธารณรัฐประชาชนจีน 1 เครื่อง</t>
  </si>
  <si>
    <t>(1.28) เครื่องดูดฝุ่น นิวยอร์ก สหรัฐอเมริกา 1 เครื่อง</t>
  </si>
  <si>
    <t>(1.29) ตู้เซฟระบบดิจิตอล คผถ.นิวยอร์ก สหรัฐอเมริกา 1 เครื่อง</t>
  </si>
  <si>
    <t>(1.30) เก้าอี้ทำงานสำหรับผู้บริหาร แวนคูเวอร์ แคนาดา 1 ตัว</t>
  </si>
  <si>
    <t>(1.31) เก้าอี้ทำงาน แวนคูเวอร์ แคนาดา 12 ตัว</t>
  </si>
  <si>
    <t>(1.32) โทรศัพท์เคลื่อนที่ ลิมา เปรู 2 เครื่อง</t>
  </si>
  <si>
    <t>(1.33) เก้าอี้ทำงาน แบบผ้า วอชิงตัน สหรัฐอเมริกา 5 ตัว</t>
  </si>
  <si>
    <t>(1.34) เก้าอี้ทำงาน แบบหนัง วอชิงตัน สหรัฐอเมริกา 5 ตัว</t>
  </si>
  <si>
    <t>(1.35) เครื่องปรับอากาศแบบฝังเพดาน ขนาดไม่ต่ำกว่า 36000 บีทียู บราซิเลีย สหพันธ์สาธารณรัฐบราซิล 1 เครื่อง</t>
  </si>
  <si>
    <t>(1.36) เครื่องโทรสาร บูคาเรสต์ โรมาเนีย 1 เครื่อง</t>
  </si>
  <si>
    <t>(1.37) เก้าอี้ทำงาน บรัสเซลส์ ราชอาณาจักรเบลเยี่ยม 1 ตัว</t>
  </si>
  <si>
    <t>(1.38) เก้าอี้ทำงาน เบอร์ลิน สหพันธ์สาธารณรัฐเยอรมนี 5 ตัว</t>
  </si>
  <si>
    <t>(1.39) เครื่องทำความร้อนเคลื่อนที่ มาดริด ราชอาณาจักรสเปน 3 เครื่อง</t>
  </si>
  <si>
    <t>(1.40) เครื่องทำลายเอกสาร ปารีส สาธารณรัฐฝรั่งเศส 2 เครื่อง</t>
  </si>
  <si>
    <t>(1.41) เครื่องดูดฝุ่น ปารีส สาธารณรัฐฝรั่งเศส 1 เครื่อง</t>
  </si>
  <si>
    <t>(1.42) เก้าอี้สำหรับผู้ติดต่อ (แบบนั่งยาว 3 ที่นั่ง) ลิสบอน สาธารณรัฐโปรตุเกส 1 ตัว</t>
  </si>
  <si>
    <t>(1.43) เครื่องปรับอากาศ ขนาดไม่ต่ำกว่า 15000 บีทียู ลิสบอน สาธารณรัฐโปรตุเกส 1 เครื่อง</t>
  </si>
  <si>
    <t>(1.44) ระบบสัญญาณเตือนภัยพร้อมอุปกรณ์ บูดาเปสต์ สาธารณรัฐฮังการี 1 ระบบ</t>
  </si>
  <si>
    <t>(1.45) ชุดรับแขก เอเธนส์ กรีซ 1 ชุด</t>
  </si>
  <si>
    <t>(1.46) เก้าอี้ทำงาน เอเธนส์ กรีซ 3 ตัว</t>
  </si>
  <si>
    <t>(1.47) ตู้เก็บเอกสาร  เอเธนส์ กรีซ 4 ตู้</t>
  </si>
  <si>
    <t>(1.48) เครื่องปรับอากาศ ขนาดไม่ต่ำกว่า 18000 บีทียู เอเธนส์ กรีซ 1 เครื่อง</t>
  </si>
  <si>
    <t>(1.49) เครื่องปรับอากาศ ขนาดไม่ต่ำกว่า 12000 บีทียู เอเธนส์ กรีซ 3 เครื่อง</t>
  </si>
  <si>
    <t>(1.50) เครื่องดูดฝุ่น เอเธนส์ กรีซ 1 เครื่อง</t>
  </si>
  <si>
    <t>(1.10) เครื่องปรับอากาศ แบบ 2 ระบบ (ระบบร้อนและเย็น) ขนาดไม่ต่ำกว่า 1.6 ตัน อิสลามาบัด 
สาธารณรัฐอิสลามปากีสถาน 2 เครื่อง</t>
  </si>
  <si>
    <t>(1) ครุภัณฑ์สำนักงานที่มีราคาต่อหน่วยต่ำกว่า 1 ล้านบาท รวม 50 รายการ (รวม 153 หน่วย)</t>
  </si>
  <si>
    <t>(1) ครุภัณฑ์คอมพิวเตอร์ที่มีราคาต่อหน่วยต่ำกว่า 1 ล้านบาท รวม 77 รายการ (รวม 206 หน่วย)</t>
  </si>
  <si>
    <t>(1.1) เครื่องคอมพิวเตอร์ All in One พร้อมอุปกรณ์ เวลลิงตัน นิวซีแลนด์ 5 ชุด</t>
  </si>
  <si>
    <t>(1.2) เครื่องคอมพิวเตอร์พร้อมอุปกรณ์ ซิดนีย์ เครือรัฐออสเตรเลีย 6 ชุด</t>
  </si>
  <si>
    <t>(1.3) เครื่องคอมพิวเตอร์พร้อมอุปกรณ์ ราบัต ราชอาณาจักรโมร็อกโก 2 ชุด</t>
  </si>
  <si>
    <t>(1.4) ระบบกล้องวงจรปิด ไคโร สาธารณรัฐอาหรับอียิปต์ 1 ชุด</t>
  </si>
  <si>
    <t>(1.5) เครื่องพิมพ์สี All in One พริทอเรีย สาธารณรัฐแอฟริกาใต้ 3 เครื่อง</t>
  </si>
  <si>
    <t>(1.6) เครื่องพิมพ์เลเซอร์ ขาวดำ พริทอเรีย สาธารณรัฐแอฟริกาใต้ 3 เครื่อง</t>
  </si>
  <si>
    <t>(1.7) เครื่องพิมพ์เลเซอร์สี มัลติฟังก์ชั่น ไนโรบี สาธารณรัฐเคนยา 1 เครื่อง</t>
  </si>
  <si>
    <t>(1.8) เครื่องคอมพิวเตอร์ All in One พร้อมอุปกรณ์ มุมไบ สาธารณรัฐอินเดีย 2 ชุด</t>
  </si>
  <si>
    <t>(1.9) เครื่องคอมพิวเตอร์พร้อมอุปกรณ์ การาจี สาธารณรัฐอิสลามปากีสถาน 7 ชุด</t>
  </si>
  <si>
    <t>(1.10) เครื่องสแกนเนอร์ ความเร็วไม่ต่ำกว่า 30 แผ่นต่อนาที การาจี สาธารณรัฐอิสลามปากีสถาน 1 เครื่อง</t>
  </si>
  <si>
    <t>(1.11) เครื่องคอมพิวเตอร์ตั้งโต๊ะพร้อมอุปกรณ์ อิสลามาบัด สาธารณรัฐอิสลามปากีสถาน 10 ชุด</t>
  </si>
  <si>
    <t>(1.12) เครื่องคอมพิวเตอร์ตั้งโต๊ะพร้อมอุปกรณ์ กัลกัตตา สาธารณรัฐอินเดีย 3 ชุด</t>
  </si>
  <si>
    <t>(1.13) เครื่องพิมพ์เลเซอร์ มัลติฟังก์ชั่น จาการ์ตา สาธารณรัฐอินโดนีเซีย 2 เครื่อง</t>
  </si>
  <si>
    <t>(1.14) เครื่องคอมพิวเตอร์โน้ตบุ๊ก  มะนิลา สาธารณรัฐฟิลิปปินส์ 1 เครื่อง</t>
  </si>
  <si>
    <t>(1.15) เครื่องพิมพ์สี มัลติฟังก์ชั่น มะนิลา สาธารณรัฐฟิลิปปินส์ 2 เครื่อง</t>
  </si>
  <si>
    <t>(1.16) เครื่องคอมพิวเตอร์ All in One พร้อมอุปกรณ์ คผถ. จาการ์ตา สาธารณรัฐอินโดนีเซีย 9 ชุด</t>
  </si>
  <si>
    <t>(1.17) เครื่องคอมพิวเตอร์พร้อมอุปกรณ์ พนมเปญ ราชอาณาจักรกัมพูชา 3 ชุด</t>
  </si>
  <si>
    <t>(1.18) เครื่องคอมพิวเตอร์แม่ข่าย (Server) พร้อมอุปกรณ์ ดิลี สาธารณรัฐประชาธิปไตยติมอร์ตะวันออก 1 ชุด</t>
  </si>
  <si>
    <t>(1.19) เครื่องคอมพิวเตอร์พร้อมอุปกรณ์ บันดาร์ เสรี เบกาวัน เนการาบรูไนดารุสซาลาม 2 ชุด</t>
  </si>
  <si>
    <t>(1.20) เครื่องคอมพิวเตอร์พร้อมอุปกรณ์  ฮานอย สาธารณรัฐสังคมนิยมเวียดนาม 8 ชุด</t>
  </si>
  <si>
    <t>(1.21) เครื่องคอมพิวเตอร์พร้อมอุปกรณ์ อัมมาน จอร์แดน 1 ชุด</t>
  </si>
  <si>
    <t>(1.22) เครื่องคอมพิวเตอร์โน้ตบุ๊ก ริยาด ราชอาณาจักรซาอุดิอาระเบีย 2 เครื่อง</t>
  </si>
  <si>
    <t>(1.23) เครื่องคอมพิวเตอร์พร้อมอุปกรณ์ All in One เจดดาห์ ราชอาณาจักรซาอุดิอาระเบีย 3 ชุด</t>
  </si>
  <si>
    <t>(1.24) ระบบกล้องวงจรปิด เจดดาห์ ราชอาณาจักรซาอุดิอาระเบีย 1 ระบบ</t>
  </si>
  <si>
    <t>(1.25) เครื่องคอมพิวเตอร์พร้อมอุปกรณ์ มานามา รัฐบาห์เรน 2 ชุด</t>
  </si>
  <si>
    <t>(1.26) เครื่องคอมพิวเตอร์พร้อมอุปกรณ์ เตหะราน สาธารณรัฐอิสลามอิหร่าน 2 ชุด</t>
  </si>
  <si>
    <t>(1.27) เครื่องคอมพิวเตอร์ All in One พร้อมอุปกรณ์ โดฮา รัฐกาตาร์ 3 ชุด</t>
  </si>
  <si>
    <t>(1.28) เครื่องสแกนเนอร์ โดฮา รัฐกาตาร์ 1 เครื่อง</t>
  </si>
  <si>
    <t>(1.29) เครื่องคอมพิวเตอร์ All in One พร้อมอุปกรณ์ อาบูดาบี สหรัฐอาหรับเอมิเรตส์ 2 ชุด</t>
  </si>
  <si>
    <t>(1.30) เครื่องพิมพ์เลเซอร์สี อาบูดาบี สหรัฐอาหรับเอมิเรตส์ 3 เครื่อง</t>
  </si>
  <si>
    <t>(1.31) เครื่องคอมพิวเตอร์ All in One พร้อมอุปกรณ์ ดูไบ สหรัฐอาหรับเอมิเรตส์ 2 ชุด</t>
  </si>
  <si>
    <t>(1.32) เครื่องคอมพิวเตอร์พร้อมอุปกรณ์ คูเวต รัฐคูเวต 2 ชุด</t>
  </si>
  <si>
    <t>(1.33) เครื่องคอมพิวเตอร์พร้อมอุปกรณ์ ปักกิ่ง สาธารณรัฐประชาชนจีน 2 ชุด</t>
  </si>
  <si>
    <t>(1.34) เครื่องคอมพิวเตอร์พร้อมอุปกรณ์  กวางโจว สาธารณรัฐประชาชนจีน 5 ชุด</t>
  </si>
  <si>
    <t>(1.35) เครื่องคอมพิวเตอร์โน้ตบุ๊ก กวางโจว สาธารณรัฐประชาชนจีน 2 เครื่อง</t>
  </si>
  <si>
    <t>(1.36) เครื่องพิมพ์สี มัลติฟังก์ชั่น เฉิงตู สาธารณรัฐประชาชนจีน 1 เครื่อง</t>
  </si>
  <si>
    <t>(1.37) เครื่องคอมพิวเตอร์โน้ตบุ๊ก โตเกียว ญี่ปุ่น 2 เครื่อง</t>
  </si>
  <si>
    <t>(1.38) เครื่องพิมพ์ มัลติฟังก์ชั่น (All in One) โซล สาธารณรัฐเกาหลี 1 เครื่อง</t>
  </si>
  <si>
    <t>(1.39) เครื่องคอมพิวเตอร์พร้อมอุปกรณ์ หนานหนิง สาธารณรัฐประชาชนจีน 1 ชุด</t>
  </si>
  <si>
    <t>(1.40) เครื่องพิมพ์เลเซอร์สี หนานหนิง สาธารณรัฐประชาชนจีน 1 เครื่อง</t>
  </si>
  <si>
    <t>(1.41) เครื่องคอมพิวเตอร์แม่ข่าย (Server) พร้อมอุปกรณ์ ไทเป ไต้หวัน 1 ชุด</t>
  </si>
  <si>
    <t>(1.42) เครื่องคอมพิวเตอร์/เครื่องควบคุมระบบบัตรคิวพร้อมอุปกรณ์ ไทเป ไต้หวัน 1 ชุด</t>
  </si>
  <si>
    <t>(1.43) เครื่องคอมพิวเตอร์โน้ตบุ๊ก ไทเป ไต้หวัน 4 เครื่อง</t>
  </si>
  <si>
    <t>(1.44) เครื่องคอมพิวเตอร์พร้อมอุปกรณ์ ไทเป ไต้หวัน 2 ชุด</t>
  </si>
  <si>
    <t>(1.45) เครื่องพิมพ์เลเซอร์ LED ขาวดำ ไทเป ไต้หวัน 2 เครื่อง</t>
  </si>
  <si>
    <t>(1.46) เครื่องสแกนเนอร์ ไทเป ไต้หวัน 1 เครื่อง</t>
  </si>
  <si>
    <t>(1.47) เครื่องคอมพิวเตอร์พร้อมอุปกรณ์ ซีอาน สาธารณรัฐประชาชนจีน 1 ชุด</t>
  </si>
  <si>
    <t>(1.48) เครื่องพิมพ์เลเซอร์สี  All in One ซีอาน สาธารณรัฐประชาชนจีน 1 เครื่อง</t>
  </si>
  <si>
    <t>(1.49) เครื่องคอมพิวเตอร์พร้อมอุปกรณ์ นิวยอร์ก สหรัฐอเมริกา 1 ชุด</t>
  </si>
  <si>
    <t>(1.50) เครื่องสแกนเนอร์ นิวยอร์ก สหรัฐอเมริกา 1 เครื่อง</t>
  </si>
  <si>
    <t>(1.51) เครื่องคอมพิวเตอร์ All in One พร้อมอุปกรณ์  คผถ. นิวยอร์ก สหรัฐอเมริกา 5 ชุด</t>
  </si>
  <si>
    <t>(1.52) เครื่องคอมพิวเตอร์ลูกข่ายพร้อมอุปกรณ์ ชิคาโก สหรัฐอเมริกา 1 ชุด</t>
  </si>
  <si>
    <t>(1.53) เครื่องคอมพิวเตอร์พร้อมอุปกรณ์ ลอสแอนเจลิส สหรัฐอเมริกา 6 ชุด</t>
  </si>
  <si>
    <t>(1.54) เครื่องคอมพิวเตอร์พร้อมอุปกรณ์ ลิมา เปรู 2 ชุด</t>
  </si>
  <si>
    <t>(1.55) เครื่องพิมพ์เลเซอร์ ขาวดำ วอชิงตัน สหรัฐอเมริกา 2 เครื่อง</t>
  </si>
  <si>
    <t>(1.56) เครื่องคอมพิวเตอร์โน้ตบุ๊ก มอสโก สหพันธรัฐรัสเซีย 1 เครื่อง</t>
  </si>
  <si>
    <t>(1.57) เครื่องคอมพิวเตอร์พร้อมอุปกรณ์ มอสโก สหพันธรัฐรัสเซีย 6 ชุด</t>
  </si>
  <si>
    <t>(1.58) เครื่องคอมพิวเตอร์ All in One  พร้อมอุปกรณ์ เบิร์น สมาพันธรัฐสวิส 8 ชุด</t>
  </si>
  <si>
    <t>(1.59) เครื่องคอมพิวเตอร์โน้ตบุ๊ก เบิร์น สมาพันธรัฐสวิส 1 เครื่อง</t>
  </si>
  <si>
    <t>(1.60) เครื่องคอมพิวเตอร์ All in One พร้อมอุปกรณ์ บูคาเรสต์ โรมาเนีย 6 ชุด</t>
  </si>
  <si>
    <t>(1.61) เครื่องพิมพ์เลเซอร์  บูคาเรสต์ โรมาเนีย 3 เครื่อง</t>
  </si>
  <si>
    <t>(1.62) เครื่องคอมพิวเตอร์พร้อมอุปกรณ์ บรัสเซลส์ ราชอาณาจักรเบลเยี่ยม 8 ชุด</t>
  </si>
  <si>
    <t>(1.63) เครื่องคอมพิวเตอร์แม่ข่าย (Server) พร้อมอุปกรณ์ เบอร์ลิน สหพันธ์สาธารณรัฐเยอรมนี 1 ชุด</t>
  </si>
  <si>
    <t>(1.64) เครื่องคอมพิวเตอร์พร้อมอุปกรณ์ เบอร์ลิน สหพันธ์สาธารณรัฐเยอรมนี 1 ชุด</t>
  </si>
  <si>
    <t>(1.65) เครื่องคอมพิวเตอร์พร้อมอุปกรณ์ แฟรงก์เฟิร์ต สหพันธ์สาธารณรัฐเยอรมนี 5 ชุด</t>
  </si>
  <si>
    <t>(1.66) เครื่องคอมพิวเตอร์โน้ตบุ๊ก สตอกโฮล์ม ราชอาณาจักรสวีเดน 1 เครื่อง</t>
  </si>
  <si>
    <t>(1.67) คอมพิวเตอร์แม่ข่าย (Server) พร้อมอุปกรณ์ มาดริด ราชอาณาจักรสเปน 1 ชุด</t>
  </si>
  <si>
    <t>(1.68) เครื่องคอมพิวเตอร์พร้อมอุปกรณ์  เวียนนา สาธารณรัฐออสเตรีย 2 ชุด</t>
  </si>
  <si>
    <t>(1.69) เครื่องคอมพิวเตอร์พร้อมอุปกรณ์ ลอนดอน สหราชอาณาจักรบริเตนใหญ่และไอร์แลนด์เหนือ 1 ชุด</t>
  </si>
  <si>
    <t>(1.70) เครื่องคอมพิวเตอร์พร้อมอุปกรณ์ ลิสบอน สาธารณรัฐโปรตุเกส 2 ชุด</t>
  </si>
  <si>
    <t>(1.71) ระบบกล้องวงจรปิดพร้อมอุปกรณ์ ลิสบอน สาธารณรัฐโปรตุเกส 2 ชุด</t>
  </si>
  <si>
    <t>(1.72) ระบบกล้องวงจรปิดพร้อมอุปกรณ์ บูดาเปสต์ สาธารณรัฐฮังการี 1 ระบบ</t>
  </si>
  <si>
    <t>(1.73) เครื่องคอมพิวเตอร์พร้อมอุปกรณ์ โคเปนเฮเกน ราชอาณาจักรเดนมาร์ก 3 ชุด</t>
  </si>
  <si>
    <t>(1.74) เครื่องคอมพิวเตอร์ All in One พร้อมอุปกรณ์ เอเธนส์ กรีซ 5 ชุด</t>
  </si>
  <si>
    <t>(1.75) เครื่องพิมพ์เลเซอร์ มัลติฟังก์ชั่น ขาวดำ เอเธนส์ กรีซ 2 เครื่อง</t>
  </si>
  <si>
    <t>(1.76) เครื่อง Server เก็บข้อมูล เอเธนส์ กรีซ 1 ชุด</t>
  </si>
  <si>
    <t>(1.77) เครื่องคอมพิวเตอร์ All in One พร้อมอุปกรณ์ กรุงนูร์-ซุลตัน คาซัคสถาน 3 ชุด</t>
  </si>
  <si>
    <t>(2.1) เครื่องคอมพิวเตอร์แม่ข่าย (Server) พร้อมอุปกรณ์ ชิคาโก สหรัฐอเมริกา 1 ชุด</t>
  </si>
  <si>
    <t>(1) ครุภัณฑ์งานบ้านงานครัวที่มีราคาต่อหน่วยต่ำกว่า 1 ล้านบาท รวม 22 รายการ (รวม 27 หน่วย)</t>
  </si>
  <si>
    <t>(1.1) ตู้เย็น ขนาดความจุไม่ต่ำกว่า 500 ลิตร ซิดนีย์ เครือรัฐออสเตรเลีย 1 ตู้</t>
  </si>
  <si>
    <t>(1.2) เครื่องซักผ้า ราบัต ราชอาณาจักรโมร็อกโก 1 เครื่อง</t>
  </si>
  <si>
    <t>(1.3) เครื่องปั๊มน้ำ ไนโรบี สาธารณรัฐเคนยา 1 ชุด</t>
  </si>
  <si>
    <t>(1.4) ระบบกรองน้ำบาดาลขนาดใหญ่สำหรับอุปโภคบริโภค ไนโรบี สาธารณรัฐเคนยา 1 ระบบ</t>
  </si>
  <si>
    <t>(1.5) ปั๊มเติมอากาศระบบบำบัดน้ำเสียพร้อมอุปกรณ์ พนมเปญ ราชอาณาจักรกัมพูชา 1 ชุด</t>
  </si>
  <si>
    <t>(1.6) เครื่องอบผ้า ริยาด ราชอาณาจักรซาอุดิอาระเบีย 1 เครื่อง</t>
  </si>
  <si>
    <t>(1.7) เตียงนอน ขนาด 160-180 ซ.ม. x 190-200 ซ.ม. ริยาด ราชอาณาจักรซาอุดิอาระเบีย 3 เตียง</t>
  </si>
  <si>
    <t>(1.8) เตียงนอน ขนาด 90-100 ซ.ม. x 190-200 ซ.ม. ริยาด ราชอาณาจักรซาอุดิอาระเบีย 2 เตียง</t>
  </si>
  <si>
    <t>(1.9) เตียงอเนกประสงค์ ขนาด 80-100 ซ.ม. x 190-200 ซ.ม. ริยาด ราชอาณาจักรซาอุดิอาระเบีย 1 เตียง</t>
  </si>
  <si>
    <t>(1.10) เครื่องล้างจาน ออตตาวา แคนาดา 1 เครื่อง</t>
  </si>
  <si>
    <t>(1.11) ไมโครเวฟ คผถ. นิวยอร์ก สหรัฐอเมริกา 1 เครื่อง</t>
  </si>
  <si>
    <t>(1.12) ตู้เย็น ขนาดไม่ต่ำกว่า 20 ลูกบาศก์ฟุต  วอชิงตัน สหรัฐอเมริกา 2 ตู้</t>
  </si>
  <si>
    <t>(1.13) เครื่องล้างจาน บราซิเลีย สหพันธ์สาธารณรัฐบราซิล 1 เครื่อง</t>
  </si>
  <si>
    <t>(1.14) เครื่องซักผ้า ความจุไม่ต่ำกว่า 10 ก.ก. บรัสเซลส์ ราชอาณาจักรเบลเยี่ยม 1 เครื่อง</t>
  </si>
  <si>
    <t>(1.15) เครื่องอบผ้า ความจุ 9 ก.ก. บรัสเซลส์ ราชอาณาจักรเบลเยี่ยม 1 เครื่อง</t>
  </si>
  <si>
    <t>(1.16) เครื่องอบผ้า ความจุ 7 ก.ก.  บรัสเซลส์ ราชอาณาจักรเบลเยี่ยม 1 เครื่อง</t>
  </si>
  <si>
    <t>(1.17) เครื่องทำน้ำแข็ง ขนาดไม่ต่ำกว่า 50 ลิตร เบอร์ลิน สหพันธ์สาธารณรัฐเยอรมนี 1 เครื่อง</t>
  </si>
  <si>
    <t>(1.18) ตู้เย็น ขนาดไม่ต่ำกว่า 600 ลิตร เวียนนา สาธารณรัฐออสเตรีย 1 ตู้</t>
  </si>
  <si>
    <t>(1.19) เครื่องซักผ้า ขนาดความจุไม่น้อยกว่า 10 ก.ก.  ลอนดอน สหราชอาณาจักรบริเตนใหญ่และไอร์แลนด์เหนือ 1 เครื่อง</t>
  </si>
  <si>
    <t>(1.20) เครื่องอบผ้า ขนาดความจุไม่น้อยกว่า 9 ก.ก. ลอนดอน สหราชอาณาจักรบริเตนใหญ่และไอร์แลนด์เหนือ 1 เครื่อง</t>
  </si>
  <si>
    <t>(1.21) ตู้แช่ ขนาดไม่ต่ำกว่า 400 ลิตร ลอนดอน สหราชอาณาจักรบริเตนใหญ่และไอร์แลนด์เหนือ 2 ตู้</t>
  </si>
  <si>
    <t>(1.22) เตาแก๊สพร้อมที่อบ บูดาเปสต์ สาธารณรัฐฮังการี 1 เครื่อง</t>
  </si>
  <si>
    <t>(1) ครุภัณฑ์โฆษณาและเผยแพร่ที่มีราคาต่อหน่วยต่ำกว่า 1 ล้านบาท รวม 7 รายการ (รวม 9 หน่วย)</t>
  </si>
  <si>
    <t>(1.1) เครื่องมัลติมีเดียโปรเจคเตอร์ กาฐมาณฑุ ราชอาณาจักรเนปาล 1 เครื่อง</t>
  </si>
  <si>
    <t>(1.2) โทรทัศน์สี ขนาดไม่ต่ำกว่า 55 นิ้ว โดฮา รัฐกาตาร์ 1 เครื่อง</t>
  </si>
  <si>
    <t>(1.3) เครื่องฉายภาพโปรเจ็คเตอร์พร้อมอุปกรณ์ คุนหมิง สาธารณรัฐประชาชนจีน 1 ชุด</t>
  </si>
  <si>
    <t>(1.4) โทรทัศน์สี LED ขนาดไม่ต่ำกว่า 55 นิ้ว ไทเป ไต้หวัน 2 เครื่อง</t>
  </si>
  <si>
    <t>(1.5) โทรทัศน์สี LED ขนาดไม่ต่ำกว่า 55 นิ้ว นิวยอร์ก สหรัฐอเมริกา 1 เครื่อง</t>
  </si>
  <si>
    <t>(1.6) โทรทัศน์ ขนาดไม่ต่ำกว่า 40 นิ้ว เฮก ราชอาณาจักรเนเธอร์แลนด์ 2 เครื่อง</t>
  </si>
  <si>
    <t>(1.7) กล้องถ่ายรูปดิจิตอล ความละเอียดไม่น้อยกว่า 20 ล้านพิเซล แฟรงก์เฟิร์ต สหพันธ์สาธารณรัฐเยอรมนี 1 ชุด</t>
  </si>
  <si>
    <t>(1) ครุภัณฑ์ไฟฟ้าและวิทยุที่มีราคาต่อหน่วยต่ำกว่า 1 ล้านบาท รวม 1 รายการ (รวม 1 หน่วย)</t>
  </si>
  <si>
    <t>(1.1) เครื่องควบคุมแรงดันไฟฟ้า ธากา สาธารณรัฐประชาชนบังกลาเทศ 1 เครื่อง</t>
  </si>
  <si>
    <t>(2) ครุภัณฑ์ไฟฟ้าและวิทยุที่มีราคาต่อหน่วย 1 ล้านบาทขึ้นไป รวม 1 รายการ (รวม 1 หน่วย)</t>
  </si>
  <si>
    <t>(2.1) เครื่องปั่นไฟระบบเชื้อเพลิง เตหะราน สาธารณรัฐอิสลามอิหร่าน 1 เครื่อง</t>
  </si>
  <si>
    <t>(1) ครุภัณฑ์ยานพาหนะและขนส่งที่มีราคาต่อหน่วย 1 ล้านบาทขึ้นไป รวม 2 รายการ (รวม 2 หน่วย)</t>
  </si>
  <si>
    <t>(1.1) รถยนต์ประจำตำแหน่งของผู้ดำรงตำแหน่งที่สองรองจากเอกอัครราชทูตหรือผู้ที่มีฐานะเทียบเท่าของ สอท. กรุงย่างกุ้ง 
ย่างกุ้ง สหภาพพม่า 1 คัน</t>
  </si>
  <si>
    <t>(1.2) รถยนต์ประจำตำแหน่งของผู้ดำรงตำแหน่งหัวหน้าส่วนราชการระดับกงสุลใหญ่ของ สกญ. ณ นครแฟรงก์เฟิร์ต 
แฟรงก์เฟิร์ต สหพันธ์สาธารณรัฐเยอรมนี 1 คัน</t>
  </si>
  <si>
    <t>(1) ครุภัณฑ์คอมพิวเตอร์ที่มีราคาต่อหน่วยต่ำกว่า 1 ล้านบาท รวม 22 รายการ (รวม 1,192 หน่วย)</t>
  </si>
  <si>
    <t>(1) ครุภัณฑ์สำนักงานที่มีราคาต่อหน่วยต่ำกว่า 1 ล้านบาท รวม 36 รายการ (รวม 172 หน่วย)</t>
  </si>
  <si>
    <t>(1) ครุภัณฑ์งานบ้านงานครัวที่มีราคาต่อหน่วยต่ำกว่า 1 ล้านบาท รวม 5 รายการ (รวม 7 หน่วย)</t>
  </si>
  <si>
    <t>(1) ครุภัณฑ์โฆษณาและเผยแพร่ที่มีราคาต่อหน่วยต่ำกว่า 1 ล้านบาท รวม 6 รายการ (รวม 12 หน่วย)</t>
  </si>
  <si>
    <t>(1) ครุภัณฑ์ไฟฟ้าและวิทยุที่มีราคาต่อหน่วยต่ำกว่า 1 ล้านบาท รวม 6 รายการ (รวม 230 หน่วย)</t>
  </si>
  <si>
    <t>(1) ครุภัณฑ์โรงงานที่มีราคาต่อหน่วยต่ำกว่า 1 ล้านบาท รวม 2 รายการ (รวม 2 หน่วย)</t>
  </si>
  <si>
    <t>(1) ครุภัณฑ์นวัตกรรมไทย - ด้านไฟฟ้า อิเล็กทรอนิกส์ และโทรคมนาคมที่มีราคาต่อหน่วยต่ำกว่า 1 ล้านบาท 
รวม 2 รายการ (รวม 9 หน่วย)</t>
  </si>
  <si>
    <t>จัดทำ ณ สิงหาคม 2565</t>
  </si>
  <si>
    <t xml:space="preserve"> ปี 2566</t>
  </si>
  <si>
    <t>ภาพรวมงบประมาณปี 2564 - 2566</t>
  </si>
  <si>
    <t>ในปี งปม. 2564 กระทรวงฯ มีงบบุคลากรไม่เพียงพอต่อการเบิกจ่ายและต้องขอรับการจัดสรรเพิ่มเติมจากสำนักงบประมาณเป็นครั้งแรก เนื่องจากสถานการณ์การระบาด</t>
  </si>
  <si>
    <t xml:space="preserve">1. กระทรวงฯ ได้รับจัดสรร งปม. ปี 2564 จำนวน 8,156.3642 ลบ. โดยในปี งปม. 2564 สำนักงบประมาณมิได้ออกพระราชบัญญัติโอนงบประมาณรายจ่าย อย่างไรก็ดี </t>
  </si>
  <si>
    <t>งบประมาณรายจ่ายลงทุนระหว่างปี 2564 - 2566</t>
  </si>
  <si>
    <t>1. กระทรวงฯ ได้รับจัดสรรงบรายจ่ายลงทุน ปี 2564 จำนวน 397.48 ลบ. โดยมีงบรายจ่ายอื่นที่มีลักษณะเป็นงบลงทุนภายใต้แผนงานยุทธศาสตร์  275.29 ลบ. และแผนงานพื้นฐาน</t>
  </si>
  <si>
    <r>
      <t xml:space="preserve">      </t>
    </r>
    <r>
      <rPr>
        <sz val="16"/>
        <rFont val="TH SarabunPSK"/>
        <family val="2"/>
      </rPr>
      <t>(กรมสนธิสัญญาฯ)</t>
    </r>
  </si>
  <si>
    <t xml:space="preserve">2.9 ค่าใช้จ่ายในการดำเนินโครงการปาฐกถาสมเด็จเจ้าฟ้าสิรินธรเพื่อเผยแพร่กฎหมายมนุษยธรรมระหว่างประเทศ </t>
  </si>
  <si>
    <t xml:space="preserve">(1) ค่าก่อสร้างอาคารที่ทำการและสิ่งก่อสร้างประกอบที่มีราคาต่อหน่วยตั้งแต่ 10 ล้านบาท รวม 1 รายการ </t>
  </si>
  <si>
    <t>1. ค่าควบคุมงานก่อสร้างอาคารที่ทำการและสิ่งก่อสร้างประกอบ สถานเอกอัครราชทูต ณ เวียงจันทน์ สปป.ลาว เวียงจันทน์ 
สาธารณรัฐประชาธิปไตยประชาชนลาว 1 งาน</t>
  </si>
  <si>
    <r>
      <rPr>
        <b/>
        <sz val="16"/>
        <rFont val="TH SarabunPSK"/>
        <family val="2"/>
      </rPr>
      <t>1.1 ค่าใช้จ่ายในการจัดกิจกรรมสนับสนุนนักศึกษาไทยในต่างประเทศ</t>
    </r>
    <r>
      <rPr>
        <sz val="16"/>
        <rFont val="TH SarabunPSK"/>
        <family val="2"/>
      </rPr>
      <t xml:space="preserve"> (กลุ่มงานความมั่นคงระหว่างประเทศ)</t>
    </r>
  </si>
  <si>
    <t xml:space="preserve">1.1 ค่าใช้จ่ายในการส่งเสริมความเข้าใจทั้งในและต่างประเทศ เกี่ยวกับประเด็นจังหวัดชายแดนภาคใต้ </t>
  </si>
  <si>
    <t>1.2 ค่าใช้จ่ายในการเสริมสร้างความเข้าใจและถ่ายทอดองค์ความรู้เพื่อการอยู่ร่วมกันในสังคมพหุวัฒนธรรม</t>
  </si>
  <si>
    <t xml:space="preserve">   (กลุ่มงานความมั่นคงระหว่างประเทศ)</t>
  </si>
  <si>
    <t>(1.1) เครื่องคอมพิวเตอร์ สำหรับงานประมวลผล แบบที่ 2 (จอแสดงภาพขนาดไม่น้อยกว่า 19 นิ้ว) 321 ชุด</t>
  </si>
  <si>
    <t>(1.2) เครื่องคอมพิวเตอร์ All In One สำหรับงานประมวลผล 9 เครื่อง</t>
  </si>
  <si>
    <t>(1.3) เครื่องคอมพิวเตอร์โน้ตบุ๊ก สำหรับงานประมวลผล 23 เครื่อง</t>
  </si>
  <si>
    <t>(1.4) เครื่องพิมพ์ เลเซอร์ หรือ LED ขาวดำ ชนิด Network แบบที่ 2 (38 หน้า/นาที) 50 เครื่อง</t>
  </si>
  <si>
    <t>(1.5) เครื่องพิมพ์ เลเซอร์ หรือ LED สี ชนิด Network แบบที่ 2 (27 หน้า/นาที) 7 เครื่อง</t>
  </si>
  <si>
    <t>(1.6) สแกนเนอร์ สำหรับงานเก็บเอกสารระดับศูนย์บริการ แบบที่ 3 6 เครื่อง</t>
  </si>
  <si>
    <t>(1.7) เครื่องสำรองไฟฟ้า ขนาด 1 kVA 27 เครื่อง</t>
  </si>
  <si>
    <t>(1.8) เครื่องสำรองไฟฟ้า ขนาด 3 kVA 17 เครื่อง</t>
  </si>
  <si>
    <t>(1.9)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353 ชุด</t>
  </si>
  <si>
    <t>(1.10) ชุดโปรแกรมจัดการสำนักงาน ที่มีลิขสิทธิ์ถูกต้องตามกฎหมาย 353 ชุด</t>
  </si>
  <si>
    <t>(1.11) Network Storage (NAS) 1 เครื่อง</t>
  </si>
  <si>
    <t>(1.12) ระบบ System Display และ Line Notification  1 ระบบ</t>
  </si>
  <si>
    <t>(1.13) Thin Network (Thin Servers 1 ตัว และ Thin Client 4 ตัว)  1 ชุด</t>
  </si>
  <si>
    <t>(1.14) Security Key จำนวน 210 ชิ้น  1 ชุด</t>
  </si>
  <si>
    <t>(1.15) PKI Token จำนวน 210 ชิ้น  1 ชุด</t>
  </si>
  <si>
    <t>(1.16) ตู้คีออส (Digital Kiosk) พร้อมชุดโปรแกรมที่เกี่ยวข้อง 1 ชุด</t>
  </si>
  <si>
    <t>(1.17) อุปกรณ์จัดเก็บข้อมูลภายนอก External SSD ขนาด 500 GB  3 ตัว</t>
  </si>
  <si>
    <t>(1.18) ลิขสิทธิ์โปรแกรมช่วยเหลือทางไกล Team Viewer แบบ Corporate 3 licenses</t>
  </si>
  <si>
    <t>(1.19) อุปกรณ์จัดเก็บข้อมูลภายนอก (External Harddisk) ขนาด 5TB  2 ตัว</t>
  </si>
  <si>
    <t>(1.20) อุปกรณ์จัดเก็บข้อมูลภายนอก (External Harddisk) ขนาด 5TB  1 ตัว</t>
  </si>
  <si>
    <t>(1.21) ชุดประชุมทางไกลผ่านเครือข่ายอินเทอร์เน็ต 1 ชุด</t>
  </si>
  <si>
    <t>(1.22) ลิขสิทธิ์โปรแกรมออกแบบกราฟิก ตัดต่อวิดีโอ และงานสร้างสรรค์ Adobe Creative Cloud For Team 2 licenses</t>
  </si>
  <si>
    <t>(1.23) ลิขสิทธิ์การซื้อสต๊อกรูปภาพ และสต๊อกวิดีโอออนไลน์ Adobe Stock for Team 1 licenses</t>
  </si>
  <si>
    <t>(1.24) อุปกรณ์จัดเก็บข้อมูลภายนอก (External Harddisk) ขนาด 5TB  4 ตัว</t>
  </si>
  <si>
    <t>(1.25) ชุดประชุมทางไกลผ่านเครือข่ายอินเทอร์เน็ต 1 ชุด</t>
  </si>
  <si>
    <t>(1.26) ลิขสิทธิ์โปรแกรมออกแบบกราฟิก ตัดต่อวิดีโอ และงานสร้างสรรค์ Adobe Creative Cloud For Team 2 licenses</t>
  </si>
  <si>
    <t>(2.1) ระบบสนับสนุนเพื่อป้องกันความเสียหายในห้องคอมพิวเตอร์แม่ข่าย (Data Center) ที่อาคารศรีอยุธยา 1 ระบบ</t>
  </si>
  <si>
    <t>ของโรคโควิด-19 โดยมีผลการเบิกจ่าย งปม. ปี 2564 เท่ากับ 90.40%</t>
  </si>
  <si>
    <t xml:space="preserve">2. กระทรวงฯ ได้รับจัดสรรงบรายจ่ายลงทุน ปี 2565 จำนวน 304.1891 ลบ. โดยมีงบรายจ่ายอื่นที่มีลักษณะเป็นงบลงทุนภายใต้แผนงานยุทธศาสตร์  220.3546 ลบ. </t>
  </si>
  <si>
    <t xml:space="preserve">และแผนงานพื้นฐาน 83.8345 ลบ. และมีการโอนเปลี่ยนแปลงระหว่างงบรายจ่ายภายในกระทรวงฯ ทำให้งบรายจ่ายลงทุนคงเหลือ 166.1674 ลบ. ผลเบิกจ่ายงบลงทุน ปี 2565 </t>
  </si>
  <si>
    <t>122.19 ลบ. และมีการโอนเปลี่ยนแปลงระหว่างงบรายจ่ายภายในกระทรวงฯ ทำให้งบรายจ่ายลงทุนคงเหลือ 404.95 ลบ. ผลเบิกจ่ายงบลงทุน ปี 2564 เท่ากับ 43.52 %</t>
  </si>
  <si>
    <t>ณ สิ้นเดือน ก.ค. 65 เท่ากับ 45.37 %</t>
  </si>
  <si>
    <t>โดยมีผลการเบิกจ่าย งปม. ในภาพรวม ณ สิ้นเดือน ก.ค. 2565 เท่ากับ 76.17%</t>
  </si>
  <si>
    <t xml:space="preserve">2. กระทรวงฯ ได้รับจัดสรร งปม. ปี 2565 จำนวน 7,406.4980 ลบ. โดยในปี งปม. 2565 สำนักงบประมาณมิได้ออกพระราชบัญญัติโอนงบประมาณรายจ่าย  อย่างไรก็ดี </t>
  </si>
  <si>
    <t>ในปี งปม. 2564 กระทรวงฯ มีงบบุคลากรไม่เพียงพอต่อการเบิกจ่ายและต้องขอรับการจัดสรรเพิ่มเติมจากสำนักงบประมาณ เนื่องจากความผันผวนของอัตราแลกเปลี่ยน</t>
  </si>
  <si>
    <t xml:space="preserve">หมายเหตุ:   </t>
  </si>
  <si>
    <r>
      <t>1. งบรายจ่ายอื่น</t>
    </r>
    <r>
      <rPr>
        <sz val="16"/>
        <rFont val="TH SarabunPSK"/>
        <family val="2"/>
      </rPr>
      <t xml:space="preserve"> </t>
    </r>
  </si>
  <si>
    <t>27</t>
  </si>
  <si>
    <t>32</t>
  </si>
  <si>
    <t>35</t>
  </si>
  <si>
    <t>44</t>
  </si>
  <si>
    <t>47</t>
  </si>
  <si>
    <t>50</t>
  </si>
  <si>
    <t>53</t>
  </si>
  <si>
    <t>56</t>
  </si>
  <si>
    <t>59</t>
  </si>
  <si>
    <t>61</t>
  </si>
  <si>
    <t>70</t>
  </si>
  <si>
    <t>https://cutt.ly/aZ9ipib</t>
  </si>
  <si>
    <t>สแกนเพื่อดาวน์โหลดไฟล์</t>
  </si>
  <si>
    <t>ผูกพันใหม่ 52 คัน</t>
  </si>
  <si>
    <t>(1) ค่าจ้างชั่วคราวต่างประเทศ 1,318 อัตรา</t>
  </si>
  <si>
    <t xml:space="preserve">(2) ค่าจ้างชั่วคราวในประเทศ (ค่าจ้างอาจารย์ชาวต่างประเทศ 1 อัตรา) </t>
  </si>
  <si>
    <t>สรุปภาพรวมงบประมาณรายจ่ายประจำปีงบประมาณ พ.ศ. 2566 ไปพลางก่อน</t>
  </si>
  <si>
    <t xml:space="preserve">งบประมาณ
ที่ได้รับจัดสรร พ.ศ. 2566 ไปพลางก่อน
</t>
  </si>
  <si>
    <t>เงินงวด 1</t>
  </si>
  <si>
    <t>รหัสงบประมาณ</t>
  </si>
  <si>
    <t>0400204001470</t>
  </si>
  <si>
    <t>04002040014705000001</t>
  </si>
  <si>
    <t>0400204001570</t>
  </si>
  <si>
    <t>04002040015705000001</t>
  </si>
  <si>
    <t>04002040015705000002</t>
  </si>
  <si>
    <t>0400211000470</t>
  </si>
  <si>
    <t>04002110004705000009</t>
  </si>
  <si>
    <t>04002110004705000014</t>
  </si>
  <si>
    <t>04002110004705000005</t>
  </si>
  <si>
    <t>04002110004705000001</t>
  </si>
  <si>
    <t>04002110004705000010</t>
  </si>
  <si>
    <t>04002110004705000012</t>
  </si>
  <si>
    <t>04002110004705000002</t>
  </si>
  <si>
    <t>04002110004705000016</t>
  </si>
  <si>
    <t>04002110004705000007</t>
  </si>
  <si>
    <t>04002110004705000008</t>
  </si>
  <si>
    <t>04002110004705000003</t>
  </si>
  <si>
    <t>04002110004705000013</t>
  </si>
  <si>
    <t>04002110004705000004</t>
  </si>
  <si>
    <t>04002110004705000006</t>
  </si>
  <si>
    <t>04002110004705000011</t>
  </si>
  <si>
    <t>04002110004705000015</t>
  </si>
  <si>
    <t>04002110004705000018</t>
  </si>
  <si>
    <t>04002110004705000017</t>
  </si>
  <si>
    <t>04002110004705000019</t>
  </si>
  <si>
    <t>04002110004704100001</t>
  </si>
  <si>
    <t>04002110004704100002</t>
  </si>
  <si>
    <t>0400211000474100001</t>
  </si>
  <si>
    <t>0400211000370</t>
  </si>
  <si>
    <t>04002110003705000006</t>
  </si>
  <si>
    <t>04002110003705000007</t>
  </si>
  <si>
    <t>04002110003705000004</t>
  </si>
  <si>
    <t>04002110003705000003</t>
  </si>
  <si>
    <t>04002110003705000005</t>
  </si>
  <si>
    <t>04002110003705000000</t>
  </si>
  <si>
    <t>04002110003705000008</t>
  </si>
  <si>
    <t>04002110003705000009</t>
  </si>
  <si>
    <t>04002110003705000002</t>
  </si>
  <si>
    <t>04002110003705000001</t>
  </si>
  <si>
    <t>04002110003704100008</t>
  </si>
  <si>
    <t>04002110003704100001</t>
  </si>
  <si>
    <t>04002110003704100003</t>
  </si>
  <si>
    <t>04002110003704100009</t>
  </si>
  <si>
    <t>04002110003704100004</t>
  </si>
  <si>
    <t>04002110003704100005</t>
  </si>
  <si>
    <t>04002110003704100010</t>
  </si>
  <si>
    <t>04002110003704100011</t>
  </si>
  <si>
    <t>04002110003704100007</t>
  </si>
  <si>
    <t>04002110003704100006</t>
  </si>
  <si>
    <t>04002110003704100002</t>
  </si>
  <si>
    <t>04002110003705000010</t>
  </si>
  <si>
    <t>0400211001070</t>
  </si>
  <si>
    <t>04002110010704100001</t>
  </si>
  <si>
    <t>04002110010705000001</t>
  </si>
  <si>
    <t>04002110010705000008</t>
  </si>
  <si>
    <t>04002110010705000002</t>
  </si>
  <si>
    <t>04002110010705000003</t>
  </si>
  <si>
    <t>04002110010705000004</t>
  </si>
  <si>
    <t>04002110010705000005</t>
  </si>
  <si>
    <t>04002110010705000006</t>
  </si>
  <si>
    <t>04002110010705000007</t>
  </si>
  <si>
    <t>0400211000970</t>
  </si>
  <si>
    <t>04002110009704100001</t>
  </si>
  <si>
    <t>04002110009705000001</t>
  </si>
  <si>
    <t>04002110009705000004</t>
  </si>
  <si>
    <t>04002110009705000002</t>
  </si>
  <si>
    <t>04002110009705000003</t>
  </si>
  <si>
    <t>0400211001370</t>
  </si>
  <si>
    <t>04002110013702000000</t>
  </si>
  <si>
    <t>04002110013704100001</t>
  </si>
  <si>
    <t>04002110013705000002</t>
  </si>
  <si>
    <t>04002110013705000004</t>
  </si>
  <si>
    <t>04002110013705000003</t>
  </si>
  <si>
    <t>04002110013705000006</t>
  </si>
  <si>
    <t>04002110013705000001</t>
  </si>
  <si>
    <t>04002110013705000005</t>
  </si>
  <si>
    <t>04002110013705000008</t>
  </si>
  <si>
    <t>04002110013705000007</t>
  </si>
  <si>
    <t>04002110013703110158</t>
  </si>
  <si>
    <t>04002110013703110159</t>
  </si>
  <si>
    <t>04002110013703120003</t>
  </si>
  <si>
    <t>04002110013703110160</t>
  </si>
  <si>
    <t>04002110013703110161</t>
  </si>
  <si>
    <t>04002110013703110162</t>
  </si>
  <si>
    <t>04002110013703120002</t>
  </si>
  <si>
    <t>04002110013703120001</t>
  </si>
  <si>
    <t>04002110013703120004</t>
  </si>
  <si>
    <t>04002110013703220002</t>
  </si>
  <si>
    <t>04002110013703210023</t>
  </si>
  <si>
    <t>04002110013703220001</t>
  </si>
  <si>
    <t>04002110013703210024</t>
  </si>
  <si>
    <t>04002110013703210025</t>
  </si>
  <si>
    <t>04002110013703220004</t>
  </si>
  <si>
    <t>04002110013703210026</t>
  </si>
  <si>
    <t>04002110013703220003</t>
  </si>
  <si>
    <t>04002110013703210027</t>
  </si>
  <si>
    <t>04002110013704100002</t>
  </si>
  <si>
    <t>04002110013705000009</t>
  </si>
  <si>
    <t>04002110013705000011</t>
  </si>
  <si>
    <t>04002110013705000010</t>
  </si>
  <si>
    <t>04002110013705000012</t>
  </si>
  <si>
    <t>0400213000270</t>
  </si>
  <si>
    <t>04002130002703110080</t>
  </si>
  <si>
    <t>04002130002703110081</t>
  </si>
  <si>
    <t>04002130002703120001</t>
  </si>
  <si>
    <t>04002130002703110082</t>
  </si>
  <si>
    <t>04002130002703110083</t>
  </si>
  <si>
    <t>04002130002703110084</t>
  </si>
  <si>
    <t>04002130002703110085</t>
  </si>
  <si>
    <t>04002130002703110086</t>
  </si>
  <si>
    <t>04002130002703210008</t>
  </si>
  <si>
    <t>04002130002703220001</t>
  </si>
  <si>
    <t>04002130002703220002</t>
  </si>
  <si>
    <t>0400214000170</t>
  </si>
  <si>
    <t>04002140001701000000</t>
  </si>
  <si>
    <t>04002140001702000000</t>
  </si>
  <si>
    <t>รหัสกิจกรรม</t>
  </si>
  <si>
    <t>04002660002600000</t>
  </si>
  <si>
    <t>04002669053600000</t>
  </si>
  <si>
    <t>04002660001800000</t>
  </si>
  <si>
    <t>04002660001900000</t>
  </si>
  <si>
    <t>04002660002000000</t>
  </si>
  <si>
    <t>04002660002100000</t>
  </si>
  <si>
    <t>04002660002200000</t>
  </si>
  <si>
    <t>04002660002300000</t>
  </si>
  <si>
    <t>04002660002400000</t>
  </si>
  <si>
    <t>04002660002500000</t>
  </si>
  <si>
    <t>04002660000100000</t>
  </si>
  <si>
    <t>04002660000700000</t>
  </si>
  <si>
    <t>รับโอน/จ่ายโอน</t>
  </si>
  <si>
    <t>การสำรองเงิน</t>
  </si>
  <si>
    <t>ก่อหนี้ผูกพัน
(PO)</t>
  </si>
  <si>
    <t>เบิกจ่ายแทน กต.</t>
  </si>
  <si>
    <t>เบิกจ่ายจริง</t>
  </si>
  <si>
    <t>รวมยอดเบิกจ่าย</t>
  </si>
  <si>
    <t>เบิกจ่าย
ร้อยละ</t>
  </si>
  <si>
    <t>กรม/สำนัก
คืนเงิน</t>
  </si>
  <si>
    <t>รวมยอดเบิกจ่าย + PO</t>
  </si>
  <si>
    <t>คงเหลือ
(หลังหัก PO)</t>
  </si>
  <si>
    <t>รวมยอดเบิกจ่าย + PO
+สำรองเงิน</t>
  </si>
  <si>
    <t>คงเหลือ
(หลังหัก PO+สำรองเงิน)</t>
  </si>
  <si>
    <t>ร้อยละ
(หลังหัก PO+สำรองเงิน)</t>
  </si>
  <si>
    <t>สรุปสถานะการเบิกจ่ายเงินงบประมาณประจำปี พ.ศ. 2566 ไปพลางก่อน สิ้นเดือน ตุลาคม 2566</t>
  </si>
  <si>
    <t>ป1/67</t>
  </si>
  <si>
    <t>501/67,502/68</t>
  </si>
  <si>
    <t>503/67</t>
  </si>
  <si>
    <t>504/67</t>
  </si>
  <si>
    <t>505/67</t>
  </si>
  <si>
    <t>501/67,502/67,504/67,505/67</t>
  </si>
  <si>
    <t>ถ1/67</t>
  </si>
  <si>
    <t>ถ2/67</t>
  </si>
  <si>
    <t>ถ3/67</t>
  </si>
  <si>
    <t>ถ4/67</t>
  </si>
  <si>
    <t>ถ5/67</t>
  </si>
  <si>
    <t>ถ5/67,ถ6/67</t>
  </si>
  <si>
    <t>ถ7/67</t>
  </si>
  <si>
    <t>ถ6/67,ถ7/67</t>
  </si>
  <si>
    <t>ถ8/67</t>
  </si>
  <si>
    <t>ณ วันที่ 31 ตุลาคม 2566</t>
  </si>
  <si>
    <t>Vlookup</t>
  </si>
  <si>
    <t>ระยะเวลาในการดำเนินการ</t>
  </si>
  <si>
    <t>ต.ค. 2566 - ก.พ. 2567</t>
  </si>
  <si>
    <t>แผนดำเนินการและการใช้งบประมาณประจำปีงบประมาณ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</si>
</sst>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_-* #,##0_-;\-* #,##0_-;_-* &quot;-&quot;??_-;_-@_-"/>
    <numFmt numFmtId="190" formatCode="_-* #,##0.00_-;\-* #,##0.00_-;_-* &quot;-&quot;_-;_-@_-"/>
    <numFmt numFmtId="191" formatCode="0.0"/>
    <numFmt numFmtId="192" formatCode="_-* #,##0.0000_-;\-* #,##0.0000_-;_-* &quot;-&quot;????_-;_-@_-"/>
    <numFmt numFmtId="193" formatCode="_-* #,##0.000_-;\-* #,##0.000_-;_-* &quot;-&quot;???_-;_-@_-"/>
    <numFmt numFmtId="194" formatCode="_-* #,##0.0000_-;\-* #,##0.0000_-;_-* &quot;-&quot;???_-;_-@_-"/>
    <numFmt numFmtId="195" formatCode="0.0000"/>
    <numFmt numFmtId="196" formatCode="#,##0.0000"/>
    <numFmt numFmtId="197" formatCode="_-* #,##0.0000_-;\-* #,##0.0000_-;_-* &quot;-&quot;??_-;_-@_-"/>
    <numFmt numFmtId="198" formatCode="_-* #,##0.0000_-;\-* #,##0.0000_-;_-* &quot;-&quot;_-;_-@_-"/>
  </numFmts>
  <fonts count="76" x14ac:knownFonts="1">
    <font>
      <sz val="10"/>
      <name val="Arial"/>
      <charset val="22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rgb="FF00B0F0"/>
      <name val="TH SarabunPSK"/>
      <family val="2"/>
    </font>
    <font>
      <sz val="16"/>
      <color rgb="FF00B0F0"/>
      <name val="TH SarabunPSK"/>
      <family val="2"/>
    </font>
    <font>
      <b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5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00B050"/>
      <name val="TH SarabunPSK"/>
      <family val="2"/>
    </font>
    <font>
      <b/>
      <sz val="16"/>
      <color rgb="FF00B050"/>
      <name val="TH SarabunPSK"/>
      <family val="2"/>
    </font>
    <font>
      <b/>
      <u/>
      <sz val="16"/>
      <name val="TH SarabunPSK"/>
      <family val="2"/>
    </font>
    <font>
      <b/>
      <sz val="16"/>
      <color rgb="FF00823B"/>
      <name val="TH SarabunPSK"/>
      <family val="2"/>
    </font>
    <font>
      <sz val="8"/>
      <name val="Arial"/>
      <family val="2"/>
    </font>
    <font>
      <b/>
      <sz val="12"/>
      <color indexed="81"/>
      <name val="Tahoma"/>
      <family val="2"/>
    </font>
    <font>
      <b/>
      <sz val="36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28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12"/>
      <name val="TH SarabunPSK"/>
      <family val="2"/>
    </font>
    <font>
      <sz val="8"/>
      <color rgb="FFFF0000"/>
      <name val="Arial"/>
      <family val="2"/>
    </font>
    <font>
      <sz val="22"/>
      <name val="TH SarabunPSK"/>
      <family val="2"/>
    </font>
    <font>
      <sz val="14"/>
      <color indexed="8"/>
      <name val="FreesiaUPC"/>
      <family val="2"/>
    </font>
    <font>
      <sz val="12"/>
      <color indexed="8"/>
      <name val="FreesiaUPC"/>
      <family val="2"/>
    </font>
    <font>
      <b/>
      <sz val="14"/>
      <color indexed="8"/>
      <name val="FreesiaUPC"/>
      <family val="2"/>
    </font>
    <font>
      <sz val="14"/>
      <name val="FreesiaUPC"/>
      <family val="2"/>
    </font>
    <font>
      <sz val="13"/>
      <color indexed="8"/>
      <name val="FreesiaUPC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3"/>
      <color indexed="8"/>
      <name val="TH SarabunPSK"/>
      <family val="2"/>
    </font>
    <font>
      <sz val="16"/>
      <color rgb="FF7030A0"/>
      <name val="TH SarabunPSK"/>
      <family val="2"/>
    </font>
    <font>
      <b/>
      <sz val="16"/>
      <color indexed="81"/>
      <name val="Tahoma"/>
      <family val="2"/>
    </font>
    <font>
      <sz val="16"/>
      <color theme="6" tint="-0.249977111117893"/>
      <name val="TH SarabunPSK"/>
      <family val="2"/>
    </font>
    <font>
      <b/>
      <sz val="16"/>
      <color rgb="FF92D050"/>
      <name val="TH SarabunPSK"/>
      <family val="2"/>
    </font>
    <font>
      <sz val="16"/>
      <color rgb="FF92D050"/>
      <name val="TH SarabunPSK"/>
      <family val="2"/>
    </font>
    <font>
      <b/>
      <sz val="16"/>
      <color rgb="FF0070C0"/>
      <name val="TH SarabunPSK"/>
      <family val="2"/>
    </font>
    <font>
      <sz val="16"/>
      <color rgb="FF0070C0"/>
      <name val="TH SarabunPSK"/>
      <family val="2"/>
    </font>
    <font>
      <b/>
      <sz val="16"/>
      <color rgb="FFFFC000"/>
      <name val="TH SarabunPSK"/>
      <family val="2"/>
    </font>
    <font>
      <sz val="16"/>
      <color rgb="FFFFC000"/>
      <name val="TH SarabunPSK"/>
      <family val="2"/>
    </font>
    <font>
      <b/>
      <sz val="16"/>
      <color rgb="FFFF33CC"/>
      <name val="TH SarabunPSK"/>
      <family val="2"/>
    </font>
    <font>
      <sz val="16"/>
      <color rgb="FFFF33CC"/>
      <name val="TH SarabunPSK"/>
      <family val="2"/>
    </font>
    <font>
      <b/>
      <sz val="16"/>
      <color rgb="FF00FFCC"/>
      <name val="TH SarabunPSK"/>
      <family val="2"/>
    </font>
    <font>
      <sz val="16"/>
      <color rgb="FF00FFCC"/>
      <name val="TH SarabunPSK"/>
      <family val="2"/>
    </font>
    <font>
      <b/>
      <sz val="16"/>
      <color indexed="10"/>
      <name val="TH SarabunPSK"/>
      <family val="2"/>
    </font>
    <font>
      <sz val="16"/>
      <color indexed="40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1"/>
      <name val="Tahoma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8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33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17" fillId="0" borderId="0"/>
    <xf numFmtId="0" fontId="7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8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426">
    <xf numFmtId="0" fontId="0" fillId="0" borderId="0" xfId="0"/>
    <xf numFmtId="0" fontId="11" fillId="0" borderId="9" xfId="13" applyFont="1" applyBorder="1" applyAlignment="1">
      <alignment horizontal="left" vertical="center" indent="7"/>
    </xf>
    <xf numFmtId="0" fontId="10" fillId="0" borderId="10" xfId="13" applyFont="1" applyBorder="1" applyAlignment="1">
      <alignment horizontal="left" vertical="center" indent="9"/>
    </xf>
    <xf numFmtId="0" fontId="10" fillId="0" borderId="0" xfId="9" applyFont="1"/>
    <xf numFmtId="0" fontId="10" fillId="0" borderId="0" xfId="9" applyFont="1" applyAlignment="1">
      <alignment vertical="top"/>
    </xf>
    <xf numFmtId="0" fontId="10" fillId="0" borderId="0" xfId="9" applyFont="1" applyAlignment="1">
      <alignment vertical="center"/>
    </xf>
    <xf numFmtId="0" fontId="11" fillId="4" borderId="13" xfId="9" applyFont="1" applyFill="1" applyBorder="1" applyAlignment="1">
      <alignment vertical="center"/>
    </xf>
    <xf numFmtId="0" fontId="11" fillId="4" borderId="14" xfId="9" applyFont="1" applyFill="1" applyBorder="1" applyAlignment="1">
      <alignment vertical="center"/>
    </xf>
    <xf numFmtId="0" fontId="11" fillId="4" borderId="15" xfId="9" applyFont="1" applyFill="1" applyBorder="1" applyAlignment="1">
      <alignment vertical="center"/>
    </xf>
    <xf numFmtId="0" fontId="11" fillId="5" borderId="17" xfId="9" applyFont="1" applyFill="1" applyBorder="1" applyAlignment="1">
      <alignment horizontal="left" vertical="center" indent="2"/>
    </xf>
    <xf numFmtId="0" fontId="11" fillId="5" borderId="18" xfId="9" applyFont="1" applyFill="1" applyBorder="1" applyAlignment="1">
      <alignment horizontal="left" vertical="center" indent="2"/>
    </xf>
    <xf numFmtId="0" fontId="11" fillId="5" borderId="19" xfId="9" applyFont="1" applyFill="1" applyBorder="1" applyAlignment="1">
      <alignment horizontal="left" vertical="center" indent="2"/>
    </xf>
    <xf numFmtId="189" fontId="11" fillId="5" borderId="18" xfId="1" applyNumberFormat="1" applyFont="1" applyFill="1" applyBorder="1" applyAlignment="1">
      <alignment vertical="center"/>
    </xf>
    <xf numFmtId="43" fontId="11" fillId="5" borderId="18" xfId="1" applyFont="1" applyFill="1" applyBorder="1" applyAlignment="1">
      <alignment vertical="center"/>
    </xf>
    <xf numFmtId="0" fontId="11" fillId="6" borderId="17" xfId="9" applyFont="1" applyFill="1" applyBorder="1" applyAlignment="1">
      <alignment horizontal="left" vertical="center" indent="4"/>
    </xf>
    <xf numFmtId="0" fontId="11" fillId="6" borderId="18" xfId="9" applyFont="1" applyFill="1" applyBorder="1" applyAlignment="1">
      <alignment horizontal="left" vertical="center" indent="4"/>
    </xf>
    <xf numFmtId="0" fontId="11" fillId="6" borderId="19" xfId="9" applyFont="1" applyFill="1" applyBorder="1" applyAlignment="1">
      <alignment horizontal="left" vertical="center" indent="4"/>
    </xf>
    <xf numFmtId="189" fontId="11" fillId="6" borderId="18" xfId="1" applyNumberFormat="1" applyFont="1" applyFill="1" applyBorder="1" applyAlignment="1">
      <alignment vertical="center"/>
    </xf>
    <xf numFmtId="43" fontId="11" fillId="6" borderId="18" xfId="1" applyFont="1" applyFill="1" applyBorder="1" applyAlignment="1">
      <alignment vertical="center"/>
    </xf>
    <xf numFmtId="41" fontId="11" fillId="6" borderId="18" xfId="9" applyNumberFormat="1" applyFont="1" applyFill="1" applyBorder="1" applyAlignment="1">
      <alignment vertical="center"/>
    </xf>
    <xf numFmtId="0" fontId="11" fillId="7" borderId="17" xfId="13" applyFont="1" applyFill="1" applyBorder="1" applyAlignment="1">
      <alignment horizontal="left" vertical="center" indent="6"/>
    </xf>
    <xf numFmtId="0" fontId="11" fillId="7" borderId="18" xfId="13" applyFont="1" applyFill="1" applyBorder="1" applyAlignment="1">
      <alignment horizontal="left" vertical="center" wrapText="1" indent="6"/>
    </xf>
    <xf numFmtId="0" fontId="11" fillId="7" borderId="19" xfId="13" applyFont="1" applyFill="1" applyBorder="1" applyAlignment="1">
      <alignment horizontal="left" vertical="center" wrapText="1" indent="6"/>
    </xf>
    <xf numFmtId="189" fontId="11" fillId="7" borderId="18" xfId="1" applyNumberFormat="1" applyFont="1" applyFill="1" applyBorder="1" applyAlignment="1">
      <alignment vertical="center"/>
    </xf>
    <xf numFmtId="43" fontId="11" fillId="7" borderId="18" xfId="1" applyFont="1" applyFill="1" applyBorder="1" applyAlignment="1">
      <alignment vertical="center"/>
    </xf>
    <xf numFmtId="41" fontId="11" fillId="7" borderId="18" xfId="13" applyNumberFormat="1" applyFont="1" applyFill="1" applyBorder="1" applyAlignment="1">
      <alignment vertical="center"/>
    </xf>
    <xf numFmtId="0" fontId="10" fillId="0" borderId="17" xfId="13" applyFont="1" applyBorder="1" applyAlignment="1">
      <alignment horizontal="left" vertical="center" indent="7"/>
    </xf>
    <xf numFmtId="0" fontId="10" fillId="0" borderId="18" xfId="13" applyFont="1" applyBorder="1" applyAlignment="1">
      <alignment horizontal="left" vertical="center"/>
    </xf>
    <xf numFmtId="0" fontId="10" fillId="0" borderId="19" xfId="13" applyFont="1" applyBorder="1" applyAlignment="1">
      <alignment horizontal="left" vertical="center" indent="7"/>
    </xf>
    <xf numFmtId="189" fontId="10" fillId="0" borderId="18" xfId="1" applyNumberFormat="1" applyFont="1" applyBorder="1" applyAlignment="1">
      <alignment vertical="center"/>
    </xf>
    <xf numFmtId="43" fontId="10" fillId="0" borderId="18" xfId="1" applyFont="1" applyBorder="1" applyAlignment="1">
      <alignment vertical="center"/>
    </xf>
    <xf numFmtId="3" fontId="10" fillId="0" borderId="18" xfId="9" applyNumberFormat="1" applyFont="1" applyBorder="1" applyAlignment="1">
      <alignment vertical="center"/>
    </xf>
    <xf numFmtId="3" fontId="10" fillId="0" borderId="20" xfId="9" applyNumberFormat="1" applyFont="1" applyBorder="1" applyAlignment="1">
      <alignment vertical="center"/>
    </xf>
    <xf numFmtId="0" fontId="11" fillId="0" borderId="17" xfId="13" applyFont="1" applyBorder="1" applyAlignment="1">
      <alignment horizontal="left" vertical="center" indent="7"/>
    </xf>
    <xf numFmtId="0" fontId="11" fillId="0" borderId="18" xfId="13" applyFont="1" applyBorder="1" applyAlignment="1">
      <alignment horizontal="left" vertical="center"/>
    </xf>
    <xf numFmtId="0" fontId="11" fillId="0" borderId="19" xfId="13" applyFont="1" applyBorder="1" applyAlignment="1">
      <alignment horizontal="left" vertical="center" indent="7"/>
    </xf>
    <xf numFmtId="0" fontId="10" fillId="0" borderId="18" xfId="13" applyFont="1" applyBorder="1" applyAlignment="1">
      <alignment horizontal="left" vertical="center" indent="2"/>
    </xf>
    <xf numFmtId="0" fontId="10" fillId="0" borderId="19" xfId="13" applyFont="1" applyBorder="1" applyAlignment="1">
      <alignment horizontal="left" vertical="center" indent="9"/>
    </xf>
    <xf numFmtId="0" fontId="11" fillId="0" borderId="8" xfId="13" applyFont="1" applyBorder="1" applyAlignment="1">
      <alignment horizontal="left" vertical="center" indent="7"/>
    </xf>
    <xf numFmtId="189" fontId="10" fillId="0" borderId="0" xfId="1" applyNumberFormat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189" fontId="10" fillId="0" borderId="0" xfId="1" applyNumberFormat="1" applyFont="1" applyBorder="1" applyAlignment="1">
      <alignment vertical="center"/>
    </xf>
    <xf numFmtId="3" fontId="10" fillId="0" borderId="0" xfId="9" applyNumberFormat="1" applyFont="1" applyAlignment="1">
      <alignment vertical="center"/>
    </xf>
    <xf numFmtId="3" fontId="10" fillId="0" borderId="3" xfId="9" applyNumberFormat="1" applyFont="1" applyBorder="1" applyAlignment="1">
      <alignment vertical="center"/>
    </xf>
    <xf numFmtId="189" fontId="10" fillId="0" borderId="11" xfId="1" applyNumberFormat="1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3" fontId="10" fillId="0" borderId="11" xfId="9" applyNumberFormat="1" applyFont="1" applyBorder="1" applyAlignment="1">
      <alignment vertical="center"/>
    </xf>
    <xf numFmtId="3" fontId="10" fillId="0" borderId="4" xfId="9" applyNumberFormat="1" applyFont="1" applyBorder="1" applyAlignment="1">
      <alignment vertical="center"/>
    </xf>
    <xf numFmtId="0" fontId="11" fillId="4" borderId="21" xfId="9" applyFont="1" applyFill="1" applyBorder="1" applyAlignment="1">
      <alignment vertical="center"/>
    </xf>
    <xf numFmtId="0" fontId="11" fillId="4" borderId="22" xfId="9" applyFont="1" applyFill="1" applyBorder="1" applyAlignment="1">
      <alignment vertical="center"/>
    </xf>
    <xf numFmtId="0" fontId="11" fillId="4" borderId="23" xfId="9" applyFont="1" applyFill="1" applyBorder="1" applyAlignment="1">
      <alignment vertical="center"/>
    </xf>
    <xf numFmtId="189" fontId="11" fillId="4" borderId="22" xfId="1" applyNumberFormat="1" applyFont="1" applyFill="1" applyBorder="1" applyAlignment="1">
      <alignment vertical="center"/>
    </xf>
    <xf numFmtId="189" fontId="11" fillId="0" borderId="18" xfId="1" applyNumberFormat="1" applyFont="1" applyBorder="1" applyAlignment="1">
      <alignment vertical="center"/>
    </xf>
    <xf numFmtId="43" fontId="11" fillId="0" borderId="18" xfId="1" applyFont="1" applyBorder="1" applyAlignment="1">
      <alignment vertical="center"/>
    </xf>
    <xf numFmtId="3" fontId="11" fillId="0" borderId="18" xfId="9" applyNumberFormat="1" applyFont="1" applyBorder="1" applyAlignment="1">
      <alignment vertical="center"/>
    </xf>
    <xf numFmtId="3" fontId="11" fillId="0" borderId="20" xfId="9" applyNumberFormat="1" applyFont="1" applyBorder="1" applyAlignment="1">
      <alignment vertical="center"/>
    </xf>
    <xf numFmtId="0" fontId="10" fillId="0" borderId="17" xfId="13" applyFont="1" applyBorder="1" applyAlignment="1">
      <alignment horizontal="left" vertical="center" indent="9"/>
    </xf>
    <xf numFmtId="0" fontId="10" fillId="0" borderId="18" xfId="13" applyFont="1" applyBorder="1" applyAlignment="1">
      <alignment horizontal="left" vertical="center" indent="9"/>
    </xf>
    <xf numFmtId="0" fontId="10" fillId="0" borderId="19" xfId="13" applyFont="1" applyBorder="1" applyAlignment="1">
      <alignment horizontal="left" vertical="center"/>
    </xf>
    <xf numFmtId="0" fontId="11" fillId="0" borderId="19" xfId="13" applyFont="1" applyBorder="1" applyAlignment="1">
      <alignment horizontal="left" vertical="center" wrapText="1" indent="7"/>
    </xf>
    <xf numFmtId="0" fontId="11" fillId="5" borderId="25" xfId="9" applyFont="1" applyFill="1" applyBorder="1" applyAlignment="1">
      <alignment horizontal="left" vertical="center" indent="2"/>
    </xf>
    <xf numFmtId="0" fontId="11" fillId="5" borderId="26" xfId="9" applyFont="1" applyFill="1" applyBorder="1" applyAlignment="1">
      <alignment horizontal="left" vertical="center" indent="2"/>
    </xf>
    <xf numFmtId="0" fontId="11" fillId="5" borderId="27" xfId="9" applyFont="1" applyFill="1" applyBorder="1" applyAlignment="1">
      <alignment horizontal="left" vertical="center" indent="2"/>
    </xf>
    <xf numFmtId="189" fontId="11" fillId="5" borderId="26" xfId="1" applyNumberFormat="1" applyFont="1" applyFill="1" applyBorder="1" applyAlignment="1">
      <alignment vertical="center"/>
    </xf>
    <xf numFmtId="43" fontId="11" fillId="5" borderId="26" xfId="1" applyFont="1" applyFill="1" applyBorder="1" applyAlignment="1">
      <alignment vertical="center"/>
    </xf>
    <xf numFmtId="0" fontId="11" fillId="7" borderId="18" xfId="13" applyFont="1" applyFill="1" applyBorder="1" applyAlignment="1">
      <alignment horizontal="left" vertical="center" indent="6"/>
    </xf>
    <xf numFmtId="0" fontId="11" fillId="0" borderId="19" xfId="13" applyFont="1" applyBorder="1" applyAlignment="1">
      <alignment horizontal="left" vertical="center" indent="4"/>
    </xf>
    <xf numFmtId="189" fontId="11" fillId="0" borderId="18" xfId="1" applyNumberFormat="1" applyFont="1" applyFill="1" applyBorder="1" applyAlignment="1">
      <alignment vertical="center"/>
    </xf>
    <xf numFmtId="43" fontId="11" fillId="0" borderId="18" xfId="1" applyFont="1" applyFill="1" applyBorder="1" applyAlignment="1">
      <alignment vertical="center"/>
    </xf>
    <xf numFmtId="189" fontId="10" fillId="0" borderId="18" xfId="1" applyNumberFormat="1" applyFont="1" applyBorder="1" applyAlignment="1">
      <alignment horizontal="center" vertical="center"/>
    </xf>
    <xf numFmtId="43" fontId="10" fillId="0" borderId="18" xfId="1" applyFont="1" applyBorder="1" applyAlignment="1">
      <alignment horizontal="center" vertical="center"/>
    </xf>
    <xf numFmtId="0" fontId="11" fillId="0" borderId="17" xfId="9" applyFont="1" applyBorder="1" applyAlignment="1">
      <alignment horizontal="left" vertical="center" indent="7"/>
    </xf>
    <xf numFmtId="0" fontId="11" fillId="0" borderId="18" xfId="9" applyFont="1" applyBorder="1" applyAlignment="1">
      <alignment horizontal="left" vertical="center"/>
    </xf>
    <xf numFmtId="0" fontId="11" fillId="0" borderId="19" xfId="9" applyFont="1" applyBorder="1" applyAlignment="1">
      <alignment horizontal="left" vertical="center" indent="4"/>
    </xf>
    <xf numFmtId="43" fontId="10" fillId="0" borderId="0" xfId="1" applyFont="1" applyBorder="1" applyAlignment="1">
      <alignment vertical="center"/>
    </xf>
    <xf numFmtId="189" fontId="11" fillId="0" borderId="0" xfId="1" applyNumberFormat="1" applyFont="1" applyBorder="1" applyAlignment="1">
      <alignment vertical="center"/>
    </xf>
    <xf numFmtId="3" fontId="11" fillId="0" borderId="3" xfId="9" applyNumberFormat="1" applyFont="1" applyBorder="1" applyAlignment="1">
      <alignment vertical="center"/>
    </xf>
    <xf numFmtId="0" fontId="11" fillId="0" borderId="21" xfId="9" applyFont="1" applyBorder="1" applyAlignment="1">
      <alignment horizontal="left" vertical="center" indent="7"/>
    </xf>
    <xf numFmtId="189" fontId="10" fillId="0" borderId="22" xfId="1" applyNumberFormat="1" applyFont="1" applyBorder="1" applyAlignment="1">
      <alignment vertical="center"/>
    </xf>
    <xf numFmtId="43" fontId="10" fillId="0" borderId="22" xfId="1" applyFont="1" applyBorder="1" applyAlignment="1">
      <alignment vertical="center"/>
    </xf>
    <xf numFmtId="189" fontId="11" fillId="0" borderId="22" xfId="1" applyNumberFormat="1" applyFont="1" applyBorder="1" applyAlignment="1">
      <alignment vertical="center"/>
    </xf>
    <xf numFmtId="3" fontId="11" fillId="0" borderId="22" xfId="9" applyNumberFormat="1" applyFont="1" applyBorder="1" applyAlignment="1">
      <alignment vertical="center"/>
    </xf>
    <xf numFmtId="3" fontId="11" fillId="0" borderId="24" xfId="9" applyNumberFormat="1" applyFont="1" applyBorder="1" applyAlignment="1">
      <alignment vertical="center"/>
    </xf>
    <xf numFmtId="189" fontId="11" fillId="6" borderId="18" xfId="1" applyNumberFormat="1" applyFont="1" applyFill="1" applyBorder="1" applyAlignment="1">
      <alignment horizontal="left" vertical="center" indent="4"/>
    </xf>
    <xf numFmtId="43" fontId="11" fillId="6" borderId="18" xfId="1" applyFont="1" applyFill="1" applyBorder="1" applyAlignment="1">
      <alignment vertical="center" wrapText="1"/>
    </xf>
    <xf numFmtId="0" fontId="11" fillId="6" borderId="18" xfId="9" applyFont="1" applyFill="1" applyBorder="1" applyAlignment="1">
      <alignment vertical="center" wrapText="1"/>
    </xf>
    <xf numFmtId="189" fontId="10" fillId="0" borderId="26" xfId="1" applyNumberFormat="1" applyFont="1" applyBorder="1" applyAlignment="1">
      <alignment vertical="center"/>
    </xf>
    <xf numFmtId="43" fontId="10" fillId="0" borderId="26" xfId="1" applyFont="1" applyBorder="1" applyAlignment="1">
      <alignment vertical="center"/>
    </xf>
    <xf numFmtId="3" fontId="10" fillId="0" borderId="26" xfId="9" applyNumberFormat="1" applyFont="1" applyBorder="1" applyAlignment="1">
      <alignment vertical="center"/>
    </xf>
    <xf numFmtId="3" fontId="10" fillId="0" borderId="28" xfId="9" applyNumberFormat="1" applyFont="1" applyBorder="1" applyAlignment="1">
      <alignment vertical="center"/>
    </xf>
    <xf numFmtId="0" fontId="10" fillId="0" borderId="21" xfId="13" applyFont="1" applyBorder="1" applyAlignment="1">
      <alignment horizontal="left" vertical="center" indent="9"/>
    </xf>
    <xf numFmtId="0" fontId="10" fillId="0" borderId="22" xfId="13" applyFont="1" applyBorder="1" applyAlignment="1">
      <alignment horizontal="left" vertical="center" indent="2"/>
    </xf>
    <xf numFmtId="3" fontId="10" fillId="0" borderId="22" xfId="9" applyNumberFormat="1" applyFont="1" applyBorder="1" applyAlignment="1">
      <alignment vertical="center"/>
    </xf>
    <xf numFmtId="3" fontId="10" fillId="0" borderId="24" xfId="9" applyNumberFormat="1" applyFont="1" applyBorder="1" applyAlignment="1">
      <alignment vertical="center"/>
    </xf>
    <xf numFmtId="0" fontId="10" fillId="0" borderId="26" xfId="9" applyFont="1" applyBorder="1" applyAlignment="1">
      <alignment vertical="center"/>
    </xf>
    <xf numFmtId="0" fontId="11" fillId="0" borderId="19" xfId="9" applyFont="1" applyBorder="1" applyAlignment="1">
      <alignment horizontal="left" vertical="center" indent="7"/>
    </xf>
    <xf numFmtId="0" fontId="11" fillId="0" borderId="21" xfId="13" applyFont="1" applyBorder="1" applyAlignment="1">
      <alignment horizontal="left" vertical="center" indent="7"/>
    </xf>
    <xf numFmtId="0" fontId="11" fillId="0" borderId="22" xfId="13" applyFont="1" applyBorder="1" applyAlignment="1">
      <alignment horizontal="left" vertical="center"/>
    </xf>
    <xf numFmtId="0" fontId="11" fillId="0" borderId="23" xfId="13" applyFont="1" applyBorder="1" applyAlignment="1">
      <alignment horizontal="left" vertical="center"/>
    </xf>
    <xf numFmtId="43" fontId="11" fillId="0" borderId="22" xfId="1" applyFont="1" applyBorder="1" applyAlignment="1">
      <alignment vertical="center"/>
    </xf>
    <xf numFmtId="189" fontId="10" fillId="0" borderId="18" xfId="1" applyNumberFormat="1" applyFont="1" applyFill="1" applyBorder="1" applyAlignment="1">
      <alignment vertical="center"/>
    </xf>
    <xf numFmtId="0" fontId="11" fillId="0" borderId="29" xfId="13" applyFont="1" applyBorder="1" applyAlignment="1">
      <alignment horizontal="left" vertical="center" indent="7"/>
    </xf>
    <xf numFmtId="3" fontId="11" fillId="0" borderId="30" xfId="9" applyNumberFormat="1" applyFont="1" applyBorder="1" applyAlignment="1">
      <alignment vertical="center"/>
    </xf>
    <xf numFmtId="0" fontId="11" fillId="0" borderId="19" xfId="13" applyFont="1" applyBorder="1" applyAlignment="1">
      <alignment horizontal="left" vertical="center"/>
    </xf>
    <xf numFmtId="0" fontId="11" fillId="0" borderId="25" xfId="13" applyFont="1" applyBorder="1" applyAlignment="1">
      <alignment horizontal="left" vertical="center" indent="7"/>
    </xf>
    <xf numFmtId="0" fontId="11" fillId="0" borderId="26" xfId="13" applyFont="1" applyBorder="1" applyAlignment="1">
      <alignment horizontal="left" vertical="center"/>
    </xf>
    <xf numFmtId="189" fontId="11" fillId="0" borderId="26" xfId="1" applyNumberFormat="1" applyFont="1" applyBorder="1" applyAlignment="1">
      <alignment vertical="center"/>
    </xf>
    <xf numFmtId="43" fontId="11" fillId="0" borderId="26" xfId="1" applyFont="1" applyBorder="1" applyAlignment="1">
      <alignment vertical="center"/>
    </xf>
    <xf numFmtId="3" fontId="11" fillId="0" borderId="26" xfId="9" applyNumberFormat="1" applyFont="1" applyBorder="1" applyAlignment="1">
      <alignment vertical="center"/>
    </xf>
    <xf numFmtId="3" fontId="11" fillId="0" borderId="28" xfId="9" applyNumberFormat="1" applyFont="1" applyBorder="1" applyAlignment="1">
      <alignment vertical="center"/>
    </xf>
    <xf numFmtId="0" fontId="10" fillId="0" borderId="23" xfId="13" applyFont="1" applyBorder="1" applyAlignment="1">
      <alignment horizontal="left" vertical="center"/>
    </xf>
    <xf numFmtId="0" fontId="10" fillId="0" borderId="22" xfId="9" applyFont="1" applyBorder="1" applyAlignment="1">
      <alignment vertical="center"/>
    </xf>
    <xf numFmtId="0" fontId="11" fillId="0" borderId="0" xfId="9" applyFont="1" applyAlignment="1">
      <alignment vertical="center"/>
    </xf>
    <xf numFmtId="0" fontId="11" fillId="0" borderId="23" xfId="9" applyFont="1" applyBorder="1" applyAlignment="1">
      <alignment horizontal="left" vertical="center"/>
    </xf>
    <xf numFmtId="43" fontId="10" fillId="0" borderId="18" xfId="1" applyFont="1" applyFill="1" applyBorder="1" applyAlignment="1">
      <alignment vertical="center"/>
    </xf>
    <xf numFmtId="41" fontId="11" fillId="0" borderId="18" xfId="9" applyNumberFormat="1" applyFont="1" applyBorder="1" applyAlignment="1">
      <alignment vertical="center" wrapText="1"/>
    </xf>
    <xf numFmtId="41" fontId="11" fillId="0" borderId="20" xfId="9" applyNumberFormat="1" applyFont="1" applyBorder="1" applyAlignment="1">
      <alignment vertical="center" wrapText="1"/>
    </xf>
    <xf numFmtId="0" fontId="10" fillId="0" borderId="30" xfId="13" applyFont="1" applyBorder="1" applyAlignment="1">
      <alignment horizontal="left" vertical="center" indent="9"/>
    </xf>
    <xf numFmtId="0" fontId="10" fillId="0" borderId="32" xfId="13" applyFont="1" applyBorder="1" applyAlignment="1">
      <alignment horizontal="left" vertical="center"/>
    </xf>
    <xf numFmtId="189" fontId="10" fillId="0" borderId="30" xfId="1" applyNumberFormat="1" applyFont="1" applyBorder="1" applyAlignment="1">
      <alignment vertical="center"/>
    </xf>
    <xf numFmtId="43" fontId="10" fillId="0" borderId="30" xfId="1" applyFont="1" applyBorder="1" applyAlignment="1">
      <alignment vertical="center"/>
    </xf>
    <xf numFmtId="3" fontId="10" fillId="0" borderId="30" xfId="9" applyNumberFormat="1" applyFont="1" applyBorder="1" applyAlignment="1">
      <alignment vertical="center"/>
    </xf>
    <xf numFmtId="3" fontId="10" fillId="0" borderId="31" xfId="9" applyNumberFormat="1" applyFont="1" applyBorder="1" applyAlignment="1">
      <alignment vertical="center"/>
    </xf>
    <xf numFmtId="0" fontId="11" fillId="0" borderId="23" xfId="13" applyFont="1" applyBorder="1" applyAlignment="1">
      <alignment horizontal="left" vertical="center" indent="7"/>
    </xf>
    <xf numFmtId="0" fontId="11" fillId="0" borderId="18" xfId="13" applyFont="1" applyBorder="1" applyAlignment="1">
      <alignment horizontal="left" vertical="center" indent="9"/>
    </xf>
    <xf numFmtId="0" fontId="11" fillId="0" borderId="19" xfId="9" applyFont="1" applyBorder="1" applyAlignment="1">
      <alignment horizontal="left" vertical="center" indent="6"/>
    </xf>
    <xf numFmtId="0" fontId="10" fillId="0" borderId="18" xfId="9" applyFont="1" applyBorder="1" applyAlignment="1">
      <alignment horizontal="left" vertical="center" indent="8"/>
    </xf>
    <xf numFmtId="0" fontId="10" fillId="0" borderId="19" xfId="9" applyFont="1" applyBorder="1" applyAlignment="1">
      <alignment horizontal="left" vertical="center"/>
    </xf>
    <xf numFmtId="189" fontId="10" fillId="8" borderId="18" xfId="1" applyNumberFormat="1" applyFont="1" applyFill="1" applyBorder="1" applyAlignment="1">
      <alignment vertical="center"/>
    </xf>
    <xf numFmtId="43" fontId="10" fillId="0" borderId="20" xfId="1" applyFont="1" applyFill="1" applyBorder="1" applyAlignment="1">
      <alignment vertical="center"/>
    </xf>
    <xf numFmtId="41" fontId="11" fillId="0" borderId="22" xfId="9" applyNumberFormat="1" applyFont="1" applyBorder="1" applyAlignment="1">
      <alignment vertical="center" wrapText="1"/>
    </xf>
    <xf numFmtId="0" fontId="11" fillId="9" borderId="17" xfId="9" applyFont="1" applyFill="1" applyBorder="1" applyAlignment="1">
      <alignment horizontal="left" vertical="center" indent="7"/>
    </xf>
    <xf numFmtId="0" fontId="11" fillId="9" borderId="18" xfId="9" applyFont="1" applyFill="1" applyBorder="1" applyAlignment="1">
      <alignment horizontal="left" vertical="center" indent="7"/>
    </xf>
    <xf numFmtId="0" fontId="11" fillId="9" borderId="19" xfId="9" applyFont="1" applyFill="1" applyBorder="1" applyAlignment="1">
      <alignment horizontal="left" vertical="center" indent="7"/>
    </xf>
    <xf numFmtId="0" fontId="11" fillId="0" borderId="17" xfId="9" applyFont="1" applyBorder="1" applyAlignment="1">
      <alignment horizontal="left" vertical="center" indent="6"/>
    </xf>
    <xf numFmtId="41" fontId="11" fillId="0" borderId="18" xfId="9" applyNumberFormat="1" applyFont="1" applyBorder="1" applyAlignment="1" applyProtection="1">
      <alignment vertical="center"/>
      <protection locked="0"/>
    </xf>
    <xf numFmtId="189" fontId="11" fillId="7" borderId="14" xfId="1" applyNumberFormat="1" applyFont="1" applyFill="1" applyBorder="1" applyAlignment="1">
      <alignment vertical="center"/>
    </xf>
    <xf numFmtId="43" fontId="11" fillId="7" borderId="14" xfId="1" applyFont="1" applyFill="1" applyBorder="1" applyAlignment="1">
      <alignment vertical="center"/>
    </xf>
    <xf numFmtId="189" fontId="10" fillId="0" borderId="22" xfId="1" applyNumberFormat="1" applyFont="1" applyFill="1" applyBorder="1" applyAlignment="1">
      <alignment vertical="center"/>
    </xf>
    <xf numFmtId="0" fontId="10" fillId="0" borderId="18" xfId="13" applyFont="1" applyBorder="1" applyAlignment="1">
      <alignment horizontal="left" vertical="center" indent="7"/>
    </xf>
    <xf numFmtId="0" fontId="10" fillId="0" borderId="18" xfId="9" applyFont="1" applyBorder="1" applyAlignment="1">
      <alignment horizontal="left" vertical="center"/>
    </xf>
    <xf numFmtId="43" fontId="11" fillId="4" borderId="22" xfId="1" applyFont="1" applyFill="1" applyBorder="1" applyAlignment="1">
      <alignment vertical="center"/>
    </xf>
    <xf numFmtId="41" fontId="11" fillId="4" borderId="22" xfId="9" applyNumberFormat="1" applyFont="1" applyFill="1" applyBorder="1" applyAlignment="1" applyProtection="1">
      <alignment vertical="center"/>
      <protection locked="0"/>
    </xf>
    <xf numFmtId="41" fontId="11" fillId="4" borderId="24" xfId="9" applyNumberFormat="1" applyFont="1" applyFill="1" applyBorder="1" applyAlignment="1" applyProtection="1">
      <alignment vertical="center"/>
      <protection locked="0"/>
    </xf>
    <xf numFmtId="41" fontId="11" fillId="5" borderId="18" xfId="9" applyNumberFormat="1" applyFont="1" applyFill="1" applyBorder="1" applyAlignment="1" applyProtection="1">
      <alignment vertical="center"/>
      <protection locked="0"/>
    </xf>
    <xf numFmtId="41" fontId="11" fillId="5" borderId="20" xfId="9" applyNumberFormat="1" applyFont="1" applyFill="1" applyBorder="1" applyAlignment="1" applyProtection="1">
      <alignment vertical="center"/>
      <protection locked="0"/>
    </xf>
    <xf numFmtId="0" fontId="11" fillId="0" borderId="18" xfId="9" applyFont="1" applyBorder="1" applyAlignment="1">
      <alignment vertical="center"/>
    </xf>
    <xf numFmtId="0" fontId="11" fillId="0" borderId="19" xfId="9" applyFont="1" applyBorder="1" applyAlignment="1">
      <alignment vertical="center"/>
    </xf>
    <xf numFmtId="0" fontId="11" fillId="11" borderId="17" xfId="9" applyFont="1" applyFill="1" applyBorder="1" applyAlignment="1">
      <alignment vertical="center"/>
    </xf>
    <xf numFmtId="0" fontId="11" fillId="11" borderId="18" xfId="9" applyFont="1" applyFill="1" applyBorder="1" applyAlignment="1">
      <alignment vertical="center"/>
    </xf>
    <xf numFmtId="0" fontId="11" fillId="11" borderId="19" xfId="9" applyFont="1" applyFill="1" applyBorder="1" applyAlignment="1">
      <alignment vertical="center"/>
    </xf>
    <xf numFmtId="0" fontId="11" fillId="12" borderId="17" xfId="9" applyFont="1" applyFill="1" applyBorder="1" applyAlignment="1">
      <alignment vertical="center"/>
    </xf>
    <xf numFmtId="0" fontId="11" fillId="12" borderId="18" xfId="9" applyFont="1" applyFill="1" applyBorder="1" applyAlignment="1">
      <alignment vertical="center"/>
    </xf>
    <xf numFmtId="0" fontId="11" fillId="12" borderId="19" xfId="9" applyFont="1" applyFill="1" applyBorder="1" applyAlignment="1">
      <alignment vertical="center"/>
    </xf>
    <xf numFmtId="189" fontId="11" fillId="12" borderId="18" xfId="1" applyNumberFormat="1" applyFont="1" applyFill="1" applyBorder="1" applyAlignment="1">
      <alignment vertical="center"/>
    </xf>
    <xf numFmtId="43" fontId="11" fillId="12" borderId="18" xfId="1" applyFont="1" applyFill="1" applyBorder="1" applyAlignment="1">
      <alignment vertical="center"/>
    </xf>
    <xf numFmtId="0" fontId="11" fillId="7" borderId="17" xfId="13" applyFont="1" applyFill="1" applyBorder="1" applyAlignment="1">
      <alignment vertical="center"/>
    </xf>
    <xf numFmtId="0" fontId="11" fillId="7" borderId="18" xfId="13" applyFont="1" applyFill="1" applyBorder="1" applyAlignment="1">
      <alignment vertical="center" wrapText="1"/>
    </xf>
    <xf numFmtId="0" fontId="11" fillId="7" borderId="19" xfId="13" applyFont="1" applyFill="1" applyBorder="1" applyAlignment="1">
      <alignment vertical="center" wrapText="1"/>
    </xf>
    <xf numFmtId="0" fontId="11" fillId="0" borderId="17" xfId="13" applyFont="1" applyBorder="1" applyAlignment="1">
      <alignment vertical="center"/>
    </xf>
    <xf numFmtId="0" fontId="11" fillId="0" borderId="18" xfId="13" applyFont="1" applyBorder="1" applyAlignment="1">
      <alignment vertical="center"/>
    </xf>
    <xf numFmtId="0" fontId="11" fillId="0" borderId="19" xfId="13" applyFont="1" applyBorder="1" applyAlignment="1">
      <alignment vertical="center" wrapText="1"/>
    </xf>
    <xf numFmtId="41" fontId="11" fillId="0" borderId="18" xfId="13" applyNumberFormat="1" applyFont="1" applyBorder="1" applyAlignment="1">
      <alignment vertical="center" wrapText="1"/>
    </xf>
    <xf numFmtId="41" fontId="11" fillId="0" borderId="20" xfId="13" applyNumberFormat="1" applyFont="1" applyBorder="1" applyAlignment="1">
      <alignment vertical="center" wrapText="1"/>
    </xf>
    <xf numFmtId="0" fontId="11" fillId="0" borderId="18" xfId="13" applyFont="1" applyBorder="1" applyAlignment="1">
      <alignment horizontal="left" vertical="center" indent="3"/>
    </xf>
    <xf numFmtId="0" fontId="10" fillId="0" borderId="18" xfId="13" applyFont="1" applyBorder="1" applyAlignment="1">
      <alignment vertical="center" wrapText="1"/>
    </xf>
    <xf numFmtId="0" fontId="10" fillId="0" borderId="19" xfId="13" applyFont="1" applyBorder="1" applyAlignment="1">
      <alignment vertical="center" wrapText="1"/>
    </xf>
    <xf numFmtId="41" fontId="10" fillId="0" borderId="20" xfId="13" applyNumberFormat="1" applyFont="1" applyBorder="1" applyAlignment="1">
      <alignment vertical="center" wrapText="1"/>
    </xf>
    <xf numFmtId="0" fontId="11" fillId="0" borderId="17" xfId="9" applyFont="1" applyBorder="1" applyAlignment="1">
      <alignment vertical="center"/>
    </xf>
    <xf numFmtId="189" fontId="11" fillId="0" borderId="20" xfId="1" applyNumberFormat="1" applyFont="1" applyBorder="1" applyAlignment="1">
      <alignment vertical="center"/>
    </xf>
    <xf numFmtId="0" fontId="10" fillId="0" borderId="18" xfId="9" applyFont="1" applyBorder="1" applyAlignment="1">
      <alignment vertical="center"/>
    </xf>
    <xf numFmtId="189" fontId="11" fillId="0" borderId="31" xfId="1" applyNumberFormat="1" applyFont="1" applyBorder="1" applyAlignment="1">
      <alignment vertical="center"/>
    </xf>
    <xf numFmtId="0" fontId="10" fillId="0" borderId="0" xfId="9" applyFont="1" applyAlignment="1">
      <alignment horizontal="left"/>
    </xf>
    <xf numFmtId="189" fontId="10" fillId="0" borderId="0" xfId="9" applyNumberFormat="1" applyFont="1" applyAlignment="1">
      <alignment horizontal="left"/>
    </xf>
    <xf numFmtId="41" fontId="10" fillId="0" borderId="0" xfId="9" applyNumberFormat="1" applyFont="1" applyAlignment="1">
      <alignment horizontal="left"/>
    </xf>
    <xf numFmtId="189" fontId="10" fillId="0" borderId="0" xfId="1" applyNumberFormat="1" applyFont="1" applyBorder="1"/>
    <xf numFmtId="43" fontId="10" fillId="0" borderId="0" xfId="1" applyFont="1" applyBorder="1"/>
    <xf numFmtId="3" fontId="10" fillId="0" borderId="0" xfId="9" applyNumberFormat="1" applyFont="1"/>
    <xf numFmtId="189" fontId="10" fillId="0" borderId="0" xfId="9" applyNumberFormat="1" applyFont="1" applyAlignment="1">
      <alignment horizontal="right"/>
    </xf>
    <xf numFmtId="41" fontId="10" fillId="0" borderId="0" xfId="9" applyNumberFormat="1" applyFont="1" applyAlignment="1">
      <alignment horizontal="right"/>
    </xf>
    <xf numFmtId="41" fontId="11" fillId="5" borderId="18" xfId="9" applyNumberFormat="1" applyFont="1" applyFill="1" applyBorder="1" applyAlignment="1">
      <alignment horizontal="left" vertical="center"/>
    </xf>
    <xf numFmtId="190" fontId="11" fillId="5" borderId="18" xfId="9" applyNumberFormat="1" applyFont="1" applyFill="1" applyBorder="1" applyAlignment="1">
      <alignment horizontal="left" vertical="center"/>
    </xf>
    <xf numFmtId="0" fontId="10" fillId="0" borderId="0" xfId="9" applyFont="1" applyAlignment="1">
      <alignment horizontal="left" vertical="center"/>
    </xf>
    <xf numFmtId="0" fontId="18" fillId="0" borderId="18" xfId="13" applyFont="1" applyBorder="1" applyAlignment="1">
      <alignment horizontal="left" vertical="center"/>
    </xf>
    <xf numFmtId="0" fontId="11" fillId="0" borderId="17" xfId="13" applyFont="1" applyBorder="1" applyAlignment="1">
      <alignment horizontal="left" vertical="center" indent="9"/>
    </xf>
    <xf numFmtId="0" fontId="10" fillId="0" borderId="22" xfId="9" applyFont="1" applyBorder="1"/>
    <xf numFmtId="189" fontId="11" fillId="0" borderId="22" xfId="1" applyNumberFormat="1" applyFont="1" applyBorder="1" applyAlignment="1">
      <alignment horizontal="center" vertical="center"/>
    </xf>
    <xf numFmtId="0" fontId="19" fillId="0" borderId="18" xfId="13" applyFont="1" applyBorder="1" applyAlignment="1">
      <alignment horizontal="left" vertical="center"/>
    </xf>
    <xf numFmtId="0" fontId="20" fillId="0" borderId="18" xfId="13" applyFont="1" applyBorder="1" applyAlignment="1">
      <alignment horizontal="left" vertical="center"/>
    </xf>
    <xf numFmtId="3" fontId="10" fillId="0" borderId="19" xfId="9" applyNumberFormat="1" applyFont="1" applyBorder="1" applyAlignment="1">
      <alignment vertical="center"/>
    </xf>
    <xf numFmtId="0" fontId="11" fillId="13" borderId="0" xfId="9" applyFont="1" applyFill="1" applyAlignment="1">
      <alignment vertical="center"/>
    </xf>
    <xf numFmtId="0" fontId="11" fillId="13" borderId="17" xfId="13" applyFont="1" applyFill="1" applyBorder="1" applyAlignment="1">
      <alignment horizontal="left" vertical="center" indent="9"/>
    </xf>
    <xf numFmtId="0" fontId="11" fillId="13" borderId="18" xfId="13" applyFont="1" applyFill="1" applyBorder="1" applyAlignment="1">
      <alignment horizontal="left" vertical="center" indent="2"/>
    </xf>
    <xf numFmtId="0" fontId="11" fillId="13" borderId="19" xfId="9" applyFont="1" applyFill="1" applyBorder="1" applyAlignment="1">
      <alignment horizontal="left" vertical="center" indent="7"/>
    </xf>
    <xf numFmtId="189" fontId="11" fillId="13" borderId="18" xfId="1" applyNumberFormat="1" applyFont="1" applyFill="1" applyBorder="1" applyAlignment="1">
      <alignment vertical="center"/>
    </xf>
    <xf numFmtId="43" fontId="11" fillId="13" borderId="18" xfId="1" applyFont="1" applyFill="1" applyBorder="1" applyAlignment="1">
      <alignment vertical="center"/>
    </xf>
    <xf numFmtId="3" fontId="11" fillId="13" borderId="18" xfId="9" applyNumberFormat="1" applyFont="1" applyFill="1" applyBorder="1" applyAlignment="1">
      <alignment vertical="center"/>
    </xf>
    <xf numFmtId="3" fontId="11" fillId="13" borderId="19" xfId="9" applyNumberFormat="1" applyFont="1" applyFill="1" applyBorder="1" applyAlignment="1">
      <alignment vertical="center"/>
    </xf>
    <xf numFmtId="0" fontId="11" fillId="0" borderId="17" xfId="13" applyFont="1" applyBorder="1" applyAlignment="1">
      <alignment horizontal="left" vertical="top"/>
    </xf>
    <xf numFmtId="0" fontId="11" fillId="0" borderId="18" xfId="13" applyFont="1" applyBorder="1" applyAlignment="1">
      <alignment horizontal="left" vertical="top"/>
    </xf>
    <xf numFmtId="0" fontId="11" fillId="0" borderId="19" xfId="13" applyFont="1" applyBorder="1" applyAlignment="1">
      <alignment horizontal="left" vertical="top"/>
    </xf>
    <xf numFmtId="41" fontId="11" fillId="0" borderId="18" xfId="9" applyNumberFormat="1" applyFont="1" applyBorder="1" applyAlignment="1">
      <alignment vertical="top" wrapText="1"/>
    </xf>
    <xf numFmtId="43" fontId="11" fillId="0" borderId="18" xfId="1" applyFont="1" applyBorder="1" applyAlignment="1">
      <alignment vertical="top"/>
    </xf>
    <xf numFmtId="0" fontId="18" fillId="0" borderId="18" xfId="9" applyFont="1" applyBorder="1" applyAlignment="1">
      <alignment vertical="center"/>
    </xf>
    <xf numFmtId="189" fontId="18" fillId="0" borderId="0" xfId="9" applyNumberFormat="1" applyFont="1" applyAlignment="1">
      <alignment horizontal="left"/>
    </xf>
    <xf numFmtId="41" fontId="18" fillId="0" borderId="0" xfId="9" applyNumberFormat="1" applyFont="1" applyAlignment="1">
      <alignment horizontal="left"/>
    </xf>
    <xf numFmtId="189" fontId="18" fillId="0" borderId="0" xfId="1" applyNumberFormat="1" applyFont="1" applyBorder="1"/>
    <xf numFmtId="43" fontId="18" fillId="0" borderId="0" xfId="1" applyFont="1" applyBorder="1"/>
    <xf numFmtId="0" fontId="18" fillId="0" borderId="0" xfId="9" applyFont="1"/>
    <xf numFmtId="3" fontId="18" fillId="0" borderId="0" xfId="9" applyNumberFormat="1" applyFont="1"/>
    <xf numFmtId="3" fontId="11" fillId="0" borderId="23" xfId="9" applyNumberFormat="1" applyFont="1" applyBorder="1" applyAlignment="1">
      <alignment vertical="center"/>
    </xf>
    <xf numFmtId="0" fontId="18" fillId="0" borderId="22" xfId="9" applyFont="1" applyBorder="1" applyAlignment="1">
      <alignment horizontal="left" vertical="center"/>
    </xf>
    <xf numFmtId="0" fontId="24" fillId="0" borderId="19" xfId="13" applyFont="1" applyBorder="1" applyAlignment="1">
      <alignment horizontal="left" vertical="center" indent="7"/>
    </xf>
    <xf numFmtId="0" fontId="10" fillId="0" borderId="19" xfId="13" applyFont="1" applyBorder="1" applyAlignment="1">
      <alignment horizontal="left" vertical="center" wrapText="1" indent="1"/>
    </xf>
    <xf numFmtId="0" fontId="10" fillId="0" borderId="17" xfId="13" applyFont="1" applyBorder="1" applyAlignment="1">
      <alignment vertical="center"/>
    </xf>
    <xf numFmtId="0" fontId="11" fillId="0" borderId="19" xfId="13" applyFont="1" applyBorder="1" applyAlignment="1">
      <alignment horizontal="left" vertical="center" wrapText="1" indent="1"/>
    </xf>
    <xf numFmtId="0" fontId="11" fillId="0" borderId="18" xfId="13" applyFont="1" applyBorder="1" applyAlignment="1">
      <alignment vertical="center" wrapText="1"/>
    </xf>
    <xf numFmtId="0" fontId="11" fillId="0" borderId="17" xfId="13" applyFont="1" applyBorder="1" applyAlignment="1">
      <alignment horizontal="left" vertical="center" indent="2"/>
    </xf>
    <xf numFmtId="0" fontId="11" fillId="0" borderId="0" xfId="9" applyFont="1"/>
    <xf numFmtId="0" fontId="10" fillId="0" borderId="19" xfId="13" applyFont="1" applyBorder="1" applyAlignment="1">
      <alignment horizontal="left" vertical="center" wrapText="1" indent="2"/>
    </xf>
    <xf numFmtId="0" fontId="11" fillId="0" borderId="19" xfId="13" applyFont="1" applyBorder="1" applyAlignment="1">
      <alignment horizontal="left" vertical="center" wrapText="1"/>
    </xf>
    <xf numFmtId="0" fontId="10" fillId="0" borderId="19" xfId="9" applyFont="1" applyBorder="1" applyAlignment="1">
      <alignment horizontal="left" vertical="center" indent="2"/>
    </xf>
    <xf numFmtId="189" fontId="10" fillId="0" borderId="20" xfId="1" applyNumberFormat="1" applyFont="1" applyBorder="1" applyAlignment="1">
      <alignment vertical="center"/>
    </xf>
    <xf numFmtId="189" fontId="11" fillId="0" borderId="30" xfId="1" applyNumberFormat="1" applyFont="1" applyBorder="1" applyAlignment="1">
      <alignment vertical="center"/>
    </xf>
    <xf numFmtId="189" fontId="11" fillId="0" borderId="0" xfId="1" applyNumberFormat="1" applyFont="1" applyBorder="1"/>
    <xf numFmtId="43" fontId="11" fillId="0" borderId="0" xfId="1" applyFont="1" applyBorder="1"/>
    <xf numFmtId="3" fontId="11" fillId="0" borderId="0" xfId="9" applyNumberFormat="1" applyFont="1"/>
    <xf numFmtId="0" fontId="11" fillId="7" borderId="16" xfId="13" applyFont="1" applyFill="1" applyBorder="1" applyAlignment="1">
      <alignment vertical="center"/>
    </xf>
    <xf numFmtId="43" fontId="11" fillId="0" borderId="20" xfId="1" applyFont="1" applyBorder="1" applyAlignment="1">
      <alignment vertical="center"/>
    </xf>
    <xf numFmtId="43" fontId="10" fillId="0" borderId="20" xfId="1" applyFont="1" applyBorder="1" applyAlignment="1">
      <alignment vertical="center"/>
    </xf>
    <xf numFmtId="41" fontId="11" fillId="0" borderId="20" xfId="1" applyNumberFormat="1" applyFont="1" applyBorder="1" applyAlignment="1">
      <alignment vertical="center" wrapText="1"/>
    </xf>
    <xf numFmtId="189" fontId="10" fillId="0" borderId="20" xfId="9" applyNumberFormat="1" applyFont="1" applyBorder="1" applyAlignment="1">
      <alignment horizontal="right"/>
    </xf>
    <xf numFmtId="41" fontId="10" fillId="0" borderId="20" xfId="9" applyNumberFormat="1" applyFont="1" applyBorder="1" applyAlignment="1">
      <alignment horizontal="right"/>
    </xf>
    <xf numFmtId="189" fontId="10" fillId="0" borderId="20" xfId="1" applyNumberFormat="1" applyFont="1" applyBorder="1"/>
    <xf numFmtId="189" fontId="11" fillId="0" borderId="20" xfId="9" applyNumberFormat="1" applyFont="1" applyBorder="1" applyAlignment="1">
      <alignment horizontal="right"/>
    </xf>
    <xf numFmtId="41" fontId="11" fillId="0" borderId="20" xfId="9" applyNumberFormat="1" applyFont="1" applyBorder="1" applyAlignment="1">
      <alignment horizontal="right"/>
    </xf>
    <xf numFmtId="189" fontId="11" fillId="0" borderId="20" xfId="1" applyNumberFormat="1" applyFont="1" applyBorder="1"/>
    <xf numFmtId="189" fontId="10" fillId="0" borderId="31" xfId="9" applyNumberFormat="1" applyFont="1" applyBorder="1" applyAlignment="1">
      <alignment horizontal="right"/>
    </xf>
    <xf numFmtId="41" fontId="10" fillId="0" borderId="31" xfId="9" applyNumberFormat="1" applyFont="1" applyBorder="1" applyAlignment="1">
      <alignment horizontal="right"/>
    </xf>
    <xf numFmtId="189" fontId="10" fillId="0" borderId="31" xfId="1" applyNumberFormat="1" applyFont="1" applyBorder="1"/>
    <xf numFmtId="0" fontId="11" fillId="7" borderId="13" xfId="13" applyFont="1" applyFill="1" applyBorder="1" applyAlignment="1">
      <alignment vertical="center" wrapText="1"/>
    </xf>
    <xf numFmtId="0" fontId="10" fillId="0" borderId="17" xfId="9" applyFont="1" applyBorder="1" applyAlignment="1">
      <alignment horizontal="left"/>
    </xf>
    <xf numFmtId="0" fontId="11" fillId="0" borderId="17" xfId="9" applyFont="1" applyBorder="1" applyAlignment="1">
      <alignment horizontal="left"/>
    </xf>
    <xf numFmtId="0" fontId="10" fillId="0" borderId="29" xfId="9" applyFont="1" applyBorder="1" applyAlignment="1">
      <alignment horizontal="left"/>
    </xf>
    <xf numFmtId="0" fontId="11" fillId="7" borderId="15" xfId="13" applyFont="1" applyFill="1" applyBorder="1" applyAlignment="1">
      <alignment vertical="center" wrapText="1"/>
    </xf>
    <xf numFmtId="0" fontId="10" fillId="0" borderId="19" xfId="9" applyFont="1" applyBorder="1"/>
    <xf numFmtId="0" fontId="10" fillId="0" borderId="19" xfId="9" applyFont="1" applyBorder="1" applyAlignment="1">
      <alignment horizontal="left" indent="2"/>
    </xf>
    <xf numFmtId="0" fontId="11" fillId="0" borderId="19" xfId="9" applyFont="1" applyBorder="1" applyAlignment="1">
      <alignment horizontal="left"/>
    </xf>
    <xf numFmtId="0" fontId="10" fillId="0" borderId="32" xfId="9" applyFont="1" applyBorder="1" applyAlignment="1">
      <alignment horizontal="left" indent="2"/>
    </xf>
    <xf numFmtId="0" fontId="10" fillId="0" borderId="18" xfId="9" applyFont="1" applyBorder="1" applyAlignment="1">
      <alignment horizontal="left"/>
    </xf>
    <xf numFmtId="0" fontId="11" fillId="0" borderId="18" xfId="9" applyFont="1" applyBorder="1" applyAlignment="1">
      <alignment horizontal="left"/>
    </xf>
    <xf numFmtId="0" fontId="10" fillId="0" borderId="30" xfId="9" applyFont="1" applyBorder="1" applyAlignment="1">
      <alignment horizontal="left"/>
    </xf>
    <xf numFmtId="0" fontId="10" fillId="0" borderId="17" xfId="9" applyFont="1" applyBorder="1"/>
    <xf numFmtId="0" fontId="11" fillId="0" borderId="21" xfId="9" applyFont="1" applyBorder="1" applyAlignment="1">
      <alignment vertical="center"/>
    </xf>
    <xf numFmtId="0" fontId="11" fillId="0" borderId="22" xfId="9" applyFont="1" applyBorder="1" applyAlignment="1">
      <alignment horizontal="left" vertical="center"/>
    </xf>
    <xf numFmtId="189" fontId="11" fillId="0" borderId="22" xfId="1" applyNumberFormat="1" applyFont="1" applyFill="1" applyBorder="1" applyAlignment="1">
      <alignment horizontal="center" vertical="center"/>
    </xf>
    <xf numFmtId="43" fontId="11" fillId="0" borderId="22" xfId="1" applyFont="1" applyFill="1" applyBorder="1" applyAlignment="1">
      <alignment vertical="center"/>
    </xf>
    <xf numFmtId="189" fontId="11" fillId="0" borderId="22" xfId="1" applyNumberFormat="1" applyFont="1" applyFill="1" applyBorder="1" applyAlignment="1">
      <alignment vertical="center"/>
    </xf>
    <xf numFmtId="0" fontId="10" fillId="0" borderId="19" xfId="13" applyFont="1" applyBorder="1" applyAlignment="1">
      <alignment vertical="center"/>
    </xf>
    <xf numFmtId="0" fontId="26" fillId="0" borderId="19" xfId="13" applyFont="1" applyBorder="1" applyAlignment="1">
      <alignment horizontal="left" vertical="center" indent="7"/>
    </xf>
    <xf numFmtId="0" fontId="10" fillId="0" borderId="18" xfId="13" applyFont="1" applyBorder="1" applyAlignment="1">
      <alignment horizontal="left" vertical="center" indent="1"/>
    </xf>
    <xf numFmtId="189" fontId="21" fillId="0" borderId="26" xfId="1" applyNumberFormat="1" applyFont="1" applyBorder="1" applyAlignment="1">
      <alignment vertical="center"/>
    </xf>
    <xf numFmtId="43" fontId="21" fillId="0" borderId="26" xfId="1" applyFont="1" applyBorder="1" applyAlignment="1">
      <alignment vertical="center"/>
    </xf>
    <xf numFmtId="0" fontId="27" fillId="0" borderId="18" xfId="9" applyFont="1" applyBorder="1" applyAlignment="1">
      <alignment horizontal="left" vertical="center"/>
    </xf>
    <xf numFmtId="0" fontId="27" fillId="0" borderId="19" xfId="9" applyFont="1" applyBorder="1" applyAlignment="1">
      <alignment horizontal="left" vertical="center" indent="7"/>
    </xf>
    <xf numFmtId="0" fontId="28" fillId="0" borderId="0" xfId="9" applyFont="1" applyAlignment="1">
      <alignment horizontal="left"/>
    </xf>
    <xf numFmtId="0" fontId="27" fillId="0" borderId="18" xfId="13" applyFont="1" applyBorder="1" applyAlignment="1">
      <alignment horizontal="left" vertical="center"/>
    </xf>
    <xf numFmtId="0" fontId="23" fillId="0" borderId="18" xfId="13" applyFont="1" applyBorder="1" applyAlignment="1">
      <alignment horizontal="left" vertical="center"/>
    </xf>
    <xf numFmtId="43" fontId="10" fillId="0" borderId="22" xfId="1" applyFont="1" applyFill="1" applyBorder="1" applyAlignment="1">
      <alignment vertical="center"/>
    </xf>
    <xf numFmtId="0" fontId="11" fillId="0" borderId="27" xfId="13" applyFont="1" applyBorder="1" applyAlignment="1">
      <alignment horizontal="left" vertical="center" indent="7"/>
    </xf>
    <xf numFmtId="0" fontId="10" fillId="0" borderId="19" xfId="9" applyFont="1" applyBorder="1" applyAlignment="1">
      <alignment vertical="center"/>
    </xf>
    <xf numFmtId="0" fontId="11" fillId="0" borderId="22" xfId="9" applyFont="1" applyBorder="1" applyAlignment="1">
      <alignment vertical="center"/>
    </xf>
    <xf numFmtId="0" fontId="11" fillId="0" borderId="11" xfId="9" applyFont="1" applyBorder="1"/>
    <xf numFmtId="0" fontId="11" fillId="0" borderId="18" xfId="13" applyFont="1" applyBorder="1" applyAlignment="1">
      <alignment horizontal="left" vertical="center" indent="7"/>
    </xf>
    <xf numFmtId="0" fontId="11" fillId="0" borderId="18" xfId="9" applyFont="1" applyBorder="1" applyAlignment="1">
      <alignment horizontal="left" vertical="center" indent="6"/>
    </xf>
    <xf numFmtId="0" fontId="10" fillId="0" borderId="18" xfId="9" applyFont="1" applyBorder="1" applyAlignment="1">
      <alignment horizontal="left" vertical="center" indent="1"/>
    </xf>
    <xf numFmtId="0" fontId="11" fillId="0" borderId="13" xfId="13" applyFont="1" applyBorder="1" applyAlignment="1">
      <alignment horizontal="left" vertical="center" indent="7"/>
    </xf>
    <xf numFmtId="0" fontId="11" fillId="0" borderId="14" xfId="13" applyFont="1" applyBorder="1" applyAlignment="1">
      <alignment horizontal="left" vertical="center"/>
    </xf>
    <xf numFmtId="0" fontId="11" fillId="0" borderId="15" xfId="13" applyFont="1" applyBorder="1" applyAlignment="1">
      <alignment horizontal="left" vertical="center" indent="7"/>
    </xf>
    <xf numFmtId="0" fontId="11" fillId="5" borderId="21" xfId="9" applyFont="1" applyFill="1" applyBorder="1" applyAlignment="1">
      <alignment horizontal="left" vertical="center" indent="2"/>
    </xf>
    <xf numFmtId="0" fontId="11" fillId="5" borderId="22" xfId="9" applyFont="1" applyFill="1" applyBorder="1" applyAlignment="1">
      <alignment horizontal="left" vertical="center" indent="2"/>
    </xf>
    <xf numFmtId="0" fontId="11" fillId="5" borderId="23" xfId="9" applyFont="1" applyFill="1" applyBorder="1" applyAlignment="1">
      <alignment horizontal="left" vertical="center" indent="2"/>
    </xf>
    <xf numFmtId="0" fontId="10" fillId="0" borderId="19" xfId="13" applyFont="1" applyBorder="1" applyAlignment="1">
      <alignment horizontal="left" vertical="center" indent="2"/>
    </xf>
    <xf numFmtId="0" fontId="11" fillId="0" borderId="19" xfId="9" applyFont="1" applyBorder="1" applyAlignment="1">
      <alignment horizontal="left" vertical="center"/>
    </xf>
    <xf numFmtId="0" fontId="18" fillId="0" borderId="18" xfId="9" applyFont="1" applyBorder="1" applyAlignment="1">
      <alignment horizontal="left" vertical="center"/>
    </xf>
    <xf numFmtId="0" fontId="18" fillId="0" borderId="19" xfId="9" applyFont="1" applyBorder="1" applyAlignment="1">
      <alignment horizontal="left" vertical="center"/>
    </xf>
    <xf numFmtId="0" fontId="11" fillId="0" borderId="29" xfId="9" applyFont="1" applyBorder="1" applyAlignment="1">
      <alignment horizontal="left" vertical="center" indent="7"/>
    </xf>
    <xf numFmtId="0" fontId="11" fillId="0" borderId="30" xfId="9" applyFont="1" applyBorder="1" applyAlignment="1">
      <alignment horizontal="left" vertical="center"/>
    </xf>
    <xf numFmtId="0" fontId="11" fillId="0" borderId="32" xfId="9" applyFont="1" applyBorder="1" applyAlignment="1">
      <alignment horizontal="left" vertical="center"/>
    </xf>
    <xf numFmtId="0" fontId="11" fillId="0" borderId="30" xfId="13" applyFont="1" applyBorder="1" applyAlignment="1">
      <alignment horizontal="left" vertical="center"/>
    </xf>
    <xf numFmtId="0" fontId="11" fillId="0" borderId="32" xfId="13" applyFont="1" applyBorder="1" applyAlignment="1">
      <alignment horizontal="left" vertical="center" indent="7"/>
    </xf>
    <xf numFmtId="0" fontId="11" fillId="0" borderId="14" xfId="9" applyFont="1" applyBorder="1" applyAlignment="1">
      <alignment horizontal="left" vertical="center"/>
    </xf>
    <xf numFmtId="0" fontId="11" fillId="0" borderId="15" xfId="9" applyFont="1" applyBorder="1" applyAlignment="1">
      <alignment horizontal="left" vertical="center" indent="6"/>
    </xf>
    <xf numFmtId="0" fontId="10" fillId="0" borderId="18" xfId="9" applyFont="1" applyBorder="1" applyAlignment="1">
      <alignment horizontal="left" vertical="center" indent="2"/>
    </xf>
    <xf numFmtId="0" fontId="11" fillId="0" borderId="17" xfId="9" applyFont="1" applyBorder="1" applyAlignment="1">
      <alignment horizontal="left" vertical="center" wrapText="1" indent="7"/>
    </xf>
    <xf numFmtId="0" fontId="11" fillId="0" borderId="19" xfId="9" applyFont="1" applyBorder="1" applyAlignment="1">
      <alignment horizontal="left" vertical="center" wrapText="1"/>
    </xf>
    <xf numFmtId="0" fontId="18" fillId="0" borderId="19" xfId="9" applyFont="1" applyBorder="1" applyAlignment="1">
      <alignment horizontal="left" vertical="center" wrapText="1"/>
    </xf>
    <xf numFmtId="0" fontId="11" fillId="0" borderId="30" xfId="9" applyFont="1" applyBorder="1" applyAlignment="1">
      <alignment vertical="center"/>
    </xf>
    <xf numFmtId="0" fontId="11" fillId="0" borderId="14" xfId="9" applyFont="1" applyBorder="1" applyAlignment="1">
      <alignment horizontal="left" vertical="center" indent="6"/>
    </xf>
    <xf numFmtId="0" fontId="11" fillId="0" borderId="18" xfId="9" applyFont="1" applyBorder="1" applyAlignment="1">
      <alignment horizontal="left" vertical="center" indent="3"/>
    </xf>
    <xf numFmtId="0" fontId="11" fillId="0" borderId="19" xfId="9" applyFont="1" applyBorder="1" applyAlignment="1">
      <alignment horizontal="left" vertical="center" indent="9"/>
    </xf>
    <xf numFmtId="0" fontId="18" fillId="0" borderId="17" xfId="9" applyFont="1" applyBorder="1" applyAlignment="1">
      <alignment horizontal="left" indent="4"/>
    </xf>
    <xf numFmtId="0" fontId="18" fillId="0" borderId="19" xfId="9" applyFont="1" applyBorder="1" applyAlignment="1">
      <alignment horizontal="left"/>
    </xf>
    <xf numFmtId="0" fontId="10" fillId="0" borderId="17" xfId="9" applyFont="1" applyBorder="1" applyAlignment="1">
      <alignment horizontal="left" indent="4"/>
    </xf>
    <xf numFmtId="0" fontId="10" fillId="0" borderId="19" xfId="9" applyFont="1" applyBorder="1" applyAlignment="1">
      <alignment horizontal="left"/>
    </xf>
    <xf numFmtId="0" fontId="11" fillId="4" borderId="17" xfId="9" applyFont="1" applyFill="1" applyBorder="1" applyAlignment="1">
      <alignment vertical="center"/>
    </xf>
    <xf numFmtId="0" fontId="11" fillId="4" borderId="18" xfId="9" applyFont="1" applyFill="1" applyBorder="1" applyAlignment="1">
      <alignment vertical="center"/>
    </xf>
    <xf numFmtId="0" fontId="11" fillId="4" borderId="19" xfId="9" applyFont="1" applyFill="1" applyBorder="1" applyAlignment="1">
      <alignment vertical="center"/>
    </xf>
    <xf numFmtId="0" fontId="11" fillId="0" borderId="29" xfId="13" applyFont="1" applyBorder="1" applyAlignment="1">
      <alignment vertical="center"/>
    </xf>
    <xf numFmtId="0" fontId="10" fillId="0" borderId="32" xfId="13" applyFont="1" applyBorder="1" applyAlignment="1">
      <alignment vertical="center" wrapText="1"/>
    </xf>
    <xf numFmtId="0" fontId="11" fillId="6" borderId="21" xfId="9" applyFont="1" applyFill="1" applyBorder="1" applyAlignment="1">
      <alignment horizontal="left" vertical="center" indent="4"/>
    </xf>
    <xf numFmtId="0" fontId="11" fillId="6" borderId="22" xfId="9" applyFont="1" applyFill="1" applyBorder="1" applyAlignment="1">
      <alignment horizontal="left" vertical="center" indent="4"/>
    </xf>
    <xf numFmtId="0" fontId="11" fillId="6" borderId="23" xfId="9" applyFont="1" applyFill="1" applyBorder="1" applyAlignment="1">
      <alignment horizontal="left" vertical="center" indent="4"/>
    </xf>
    <xf numFmtId="0" fontId="11" fillId="0" borderId="17" xfId="13" applyFont="1" applyBorder="1" applyAlignment="1">
      <alignment horizontal="left" vertical="center" indent="6"/>
    </xf>
    <xf numFmtId="189" fontId="10" fillId="0" borderId="0" xfId="9" applyNumberFormat="1" applyFont="1" applyAlignment="1">
      <alignment vertical="center"/>
    </xf>
    <xf numFmtId="0" fontId="23" fillId="0" borderId="19" xfId="13" applyFont="1" applyBorder="1" applyAlignment="1">
      <alignment horizontal="left" vertical="center"/>
    </xf>
    <xf numFmtId="0" fontId="11" fillId="0" borderId="17" xfId="9" applyFont="1" applyBorder="1" applyAlignment="1">
      <alignment vertical="top"/>
    </xf>
    <xf numFmtId="0" fontId="10" fillId="0" borderId="18" xfId="9" applyFont="1" applyBorder="1" applyAlignment="1">
      <alignment vertical="top"/>
    </xf>
    <xf numFmtId="0" fontId="10" fillId="0" borderId="19" xfId="13" applyFont="1" applyBorder="1" applyAlignment="1">
      <alignment horizontal="left" vertical="top" wrapText="1"/>
    </xf>
    <xf numFmtId="189" fontId="10" fillId="0" borderId="20" xfId="1" applyNumberFormat="1" applyFont="1" applyBorder="1" applyAlignment="1">
      <alignment vertical="top"/>
    </xf>
    <xf numFmtId="43" fontId="10" fillId="0" borderId="20" xfId="1" applyFont="1" applyBorder="1" applyAlignment="1">
      <alignment vertical="top"/>
    </xf>
    <xf numFmtId="189" fontId="10" fillId="0" borderId="18" xfId="1" applyNumberFormat="1" applyFont="1" applyBorder="1" applyAlignment="1">
      <alignment vertical="top"/>
    </xf>
    <xf numFmtId="3" fontId="10" fillId="0" borderId="18" xfId="9" applyNumberFormat="1" applyFont="1" applyBorder="1" applyAlignment="1">
      <alignment vertical="top"/>
    </xf>
    <xf numFmtId="189" fontId="11" fillId="0" borderId="20" xfId="1" applyNumberFormat="1" applyFont="1" applyBorder="1" applyAlignment="1">
      <alignment vertical="top"/>
    </xf>
    <xf numFmtId="0" fontId="11" fillId="0" borderId="11" xfId="9" applyFont="1" applyBorder="1" applyAlignment="1">
      <alignment vertical="top"/>
    </xf>
    <xf numFmtId="0" fontId="10" fillId="0" borderId="20" xfId="9" applyFont="1" applyBorder="1" applyAlignment="1">
      <alignment vertical="top"/>
    </xf>
    <xf numFmtId="0" fontId="33" fillId="0" borderId="0" xfId="9" applyFont="1" applyAlignment="1">
      <alignment vertical="top"/>
    </xf>
    <xf numFmtId="0" fontId="34" fillId="0" borderId="0" xfId="9" applyFont="1" applyAlignment="1">
      <alignment vertical="top"/>
    </xf>
    <xf numFmtId="0" fontId="36" fillId="0" borderId="0" xfId="9" applyFont="1" applyAlignment="1">
      <alignment vertical="top"/>
    </xf>
    <xf numFmtId="0" fontId="11" fillId="0" borderId="0" xfId="9" applyFont="1" applyAlignment="1">
      <alignment vertical="top"/>
    </xf>
    <xf numFmtId="49" fontId="11" fillId="0" borderId="0" xfId="9" applyNumberFormat="1" applyFont="1" applyAlignment="1">
      <alignment horizontal="center" vertical="top"/>
    </xf>
    <xf numFmtId="49" fontId="10" fillId="0" borderId="0" xfId="9" applyNumberFormat="1" applyFont="1" applyAlignment="1">
      <alignment horizontal="center" vertical="top"/>
    </xf>
    <xf numFmtId="0" fontId="11" fillId="0" borderId="0" xfId="9" applyFont="1" applyAlignment="1">
      <alignment horizontal="left" vertical="top"/>
    </xf>
    <xf numFmtId="0" fontId="10" fillId="0" borderId="0" xfId="9" applyFont="1" applyAlignment="1">
      <alignment horizontal="left" vertical="top" indent="1"/>
    </xf>
    <xf numFmtId="0" fontId="10" fillId="0" borderId="0" xfId="9" applyFont="1" applyAlignment="1">
      <alignment horizontal="left" vertical="top" wrapText="1" indent="1"/>
    </xf>
    <xf numFmtId="0" fontId="11" fillId="0" borderId="0" xfId="9" applyFont="1" applyAlignment="1">
      <alignment vertical="top" wrapText="1"/>
    </xf>
    <xf numFmtId="0" fontId="10" fillId="0" borderId="0" xfId="9" applyFont="1" applyAlignment="1">
      <alignment horizontal="left" vertical="center" indent="1"/>
    </xf>
    <xf numFmtId="191" fontId="11" fillId="0" borderId="0" xfId="9" applyNumberFormat="1" applyFont="1" applyAlignment="1">
      <alignment vertical="top"/>
    </xf>
    <xf numFmtId="0" fontId="10" fillId="0" borderId="0" xfId="9" applyFont="1" applyAlignment="1">
      <alignment horizontal="center" vertical="top"/>
    </xf>
    <xf numFmtId="0" fontId="37" fillId="0" borderId="0" xfId="9" applyFont="1" applyAlignment="1">
      <alignment vertical="top"/>
    </xf>
    <xf numFmtId="0" fontId="5" fillId="0" borderId="0" xfId="9" applyAlignment="1">
      <alignment horizontal="center" vertical="top"/>
    </xf>
    <xf numFmtId="0" fontId="5" fillId="0" borderId="0" xfId="9" applyAlignment="1">
      <alignment vertical="top"/>
    </xf>
    <xf numFmtId="0" fontId="38" fillId="0" borderId="0" xfId="9" applyFont="1" applyAlignment="1">
      <alignment vertical="top"/>
    </xf>
    <xf numFmtId="0" fontId="39" fillId="0" borderId="0" xfId="9" applyFont="1" applyAlignment="1">
      <alignment vertical="top"/>
    </xf>
    <xf numFmtId="0" fontId="5" fillId="0" borderId="0" xfId="9" quotePrefix="1" applyAlignment="1">
      <alignment vertical="top"/>
    </xf>
    <xf numFmtId="2" fontId="5" fillId="0" borderId="0" xfId="9" applyNumberFormat="1" applyAlignment="1">
      <alignment vertical="top"/>
    </xf>
    <xf numFmtId="0" fontId="40" fillId="0" borderId="0" xfId="9" applyFont="1" applyAlignment="1">
      <alignment vertical="top"/>
    </xf>
    <xf numFmtId="192" fontId="30" fillId="0" borderId="0" xfId="9" applyNumberFormat="1" applyFont="1" applyAlignment="1">
      <alignment vertical="top"/>
    </xf>
    <xf numFmtId="2" fontId="30" fillId="0" borderId="0" xfId="9" applyNumberFormat="1" applyFont="1" applyAlignment="1">
      <alignment vertical="top"/>
    </xf>
    <xf numFmtId="0" fontId="38" fillId="0" borderId="0" xfId="9" quotePrefix="1" applyFont="1" applyAlignment="1">
      <alignment vertical="top"/>
    </xf>
    <xf numFmtId="2" fontId="41" fillId="0" borderId="0" xfId="9" applyNumberFormat="1" applyFont="1" applyAlignment="1">
      <alignment vertical="top"/>
    </xf>
    <xf numFmtId="2" fontId="38" fillId="0" borderId="0" xfId="9" applyNumberFormat="1" applyFont="1" applyAlignment="1">
      <alignment vertical="top"/>
    </xf>
    <xf numFmtId="193" fontId="5" fillId="0" borderId="0" xfId="9" applyNumberFormat="1" applyAlignment="1">
      <alignment vertical="top"/>
    </xf>
    <xf numFmtId="194" fontId="5" fillId="0" borderId="0" xfId="9" applyNumberFormat="1" applyAlignment="1">
      <alignment vertical="top"/>
    </xf>
    <xf numFmtId="43" fontId="5" fillId="0" borderId="0" xfId="9" applyNumberFormat="1" applyAlignment="1">
      <alignment vertical="top"/>
    </xf>
    <xf numFmtId="195" fontId="42" fillId="0" borderId="0" xfId="9" applyNumberFormat="1" applyFont="1" applyAlignment="1">
      <alignment vertical="top"/>
    </xf>
    <xf numFmtId="193" fontId="38" fillId="0" borderId="0" xfId="9" applyNumberFormat="1" applyFont="1" applyAlignment="1">
      <alignment vertical="top"/>
    </xf>
    <xf numFmtId="196" fontId="43" fillId="0" borderId="0" xfId="9" applyNumberFormat="1" applyFont="1" applyAlignment="1">
      <alignment vertical="top"/>
    </xf>
    <xf numFmtId="193" fontId="39" fillId="0" borderId="0" xfId="9" applyNumberFormat="1" applyFont="1" applyAlignment="1">
      <alignment vertical="top"/>
    </xf>
    <xf numFmtId="2" fontId="39" fillId="0" borderId="0" xfId="9" applyNumberFormat="1" applyFont="1" applyAlignment="1">
      <alignment vertical="top"/>
    </xf>
    <xf numFmtId="0" fontId="44" fillId="0" borderId="0" xfId="9" applyFont="1" applyAlignment="1">
      <alignment vertical="center"/>
    </xf>
    <xf numFmtId="0" fontId="45" fillId="0" borderId="0" xfId="10" applyFont="1" applyAlignment="1">
      <alignment vertical="top"/>
    </xf>
    <xf numFmtId="0" fontId="46" fillId="0" borderId="0" xfId="10" applyFont="1" applyAlignment="1">
      <alignment vertical="top"/>
    </xf>
    <xf numFmtId="0" fontId="45" fillId="0" borderId="0" xfId="10" applyFont="1" applyAlignment="1">
      <alignment horizontal="center" vertical="top"/>
    </xf>
    <xf numFmtId="39" fontId="45" fillId="0" borderId="0" xfId="10" applyNumberFormat="1" applyFont="1" applyAlignment="1">
      <alignment vertical="top"/>
    </xf>
    <xf numFmtId="0" fontId="47" fillId="0" borderId="0" xfId="10" applyFont="1" applyAlignment="1">
      <alignment horizontal="left" vertical="top"/>
    </xf>
    <xf numFmtId="0" fontId="48" fillId="0" borderId="0" xfId="10" applyFont="1" applyAlignment="1">
      <alignment vertical="top"/>
    </xf>
    <xf numFmtId="0" fontId="49" fillId="0" borderId="0" xfId="10" applyFont="1" applyAlignment="1">
      <alignment vertical="top"/>
    </xf>
    <xf numFmtId="0" fontId="50" fillId="0" borderId="0" xfId="10" applyFont="1" applyAlignment="1">
      <alignment vertical="top"/>
    </xf>
    <xf numFmtId="0" fontId="52" fillId="0" borderId="0" xfId="10" applyFont="1" applyAlignment="1">
      <alignment vertical="top"/>
    </xf>
    <xf numFmtId="0" fontId="47" fillId="0" borderId="0" xfId="10" applyFont="1" applyAlignment="1">
      <alignment horizontal="center" vertical="top"/>
    </xf>
    <xf numFmtId="0" fontId="45" fillId="0" borderId="0" xfId="10" applyFont="1" applyAlignment="1">
      <alignment horizontal="left" vertical="top"/>
    </xf>
    <xf numFmtId="188" fontId="45" fillId="0" borderId="0" xfId="3" applyNumberFormat="1" applyFont="1" applyBorder="1" applyAlignment="1">
      <alignment horizontal="right" vertical="top"/>
    </xf>
    <xf numFmtId="43" fontId="45" fillId="0" borderId="0" xfId="1" applyFont="1" applyAlignment="1">
      <alignment vertical="top"/>
    </xf>
    <xf numFmtId="4" fontId="5" fillId="7" borderId="0" xfId="9" applyNumberFormat="1" applyFill="1"/>
    <xf numFmtId="0" fontId="51" fillId="0" borderId="0" xfId="10" applyFont="1" applyAlignment="1">
      <alignment horizontal="left" vertical="top"/>
    </xf>
    <xf numFmtId="0" fontId="12" fillId="0" borderId="0" xfId="10" applyFont="1" applyAlignment="1">
      <alignment vertical="top"/>
    </xf>
    <xf numFmtId="0" fontId="13" fillId="0" borderId="0" xfId="10" applyFont="1" applyAlignment="1">
      <alignment vertical="top"/>
    </xf>
    <xf numFmtId="0" fontId="45" fillId="0" borderId="0" xfId="10" applyFont="1" applyAlignment="1">
      <alignment horizontal="right" vertical="top"/>
    </xf>
    <xf numFmtId="0" fontId="37" fillId="0" borderId="0" xfId="9" applyFont="1"/>
    <xf numFmtId="0" fontId="34" fillId="0" borderId="0" xfId="9" applyFont="1"/>
    <xf numFmtId="0" fontId="33" fillId="0" borderId="0" xfId="9" applyFont="1"/>
    <xf numFmtId="3" fontId="11" fillId="0" borderId="0" xfId="9" applyNumberFormat="1" applyFont="1" applyAlignment="1">
      <alignment horizontal="center"/>
    </xf>
    <xf numFmtId="3" fontId="11" fillId="0" borderId="0" xfId="9" applyNumberFormat="1" applyFont="1" applyAlignment="1">
      <alignment horizontal="right" vertical="top"/>
    </xf>
    <xf numFmtId="3" fontId="34" fillId="0" borderId="0" xfId="9" applyNumberFormat="1" applyFont="1"/>
    <xf numFmtId="3" fontId="33" fillId="0" borderId="0" xfId="9" applyNumberFormat="1" applyFont="1"/>
    <xf numFmtId="41" fontId="10" fillId="0" borderId="0" xfId="14" applyNumberFormat="1" applyFont="1" applyAlignment="1">
      <alignment vertical="top"/>
    </xf>
    <xf numFmtId="41" fontId="10" fillId="0" borderId="0" xfId="9" applyNumberFormat="1" applyFont="1" applyAlignment="1">
      <alignment vertical="top"/>
    </xf>
    <xf numFmtId="41" fontId="11" fillId="0" borderId="1" xfId="14" applyNumberFormat="1" applyFont="1" applyBorder="1" applyAlignment="1">
      <alignment horizontal="center" vertical="top"/>
    </xf>
    <xf numFmtId="41" fontId="11" fillId="0" borderId="1" xfId="2" applyNumberFormat="1" applyFont="1" applyBorder="1" applyAlignment="1">
      <alignment horizontal="center" vertical="top"/>
    </xf>
    <xf numFmtId="0" fontId="11" fillId="2" borderId="1" xfId="9" applyFont="1" applyFill="1" applyBorder="1" applyAlignment="1">
      <alignment vertical="center"/>
    </xf>
    <xf numFmtId="41" fontId="11" fillId="2" borderId="1" xfId="2" applyNumberFormat="1" applyFont="1" applyFill="1" applyBorder="1" applyAlignment="1">
      <alignment horizontal="right" vertical="top"/>
    </xf>
    <xf numFmtId="41" fontId="11" fillId="0" borderId="1" xfId="14" applyNumberFormat="1" applyFont="1" applyBorder="1" applyAlignment="1">
      <alignment vertical="top" wrapText="1"/>
    </xf>
    <xf numFmtId="41" fontId="11" fillId="0" borderId="1" xfId="2" applyNumberFormat="1" applyFont="1" applyBorder="1" applyAlignment="1">
      <alignment horizontal="right" vertical="top"/>
    </xf>
    <xf numFmtId="41" fontId="11" fillId="0" borderId="0" xfId="14" applyNumberFormat="1" applyFont="1" applyAlignment="1">
      <alignment vertical="top"/>
    </xf>
    <xf numFmtId="41" fontId="11" fillId="0" borderId="0" xfId="9" applyNumberFormat="1" applyFont="1" applyAlignment="1">
      <alignment vertical="top"/>
    </xf>
    <xf numFmtId="41" fontId="10" fillId="0" borderId="1" xfId="14" applyNumberFormat="1" applyFont="1" applyBorder="1" applyAlignment="1">
      <alignment vertical="top" wrapText="1"/>
    </xf>
    <xf numFmtId="41" fontId="10" fillId="0" borderId="1" xfId="2" applyNumberFormat="1" applyFont="1" applyBorder="1" applyAlignment="1">
      <alignment horizontal="right" vertical="top"/>
    </xf>
    <xf numFmtId="41" fontId="11" fillId="2" borderId="1" xfId="14" applyNumberFormat="1" applyFont="1" applyFill="1" applyBorder="1" applyAlignment="1">
      <alignment horizontal="center" vertical="top"/>
    </xf>
    <xf numFmtId="190" fontId="11" fillId="0" borderId="0" xfId="9" applyNumberFormat="1" applyFont="1" applyAlignment="1">
      <alignment vertical="top"/>
    </xf>
    <xf numFmtId="190" fontId="10" fillId="0" borderId="0" xfId="9" applyNumberFormat="1" applyFont="1" applyAlignment="1">
      <alignment vertical="top"/>
    </xf>
    <xf numFmtId="41" fontId="11" fillId="0" borderId="5" xfId="14" applyNumberFormat="1" applyFont="1" applyBorder="1" applyAlignment="1">
      <alignment horizontal="center" vertical="top"/>
    </xf>
    <xf numFmtId="41" fontId="11" fillId="0" borderId="6" xfId="2" applyNumberFormat="1" applyFont="1" applyBorder="1" applyAlignment="1">
      <alignment horizontal="center" vertical="top"/>
    </xf>
    <xf numFmtId="41" fontId="11" fillId="0" borderId="7" xfId="2" applyNumberFormat="1" applyFont="1" applyBorder="1" applyAlignment="1">
      <alignment horizontal="center" vertical="top"/>
    </xf>
    <xf numFmtId="0" fontId="11" fillId="2" borderId="1" xfId="9" applyFont="1" applyFill="1" applyBorder="1" applyAlignment="1">
      <alignment vertical="center" wrapText="1"/>
    </xf>
    <xf numFmtId="0" fontId="10" fillId="0" borderId="22" xfId="13" applyFont="1" applyBorder="1" applyAlignment="1">
      <alignment horizontal="left" vertical="center"/>
    </xf>
    <xf numFmtId="0" fontId="10" fillId="0" borderId="19" xfId="9" applyFont="1" applyBorder="1" applyAlignment="1">
      <alignment horizontal="left" vertical="center" wrapText="1"/>
    </xf>
    <xf numFmtId="0" fontId="22" fillId="0" borderId="19" xfId="9" applyFont="1" applyBorder="1" applyAlignment="1">
      <alignment horizontal="left" vertical="center" indent="2"/>
    </xf>
    <xf numFmtId="0" fontId="11" fillId="11" borderId="13" xfId="9" applyFont="1" applyFill="1" applyBorder="1" applyAlignment="1">
      <alignment vertical="center"/>
    </xf>
    <xf numFmtId="0" fontId="11" fillId="11" borderId="14" xfId="9" applyFont="1" applyFill="1" applyBorder="1" applyAlignment="1">
      <alignment vertical="center"/>
    </xf>
    <xf numFmtId="0" fontId="10" fillId="0" borderId="26" xfId="9" applyFont="1" applyBorder="1" applyAlignment="1">
      <alignment horizontal="left" vertical="center"/>
    </xf>
    <xf numFmtId="189" fontId="21" fillId="12" borderId="18" xfId="1" applyNumberFormat="1" applyFont="1" applyFill="1" applyBorder="1" applyAlignment="1">
      <alignment vertical="center"/>
    </xf>
    <xf numFmtId="43" fontId="21" fillId="12" borderId="18" xfId="1" applyFont="1" applyFill="1" applyBorder="1" applyAlignment="1">
      <alignment vertical="center"/>
    </xf>
    <xf numFmtId="0" fontId="22" fillId="0" borderId="0" xfId="9" applyFont="1"/>
    <xf numFmtId="189" fontId="11" fillId="0" borderId="19" xfId="1" applyNumberFormat="1" applyFont="1" applyFill="1" applyBorder="1" applyAlignment="1">
      <alignment vertical="top"/>
    </xf>
    <xf numFmtId="0" fontId="22" fillId="0" borderId="17" xfId="13" applyFont="1" applyBorder="1" applyAlignment="1">
      <alignment horizontal="left" vertical="center" indent="7"/>
    </xf>
    <xf numFmtId="0" fontId="22" fillId="0" borderId="18" xfId="13" applyFont="1" applyBorder="1" applyAlignment="1">
      <alignment horizontal="left" vertical="center"/>
    </xf>
    <xf numFmtId="0" fontId="22" fillId="0" borderId="19" xfId="13" applyFont="1" applyBorder="1" applyAlignment="1">
      <alignment horizontal="left" vertical="center" indent="7"/>
    </xf>
    <xf numFmtId="189" fontId="22" fillId="0" borderId="18" xfId="1" applyNumberFormat="1" applyFont="1" applyBorder="1" applyAlignment="1">
      <alignment vertical="center"/>
    </xf>
    <xf numFmtId="43" fontId="22" fillId="0" borderId="18" xfId="1" applyFont="1" applyBorder="1" applyAlignment="1">
      <alignment vertical="center"/>
    </xf>
    <xf numFmtId="3" fontId="22" fillId="0" borderId="18" xfId="9" applyNumberFormat="1" applyFont="1" applyBorder="1" applyAlignment="1">
      <alignment vertical="center"/>
    </xf>
    <xf numFmtId="3" fontId="22" fillId="0" borderId="20" xfId="9" applyNumberFormat="1" applyFont="1" applyBorder="1" applyAlignment="1">
      <alignment vertical="center"/>
    </xf>
    <xf numFmtId="0" fontId="22" fillId="0" borderId="0" xfId="9" applyFont="1" applyAlignment="1">
      <alignment vertical="center"/>
    </xf>
    <xf numFmtId="43" fontId="10" fillId="0" borderId="0" xfId="9" applyNumberFormat="1" applyFont="1" applyAlignment="1">
      <alignment vertical="center"/>
    </xf>
    <xf numFmtId="189" fontId="11" fillId="0" borderId="20" xfId="1" applyNumberFormat="1" applyFont="1" applyFill="1" applyBorder="1" applyAlignment="1" applyProtection="1">
      <alignment vertical="center"/>
      <protection locked="0"/>
    </xf>
    <xf numFmtId="189" fontId="25" fillId="0" borderId="20" xfId="1" applyNumberFormat="1" applyFont="1" applyFill="1" applyBorder="1" applyAlignment="1" applyProtection="1">
      <alignment vertical="center"/>
      <protection locked="0"/>
    </xf>
    <xf numFmtId="189" fontId="10" fillId="0" borderId="20" xfId="1" applyNumberFormat="1" applyFont="1" applyFill="1" applyBorder="1" applyAlignment="1" applyProtection="1">
      <alignment vertical="top"/>
      <protection locked="0"/>
    </xf>
    <xf numFmtId="189" fontId="11" fillId="12" borderId="20" xfId="1" applyNumberFormat="1" applyFont="1" applyFill="1" applyBorder="1" applyAlignment="1">
      <alignment vertical="center"/>
    </xf>
    <xf numFmtId="192" fontId="30" fillId="0" borderId="0" xfId="9" applyNumberFormat="1" applyFont="1" applyAlignment="1">
      <alignment vertical="center"/>
    </xf>
    <xf numFmtId="43" fontId="45" fillId="0" borderId="0" xfId="10" applyNumberFormat="1" applyFont="1" applyAlignment="1">
      <alignment vertical="top"/>
    </xf>
    <xf numFmtId="0" fontId="13" fillId="0" borderId="0" xfId="9" applyFont="1" applyAlignment="1">
      <alignment vertical="top"/>
    </xf>
    <xf numFmtId="0" fontId="11" fillId="0" borderId="0" xfId="9" applyFont="1" applyAlignment="1">
      <alignment horizontal="center" vertical="center"/>
    </xf>
    <xf numFmtId="43" fontId="10" fillId="0" borderId="0" xfId="20" applyFont="1"/>
    <xf numFmtId="0" fontId="11" fillId="0" borderId="0" xfId="9" applyFont="1" applyAlignment="1" applyProtection="1">
      <alignment horizontal="center" vertical="center"/>
      <protection locked="0"/>
    </xf>
    <xf numFmtId="0" fontId="11" fillId="0" borderId="0" xfId="9" applyFont="1" applyAlignment="1" applyProtection="1">
      <alignment vertical="center"/>
      <protection locked="0"/>
    </xf>
    <xf numFmtId="0" fontId="25" fillId="0" borderId="11" xfId="9" applyFont="1" applyBorder="1"/>
    <xf numFmtId="43" fontId="10" fillId="0" borderId="0" xfId="20" applyFont="1" applyAlignment="1">
      <alignment vertical="top"/>
    </xf>
    <xf numFmtId="189" fontId="11" fillId="0" borderId="1" xfId="20" applyNumberFormat="1" applyFont="1" applyBorder="1" applyAlignment="1" applyProtection="1">
      <alignment horizontal="right" vertical="center"/>
      <protection locked="0"/>
    </xf>
    <xf numFmtId="189" fontId="25" fillId="0" borderId="1" xfId="20" applyNumberFormat="1" applyFont="1" applyBorder="1" applyAlignment="1" applyProtection="1">
      <alignment horizontal="right" vertical="center"/>
      <protection locked="0"/>
    </xf>
    <xf numFmtId="189" fontId="11" fillId="0" borderId="1" xfId="20" applyNumberFormat="1" applyFont="1" applyBorder="1" applyAlignment="1" applyProtection="1">
      <alignment horizontal="right" vertical="top"/>
      <protection locked="0"/>
    </xf>
    <xf numFmtId="43" fontId="10" fillId="0" borderId="0" xfId="20" applyFont="1" applyAlignment="1">
      <alignment vertical="center"/>
    </xf>
    <xf numFmtId="189" fontId="11" fillId="4" borderId="16" xfId="20" applyNumberFormat="1" applyFont="1" applyFill="1" applyBorder="1" applyAlignment="1">
      <alignment vertical="center"/>
    </xf>
    <xf numFmtId="189" fontId="25" fillId="4" borderId="16" xfId="20" applyNumberFormat="1" applyFont="1" applyFill="1" applyBorder="1" applyAlignment="1">
      <alignment vertical="center"/>
    </xf>
    <xf numFmtId="189" fontId="11" fillId="4" borderId="16" xfId="20" applyNumberFormat="1" applyFont="1" applyFill="1" applyBorder="1" applyAlignment="1">
      <alignment vertical="top"/>
    </xf>
    <xf numFmtId="189" fontId="11" fillId="5" borderId="20" xfId="20" applyNumberFormat="1" applyFont="1" applyFill="1" applyBorder="1" applyAlignment="1">
      <alignment vertical="center" wrapText="1"/>
    </xf>
    <xf numFmtId="189" fontId="25" fillId="5" borderId="20" xfId="20" applyNumberFormat="1" applyFont="1" applyFill="1" applyBorder="1" applyAlignment="1">
      <alignment vertical="center" wrapText="1"/>
    </xf>
    <xf numFmtId="189" fontId="11" fillId="5" borderId="20" xfId="20" applyNumberFormat="1" applyFont="1" applyFill="1" applyBorder="1" applyAlignment="1">
      <alignment vertical="top" wrapText="1"/>
    </xf>
    <xf numFmtId="189" fontId="11" fillId="6" borderId="20" xfId="20" applyNumberFormat="1" applyFont="1" applyFill="1" applyBorder="1" applyAlignment="1">
      <alignment vertical="center"/>
    </xf>
    <xf numFmtId="189" fontId="25" fillId="6" borderId="20" xfId="20" applyNumberFormat="1" applyFont="1" applyFill="1" applyBorder="1" applyAlignment="1">
      <alignment vertical="center"/>
    </xf>
    <xf numFmtId="189" fontId="11" fillId="6" borderId="20" xfId="20" applyNumberFormat="1" applyFont="1" applyFill="1" applyBorder="1" applyAlignment="1">
      <alignment vertical="top"/>
    </xf>
    <xf numFmtId="189" fontId="11" fillId="7" borderId="20" xfId="20" applyNumberFormat="1" applyFont="1" applyFill="1" applyBorder="1" applyAlignment="1">
      <alignment vertical="center"/>
    </xf>
    <xf numFmtId="189" fontId="25" fillId="7" borderId="20" xfId="20" applyNumberFormat="1" applyFont="1" applyFill="1" applyBorder="1" applyAlignment="1">
      <alignment vertical="center"/>
    </xf>
    <xf numFmtId="189" fontId="11" fillId="7" borderId="20" xfId="20" applyNumberFormat="1" applyFont="1" applyFill="1" applyBorder="1" applyAlignment="1">
      <alignment vertical="top"/>
    </xf>
    <xf numFmtId="189" fontId="22" fillId="0" borderId="20" xfId="20" applyNumberFormat="1" applyFont="1" applyBorder="1" applyAlignment="1">
      <alignment vertical="center"/>
    </xf>
    <xf numFmtId="189" fontId="22" fillId="0" borderId="20" xfId="20" applyNumberFormat="1" applyFont="1" applyBorder="1" applyAlignment="1">
      <alignment vertical="top"/>
    </xf>
    <xf numFmtId="189" fontId="22" fillId="0" borderId="18" xfId="20" applyNumberFormat="1" applyFont="1" applyBorder="1" applyAlignment="1">
      <alignment vertical="center"/>
    </xf>
    <xf numFmtId="43" fontId="22" fillId="0" borderId="20" xfId="20" applyFont="1" applyBorder="1" applyAlignment="1">
      <alignment vertical="center"/>
    </xf>
    <xf numFmtId="189" fontId="22" fillId="0" borderId="17" xfId="20" applyNumberFormat="1" applyFont="1" applyBorder="1" applyAlignment="1">
      <alignment vertical="center"/>
    </xf>
    <xf numFmtId="43" fontId="22" fillId="0" borderId="0" xfId="20" applyFont="1" applyAlignment="1">
      <alignment vertical="center"/>
    </xf>
    <xf numFmtId="189" fontId="11" fillId="5" borderId="20" xfId="20" applyNumberFormat="1" applyFont="1" applyFill="1" applyBorder="1" applyAlignment="1">
      <alignment vertical="center"/>
    </xf>
    <xf numFmtId="189" fontId="25" fillId="5" borderId="20" xfId="20" applyNumberFormat="1" applyFont="1" applyFill="1" applyBorder="1" applyAlignment="1">
      <alignment vertical="center"/>
    </xf>
    <xf numFmtId="189" fontId="11" fillId="5" borderId="20" xfId="20" applyNumberFormat="1" applyFont="1" applyFill="1" applyBorder="1" applyAlignment="1">
      <alignment vertical="top"/>
    </xf>
    <xf numFmtId="189" fontId="11" fillId="0" borderId="20" xfId="20" applyNumberFormat="1" applyFont="1" applyBorder="1" applyAlignment="1">
      <alignment vertical="center"/>
    </xf>
    <xf numFmtId="189" fontId="25" fillId="0" borderId="20" xfId="20" applyNumberFormat="1" applyFont="1" applyBorder="1" applyAlignment="1">
      <alignment vertical="center"/>
    </xf>
    <xf numFmtId="189" fontId="11" fillId="0" borderId="20" xfId="20" applyNumberFormat="1" applyFont="1" applyBorder="1" applyAlignment="1">
      <alignment vertical="top"/>
    </xf>
    <xf numFmtId="189" fontId="10" fillId="0" borderId="18" xfId="20" applyNumberFormat="1" applyFont="1" applyBorder="1" applyAlignment="1">
      <alignment vertical="center"/>
    </xf>
    <xf numFmtId="189" fontId="10" fillId="0" borderId="20" xfId="20" applyNumberFormat="1" applyFont="1" applyBorder="1" applyAlignment="1">
      <alignment vertical="center"/>
    </xf>
    <xf numFmtId="43" fontId="10" fillId="0" borderId="20" xfId="20" applyFont="1" applyBorder="1" applyAlignment="1">
      <alignment vertical="center"/>
    </xf>
    <xf numFmtId="189" fontId="10" fillId="0" borderId="17" xfId="20" applyNumberFormat="1" applyFont="1" applyBorder="1" applyAlignment="1">
      <alignment vertical="center"/>
    </xf>
    <xf numFmtId="189" fontId="23" fillId="0" borderId="20" xfId="20" applyNumberFormat="1" applyFont="1" applyBorder="1" applyAlignment="1">
      <alignment vertical="center"/>
    </xf>
    <xf numFmtId="189" fontId="10" fillId="0" borderId="20" xfId="20" applyNumberFormat="1" applyFont="1" applyBorder="1" applyAlignment="1">
      <alignment vertical="top"/>
    </xf>
    <xf numFmtId="189" fontId="11" fillId="0" borderId="3" xfId="20" applyNumberFormat="1" applyFont="1" applyBorder="1" applyAlignment="1">
      <alignment vertical="center"/>
    </xf>
    <xf numFmtId="189" fontId="25" fillId="0" borderId="3" xfId="20" applyNumberFormat="1" applyFont="1" applyBorder="1" applyAlignment="1">
      <alignment vertical="center"/>
    </xf>
    <xf numFmtId="189" fontId="11" fillId="0" borderId="3" xfId="20" applyNumberFormat="1" applyFont="1" applyBorder="1" applyAlignment="1">
      <alignment vertical="top"/>
    </xf>
    <xf numFmtId="189" fontId="10" fillId="0" borderId="0" xfId="20" applyNumberFormat="1" applyFont="1" applyBorder="1" applyAlignment="1">
      <alignment vertical="center"/>
    </xf>
    <xf numFmtId="189" fontId="10" fillId="0" borderId="3" xfId="20" applyNumberFormat="1" applyFont="1" applyBorder="1" applyAlignment="1">
      <alignment vertical="center"/>
    </xf>
    <xf numFmtId="43" fontId="10" fillId="0" borderId="3" xfId="20" applyFont="1" applyBorder="1" applyAlignment="1">
      <alignment vertical="center"/>
    </xf>
    <xf numFmtId="189" fontId="10" fillId="0" borderId="9" xfId="20" applyNumberFormat="1" applyFont="1" applyBorder="1" applyAlignment="1">
      <alignment vertical="center"/>
    </xf>
    <xf numFmtId="189" fontId="10" fillId="0" borderId="4" xfId="20" applyNumberFormat="1" applyFont="1" applyBorder="1" applyAlignment="1">
      <alignment vertical="center"/>
    </xf>
    <xf numFmtId="189" fontId="23" fillId="0" borderId="4" xfId="20" applyNumberFormat="1" applyFont="1" applyBorder="1" applyAlignment="1">
      <alignment vertical="center"/>
    </xf>
    <xf numFmtId="189" fontId="10" fillId="0" borderId="4" xfId="20" applyNumberFormat="1" applyFont="1" applyBorder="1" applyAlignment="1">
      <alignment vertical="top"/>
    </xf>
    <xf numFmtId="189" fontId="10" fillId="0" borderId="11" xfId="20" applyNumberFormat="1" applyFont="1" applyBorder="1" applyAlignment="1">
      <alignment vertical="center"/>
    </xf>
    <xf numFmtId="43" fontId="10" fillId="0" borderId="4" xfId="20" applyFont="1" applyBorder="1" applyAlignment="1">
      <alignment vertical="center"/>
    </xf>
    <xf numFmtId="189" fontId="10" fillId="0" borderId="10" xfId="20" applyNumberFormat="1" applyFont="1" applyBorder="1" applyAlignment="1">
      <alignment vertical="center"/>
    </xf>
    <xf numFmtId="189" fontId="11" fillId="4" borderId="24" xfId="20" applyNumberFormat="1" applyFont="1" applyFill="1" applyBorder="1" applyAlignment="1">
      <alignment vertical="center"/>
    </xf>
    <xf numFmtId="189" fontId="25" fillId="4" borderId="24" xfId="20" applyNumberFormat="1" applyFont="1" applyFill="1" applyBorder="1" applyAlignment="1">
      <alignment vertical="center"/>
    </xf>
    <xf numFmtId="189" fontId="11" fillId="4" borderId="24" xfId="20" applyNumberFormat="1" applyFont="1" applyFill="1" applyBorder="1" applyAlignment="1">
      <alignment vertical="top"/>
    </xf>
    <xf numFmtId="189" fontId="11" fillId="4" borderId="22" xfId="20" applyNumberFormat="1" applyFont="1" applyFill="1" applyBorder="1" applyAlignment="1">
      <alignment vertical="center"/>
    </xf>
    <xf numFmtId="189" fontId="11" fillId="5" borderId="20" xfId="20" applyNumberFormat="1" applyFont="1" applyFill="1" applyBorder="1" applyAlignment="1">
      <alignment horizontal="left" vertical="center"/>
    </xf>
    <xf numFmtId="189" fontId="25" fillId="5" borderId="20" xfId="20" applyNumberFormat="1" applyFont="1" applyFill="1" applyBorder="1" applyAlignment="1">
      <alignment horizontal="left" vertical="center"/>
    </xf>
    <xf numFmtId="189" fontId="11" fillId="5" borderId="20" xfId="20" applyNumberFormat="1" applyFont="1" applyFill="1" applyBorder="1" applyAlignment="1">
      <alignment horizontal="left" vertical="top"/>
    </xf>
    <xf numFmtId="189" fontId="11" fillId="5" borderId="18" xfId="20" applyNumberFormat="1" applyFont="1" applyFill="1" applyBorder="1" applyAlignment="1">
      <alignment horizontal="left" vertical="center"/>
    </xf>
    <xf numFmtId="43" fontId="10" fillId="0" borderId="0" xfId="20" applyFont="1" applyAlignment="1">
      <alignment horizontal="left" vertical="center"/>
    </xf>
    <xf numFmtId="189" fontId="11" fillId="6" borderId="18" xfId="20" applyNumberFormat="1" applyFont="1" applyFill="1" applyBorder="1" applyAlignment="1">
      <alignment vertical="center"/>
    </xf>
    <xf numFmtId="189" fontId="11" fillId="0" borderId="18" xfId="20" applyNumberFormat="1" applyFont="1" applyBorder="1" applyAlignment="1">
      <alignment vertical="center"/>
    </xf>
    <xf numFmtId="43" fontId="11" fillId="0" borderId="20" xfId="20" applyFont="1" applyBorder="1" applyAlignment="1">
      <alignment vertical="center"/>
    </xf>
    <xf numFmtId="189" fontId="11" fillId="0" borderId="17" xfId="20" applyNumberFormat="1" applyFont="1" applyBorder="1" applyAlignment="1">
      <alignment vertical="center"/>
    </xf>
    <xf numFmtId="0" fontId="11" fillId="0" borderId="19" xfId="13" applyFont="1" applyBorder="1" applyAlignment="1">
      <alignment vertical="center"/>
    </xf>
    <xf numFmtId="189" fontId="11" fillId="0" borderId="18" xfId="20" applyNumberFormat="1" applyFont="1" applyFill="1" applyBorder="1" applyAlignment="1">
      <alignment vertical="center"/>
    </xf>
    <xf numFmtId="189" fontId="11" fillId="0" borderId="20" xfId="20" applyNumberFormat="1" applyFont="1" applyFill="1" applyBorder="1" applyAlignment="1">
      <alignment vertical="center"/>
    </xf>
    <xf numFmtId="189" fontId="11" fillId="0" borderId="20" xfId="20" applyNumberFormat="1" applyFont="1" applyFill="1" applyBorder="1" applyAlignment="1">
      <alignment vertical="top"/>
    </xf>
    <xf numFmtId="189" fontId="11" fillId="0" borderId="19" xfId="20" applyNumberFormat="1" applyFont="1" applyBorder="1" applyAlignment="1">
      <alignment vertical="center"/>
    </xf>
    <xf numFmtId="189" fontId="10" fillId="0" borderId="19" xfId="20" applyNumberFormat="1" applyFont="1" applyBorder="1" applyAlignment="1">
      <alignment vertical="center"/>
    </xf>
    <xf numFmtId="43" fontId="10" fillId="0" borderId="19" xfId="20" applyFont="1" applyBorder="1" applyAlignment="1">
      <alignment vertical="center"/>
    </xf>
    <xf numFmtId="189" fontId="10" fillId="0" borderId="19" xfId="20" applyNumberFormat="1" applyFont="1" applyBorder="1" applyAlignment="1">
      <alignment vertical="top"/>
    </xf>
    <xf numFmtId="189" fontId="10" fillId="0" borderId="19" xfId="20" applyNumberFormat="1" applyFont="1" applyFill="1" applyBorder="1" applyAlignment="1">
      <alignment vertical="center"/>
    </xf>
    <xf numFmtId="189" fontId="10" fillId="0" borderId="19" xfId="20" applyNumberFormat="1" applyFont="1" applyFill="1" applyBorder="1" applyAlignment="1">
      <alignment vertical="top"/>
    </xf>
    <xf numFmtId="189" fontId="10" fillId="0" borderId="20" xfId="20" applyNumberFormat="1" applyFont="1" applyFill="1" applyBorder="1" applyAlignment="1">
      <alignment vertical="center"/>
    </xf>
    <xf numFmtId="189" fontId="10" fillId="0" borderId="17" xfId="20" applyNumberFormat="1" applyFont="1" applyFill="1" applyBorder="1" applyAlignment="1">
      <alignment vertical="center"/>
    </xf>
    <xf numFmtId="189" fontId="23" fillId="0" borderId="19" xfId="20" applyNumberFormat="1" applyFont="1" applyFill="1" applyBorder="1" applyAlignment="1">
      <alignment horizontal="center" vertical="center"/>
    </xf>
    <xf numFmtId="189" fontId="10" fillId="0" borderId="19" xfId="20" applyNumberFormat="1" applyFont="1" applyFill="1" applyBorder="1" applyAlignment="1">
      <alignment horizontal="center" vertical="top"/>
    </xf>
    <xf numFmtId="189" fontId="23" fillId="0" borderId="19" xfId="20" applyNumberFormat="1" applyFont="1" applyFill="1" applyBorder="1" applyAlignment="1">
      <alignment vertical="center"/>
    </xf>
    <xf numFmtId="189" fontId="10" fillId="7" borderId="19" xfId="20" applyNumberFormat="1" applyFont="1" applyFill="1" applyBorder="1" applyAlignment="1">
      <alignment vertical="top"/>
    </xf>
    <xf numFmtId="189" fontId="10" fillId="0" borderId="18" xfId="20" applyNumberFormat="1" applyFont="1" applyFill="1" applyBorder="1" applyAlignment="1">
      <alignment vertical="center"/>
    </xf>
    <xf numFmtId="43" fontId="10" fillId="0" borderId="19" xfId="20" applyFont="1" applyFill="1" applyBorder="1" applyAlignment="1">
      <alignment vertical="center"/>
    </xf>
    <xf numFmtId="43" fontId="10" fillId="0" borderId="0" xfId="20" applyFont="1" applyFill="1" applyAlignment="1">
      <alignment vertical="center"/>
    </xf>
    <xf numFmtId="189" fontId="11" fillId="0" borderId="22" xfId="20" applyNumberFormat="1" applyFont="1" applyBorder="1" applyAlignment="1">
      <alignment vertical="center"/>
    </xf>
    <xf numFmtId="189" fontId="11" fillId="0" borderId="23" xfId="20" applyNumberFormat="1" applyFont="1" applyBorder="1" applyAlignment="1">
      <alignment vertical="center"/>
    </xf>
    <xf numFmtId="43" fontId="11" fillId="0" borderId="23" xfId="20" applyFont="1" applyBorder="1" applyAlignment="1">
      <alignment vertical="center"/>
    </xf>
    <xf numFmtId="189" fontId="25" fillId="0" borderId="23" xfId="20" applyNumberFormat="1" applyFont="1" applyBorder="1" applyAlignment="1">
      <alignment vertical="center"/>
    </xf>
    <xf numFmtId="189" fontId="11" fillId="0" borderId="23" xfId="20" applyNumberFormat="1" applyFont="1" applyBorder="1" applyAlignment="1">
      <alignment vertical="top"/>
    </xf>
    <xf numFmtId="189" fontId="23" fillId="0" borderId="19" xfId="20" applyNumberFormat="1" applyFont="1" applyBorder="1" applyAlignment="1">
      <alignment vertical="center"/>
    </xf>
    <xf numFmtId="189" fontId="23" fillId="0" borderId="19" xfId="20" applyNumberFormat="1" applyFont="1" applyBorder="1" applyAlignment="1">
      <alignment horizontal="center" vertical="center"/>
    </xf>
    <xf numFmtId="189" fontId="10" fillId="0" borderId="19" xfId="20" applyNumberFormat="1" applyFont="1" applyBorder="1" applyAlignment="1">
      <alignment horizontal="center" vertical="top"/>
    </xf>
    <xf numFmtId="43" fontId="11" fillId="0" borderId="19" xfId="20" applyFont="1" applyBorder="1" applyAlignment="1">
      <alignment vertical="center"/>
    </xf>
    <xf numFmtId="189" fontId="25" fillId="0" borderId="19" xfId="20" applyNumberFormat="1" applyFont="1" applyBorder="1" applyAlignment="1">
      <alignment vertical="center"/>
    </xf>
    <xf numFmtId="189" fontId="11" fillId="0" borderId="19" xfId="20" applyNumberFormat="1" applyFont="1" applyBorder="1" applyAlignment="1">
      <alignment vertical="top"/>
    </xf>
    <xf numFmtId="189" fontId="25" fillId="0" borderId="32" xfId="20" applyNumberFormat="1" applyFont="1" applyBorder="1" applyAlignment="1">
      <alignment vertical="center"/>
    </xf>
    <xf numFmtId="189" fontId="25" fillId="0" borderId="15" xfId="20" applyNumberFormat="1" applyFont="1" applyBorder="1" applyAlignment="1">
      <alignment vertical="center"/>
    </xf>
    <xf numFmtId="189" fontId="11" fillId="0" borderId="19" xfId="20" applyNumberFormat="1" applyFont="1" applyFill="1" applyBorder="1" applyAlignment="1">
      <alignment vertical="center"/>
    </xf>
    <xf numFmtId="43" fontId="11" fillId="0" borderId="19" xfId="20" applyFont="1" applyFill="1" applyBorder="1" applyAlignment="1">
      <alignment vertical="center"/>
    </xf>
    <xf numFmtId="189" fontId="25" fillId="0" borderId="19" xfId="20" applyNumberFormat="1" applyFont="1" applyFill="1" applyBorder="1" applyAlignment="1">
      <alignment vertical="center"/>
    </xf>
    <xf numFmtId="189" fontId="11" fillId="0" borderId="19" xfId="20" applyNumberFormat="1" applyFont="1" applyFill="1" applyBorder="1" applyAlignment="1">
      <alignment vertical="top"/>
    </xf>
    <xf numFmtId="189" fontId="11" fillId="0" borderId="22" xfId="20" applyNumberFormat="1" applyFont="1" applyFill="1" applyBorder="1" applyAlignment="1">
      <alignment vertical="center"/>
    </xf>
    <xf numFmtId="0" fontId="23" fillId="0" borderId="20" xfId="9" applyFont="1" applyBorder="1" applyAlignment="1">
      <alignment vertical="center"/>
    </xf>
    <xf numFmtId="189" fontId="11" fillId="0" borderId="24" xfId="20" applyNumberFormat="1" applyFont="1" applyBorder="1" applyAlignment="1">
      <alignment vertical="center"/>
    </xf>
    <xf numFmtId="189" fontId="11" fillId="0" borderId="21" xfId="20" applyNumberFormat="1" applyFont="1" applyBorder="1" applyAlignment="1">
      <alignment vertical="center"/>
    </xf>
    <xf numFmtId="189" fontId="10" fillId="0" borderId="22" xfId="20" applyNumberFormat="1" applyFont="1" applyFill="1" applyBorder="1" applyAlignment="1">
      <alignment vertical="center"/>
    </xf>
    <xf numFmtId="189" fontId="10" fillId="0" borderId="22" xfId="20" applyNumberFormat="1" applyFont="1" applyBorder="1" applyAlignment="1">
      <alignment vertical="center"/>
    </xf>
    <xf numFmtId="189" fontId="10" fillId="0" borderId="24" xfId="20" applyNumberFormat="1" applyFont="1" applyBorder="1" applyAlignment="1">
      <alignment vertical="center"/>
    </xf>
    <xf numFmtId="189" fontId="10" fillId="0" borderId="21" xfId="20" applyNumberFormat="1" applyFont="1" applyBorder="1" applyAlignment="1">
      <alignment vertical="center"/>
    </xf>
    <xf numFmtId="189" fontId="10" fillId="0" borderId="24" xfId="20" applyNumberFormat="1" applyFont="1" applyFill="1" applyBorder="1" applyAlignment="1">
      <alignment vertical="center"/>
    </xf>
    <xf numFmtId="189" fontId="10" fillId="0" borderId="21" xfId="20" applyNumberFormat="1" applyFont="1" applyFill="1" applyBorder="1" applyAlignment="1">
      <alignment vertical="center"/>
    </xf>
    <xf numFmtId="189" fontId="11" fillId="7" borderId="18" xfId="20" applyNumberFormat="1" applyFont="1" applyFill="1" applyBorder="1" applyAlignment="1">
      <alignment vertical="center"/>
    </xf>
    <xf numFmtId="189" fontId="11" fillId="0" borderId="26" xfId="20" applyNumberFormat="1" applyFont="1" applyBorder="1" applyAlignment="1">
      <alignment vertical="center"/>
    </xf>
    <xf numFmtId="189" fontId="11" fillId="0" borderId="27" xfId="20" applyNumberFormat="1" applyFont="1" applyBorder="1" applyAlignment="1">
      <alignment vertical="center"/>
    </xf>
    <xf numFmtId="189" fontId="11" fillId="0" borderId="28" xfId="20" applyNumberFormat="1" applyFont="1" applyBorder="1" applyAlignment="1">
      <alignment vertical="center"/>
    </xf>
    <xf numFmtId="189" fontId="11" fillId="0" borderId="25" xfId="20" applyNumberFormat="1" applyFont="1" applyBorder="1" applyAlignment="1">
      <alignment vertical="center"/>
    </xf>
    <xf numFmtId="189" fontId="25" fillId="0" borderId="27" xfId="20" applyNumberFormat="1" applyFont="1" applyBorder="1" applyAlignment="1">
      <alignment vertical="center"/>
    </xf>
    <xf numFmtId="189" fontId="11" fillId="0" borderId="27" xfId="20" applyNumberFormat="1" applyFont="1" applyBorder="1" applyAlignment="1">
      <alignment vertical="top"/>
    </xf>
    <xf numFmtId="189" fontId="11" fillId="5" borderId="26" xfId="20" applyNumberFormat="1" applyFont="1" applyFill="1" applyBorder="1" applyAlignment="1">
      <alignment vertical="center"/>
    </xf>
    <xf numFmtId="43" fontId="11" fillId="0" borderId="27" xfId="20" applyFont="1" applyBorder="1" applyAlignment="1">
      <alignment vertical="center"/>
    </xf>
    <xf numFmtId="189" fontId="11" fillId="5" borderId="28" xfId="20" applyNumberFormat="1" applyFont="1" applyFill="1" applyBorder="1" applyAlignment="1">
      <alignment vertical="center"/>
    </xf>
    <xf numFmtId="189" fontId="25" fillId="5" borderId="28" xfId="20" applyNumberFormat="1" applyFont="1" applyFill="1" applyBorder="1" applyAlignment="1">
      <alignment vertical="center"/>
    </xf>
    <xf numFmtId="189" fontId="11" fillId="5" borderId="28" xfId="20" applyNumberFormat="1" applyFont="1" applyFill="1" applyBorder="1" applyAlignment="1">
      <alignment vertical="top"/>
    </xf>
    <xf numFmtId="189" fontId="25" fillId="0" borderId="20" xfId="20" applyNumberFormat="1" applyFont="1" applyBorder="1" applyAlignment="1">
      <alignment horizontal="center" vertical="center"/>
    </xf>
    <xf numFmtId="189" fontId="11" fillId="0" borderId="20" xfId="20" applyNumberFormat="1" applyFont="1" applyBorder="1" applyAlignment="1">
      <alignment horizontal="center" vertical="top"/>
    </xf>
    <xf numFmtId="189" fontId="11" fillId="0" borderId="0" xfId="20" applyNumberFormat="1" applyFont="1" applyFill="1" applyBorder="1" applyAlignment="1">
      <alignment vertical="center"/>
    </xf>
    <xf numFmtId="189" fontId="11" fillId="0" borderId="9" xfId="20" applyNumberFormat="1" applyFont="1" applyBorder="1" applyAlignment="1">
      <alignment vertical="center"/>
    </xf>
    <xf numFmtId="189" fontId="21" fillId="0" borderId="20" xfId="20" applyNumberFormat="1" applyFont="1" applyBorder="1" applyAlignment="1">
      <alignment vertical="top"/>
    </xf>
    <xf numFmtId="43" fontId="11" fillId="0" borderId="3" xfId="20" applyFont="1" applyBorder="1" applyAlignment="1">
      <alignment vertical="center"/>
    </xf>
    <xf numFmtId="189" fontId="25" fillId="0" borderId="24" xfId="20" applyNumberFormat="1" applyFont="1" applyBorder="1" applyAlignment="1">
      <alignment vertical="center"/>
    </xf>
    <xf numFmtId="189" fontId="11" fillId="0" borderId="24" xfId="20" applyNumberFormat="1" applyFont="1" applyBorder="1" applyAlignment="1">
      <alignment vertical="top"/>
    </xf>
    <xf numFmtId="43" fontId="11" fillId="0" borderId="24" xfId="20" applyFont="1" applyBorder="1" applyAlignment="1">
      <alignment vertical="center"/>
    </xf>
    <xf numFmtId="43" fontId="11" fillId="0" borderId="0" xfId="20" applyFont="1" applyAlignment="1">
      <alignment vertical="center"/>
    </xf>
    <xf numFmtId="189" fontId="11" fillId="0" borderId="32" xfId="20" applyNumberFormat="1" applyFont="1" applyBorder="1" applyAlignment="1">
      <alignment vertical="center"/>
    </xf>
    <xf numFmtId="189" fontId="11" fillId="0" borderId="32" xfId="20" applyNumberFormat="1" applyFont="1" applyBorder="1" applyAlignment="1">
      <alignment vertical="top"/>
    </xf>
    <xf numFmtId="189" fontId="11" fillId="6" borderId="18" xfId="20" applyNumberFormat="1" applyFont="1" applyFill="1" applyBorder="1" applyAlignment="1">
      <alignment horizontal="left" vertical="center" indent="4"/>
    </xf>
    <xf numFmtId="189" fontId="11" fillId="6" borderId="20" xfId="20" applyNumberFormat="1" applyFont="1" applyFill="1" applyBorder="1" applyAlignment="1">
      <alignment vertical="center" wrapText="1"/>
    </xf>
    <xf numFmtId="189" fontId="11" fillId="6" borderId="24" xfId="20" applyNumberFormat="1" applyFont="1" applyFill="1" applyBorder="1" applyAlignment="1">
      <alignment vertical="center" wrapText="1"/>
    </xf>
    <xf numFmtId="189" fontId="25" fillId="6" borderId="24" xfId="20" applyNumberFormat="1" applyFont="1" applyFill="1" applyBorder="1" applyAlignment="1">
      <alignment vertical="center" wrapText="1"/>
    </xf>
    <xf numFmtId="189" fontId="11" fillId="6" borderId="24" xfId="20" applyNumberFormat="1" applyFont="1" applyFill="1" applyBorder="1" applyAlignment="1">
      <alignment vertical="top" wrapText="1"/>
    </xf>
    <xf numFmtId="189" fontId="10" fillId="0" borderId="26" xfId="20" applyNumberFormat="1" applyFont="1" applyBorder="1" applyAlignment="1">
      <alignment vertical="center"/>
    </xf>
    <xf numFmtId="189" fontId="10" fillId="0" borderId="28" xfId="20" applyNumberFormat="1" applyFont="1" applyBorder="1" applyAlignment="1">
      <alignment vertical="center"/>
    </xf>
    <xf numFmtId="189" fontId="10" fillId="0" borderId="25" xfId="20" applyNumberFormat="1" applyFont="1" applyBorder="1" applyAlignment="1">
      <alignment vertical="center"/>
    </xf>
    <xf numFmtId="43" fontId="10" fillId="0" borderId="28" xfId="20" applyFont="1" applyBorder="1" applyAlignment="1">
      <alignment vertical="center"/>
    </xf>
    <xf numFmtId="189" fontId="10" fillId="0" borderId="26" xfId="20" applyNumberFormat="1" applyFont="1" applyFill="1" applyBorder="1" applyAlignment="1">
      <alignment vertical="center"/>
    </xf>
    <xf numFmtId="43" fontId="10" fillId="0" borderId="24" xfId="20" applyFont="1" applyBorder="1" applyAlignment="1">
      <alignment vertical="center"/>
    </xf>
    <xf numFmtId="189" fontId="11" fillId="5" borderId="18" xfId="20" applyNumberFormat="1" applyFont="1" applyFill="1" applyBorder="1" applyAlignment="1">
      <alignment vertical="center"/>
    </xf>
    <xf numFmtId="43" fontId="10" fillId="0" borderId="20" xfId="20" applyFont="1" applyBorder="1" applyAlignment="1">
      <alignment vertical="top"/>
    </xf>
    <xf numFmtId="189" fontId="11" fillId="13" borderId="18" xfId="20" applyNumberFormat="1" applyFont="1" applyFill="1" applyBorder="1" applyAlignment="1">
      <alignment vertical="center"/>
    </xf>
    <xf numFmtId="189" fontId="11" fillId="13" borderId="19" xfId="20" applyNumberFormat="1" applyFont="1" applyFill="1" applyBorder="1" applyAlignment="1">
      <alignment vertical="center"/>
    </xf>
    <xf numFmtId="189" fontId="25" fillId="13" borderId="19" xfId="20" applyNumberFormat="1" applyFont="1" applyFill="1" applyBorder="1" applyAlignment="1">
      <alignment vertical="center"/>
    </xf>
    <xf numFmtId="189" fontId="11" fillId="13" borderId="19" xfId="20" applyNumberFormat="1" applyFont="1" applyFill="1" applyBorder="1" applyAlignment="1">
      <alignment vertical="top"/>
    </xf>
    <xf numFmtId="189" fontId="11" fillId="7" borderId="19" xfId="20" applyNumberFormat="1" applyFont="1" applyFill="1" applyBorder="1" applyAlignment="1">
      <alignment vertical="center"/>
    </xf>
    <xf numFmtId="43" fontId="11" fillId="13" borderId="19" xfId="20" applyFont="1" applyFill="1" applyBorder="1" applyAlignment="1">
      <alignment vertical="center"/>
    </xf>
    <xf numFmtId="189" fontId="25" fillId="7" borderId="19" xfId="20" applyNumberFormat="1" applyFont="1" applyFill="1" applyBorder="1" applyAlignment="1">
      <alignment vertical="center"/>
    </xf>
    <xf numFmtId="189" fontId="11" fillId="7" borderId="19" xfId="20" applyNumberFormat="1" applyFont="1" applyFill="1" applyBorder="1" applyAlignment="1">
      <alignment vertical="top"/>
    </xf>
    <xf numFmtId="189" fontId="11" fillId="0" borderId="26" xfId="20" applyNumberFormat="1" applyFont="1" applyFill="1" applyBorder="1" applyAlignment="1">
      <alignment vertical="center"/>
    </xf>
    <xf numFmtId="189" fontId="10" fillId="0" borderId="23" xfId="20" applyNumberFormat="1" applyFont="1" applyBorder="1" applyAlignment="1">
      <alignment vertical="center"/>
    </xf>
    <xf numFmtId="43" fontId="10" fillId="0" borderId="23" xfId="20" applyFont="1" applyBorder="1" applyAlignment="1">
      <alignment vertical="center"/>
    </xf>
    <xf numFmtId="189" fontId="25" fillId="0" borderId="31" xfId="20" applyNumberFormat="1" applyFont="1" applyBorder="1" applyAlignment="1">
      <alignment vertical="center"/>
    </xf>
    <xf numFmtId="189" fontId="11" fillId="0" borderId="31" xfId="20" applyNumberFormat="1" applyFont="1" applyBorder="1" applyAlignment="1">
      <alignment vertical="top"/>
    </xf>
    <xf numFmtId="189" fontId="11" fillId="5" borderId="19" xfId="20" applyNumberFormat="1" applyFont="1" applyFill="1" applyBorder="1" applyAlignment="1">
      <alignment vertical="center"/>
    </xf>
    <xf numFmtId="189" fontId="11" fillId="5" borderId="23" xfId="20" applyNumberFormat="1" applyFont="1" applyFill="1" applyBorder="1" applyAlignment="1">
      <alignment vertical="center"/>
    </xf>
    <xf numFmtId="189" fontId="25" fillId="5" borderId="23" xfId="20" applyNumberFormat="1" applyFont="1" applyFill="1" applyBorder="1" applyAlignment="1">
      <alignment vertical="center"/>
    </xf>
    <xf numFmtId="189" fontId="11" fillId="5" borderId="23" xfId="20" applyNumberFormat="1" applyFont="1" applyFill="1" applyBorder="1" applyAlignment="1">
      <alignment vertical="top"/>
    </xf>
    <xf numFmtId="189" fontId="11" fillId="6" borderId="19" xfId="20" applyNumberFormat="1" applyFont="1" applyFill="1" applyBorder="1" applyAlignment="1">
      <alignment vertical="center"/>
    </xf>
    <xf numFmtId="189" fontId="25" fillId="6" borderId="19" xfId="20" applyNumberFormat="1" applyFont="1" applyFill="1" applyBorder="1" applyAlignment="1">
      <alignment vertical="center"/>
    </xf>
    <xf numFmtId="189" fontId="11" fillId="6" borderId="19" xfId="20" applyNumberFormat="1" applyFont="1" applyFill="1" applyBorder="1" applyAlignment="1">
      <alignment vertical="top"/>
    </xf>
    <xf numFmtId="189" fontId="11" fillId="0" borderId="18" xfId="20" applyNumberFormat="1" applyFont="1" applyBorder="1" applyAlignment="1" applyProtection="1">
      <alignment vertical="center"/>
      <protection locked="0"/>
    </xf>
    <xf numFmtId="189" fontId="10" fillId="0" borderId="18" xfId="20" applyNumberFormat="1" applyFont="1" applyFill="1" applyBorder="1" applyAlignment="1" applyProtection="1">
      <alignment vertical="center"/>
      <protection locked="0"/>
    </xf>
    <xf numFmtId="189" fontId="11" fillId="0" borderId="17" xfId="20" applyNumberFormat="1" applyFont="1" applyFill="1" applyBorder="1" applyAlignment="1">
      <alignment vertical="center"/>
    </xf>
    <xf numFmtId="189" fontId="25" fillId="5" borderId="19" xfId="20" applyNumberFormat="1" applyFont="1" applyFill="1" applyBorder="1" applyAlignment="1">
      <alignment vertical="center"/>
    </xf>
    <xf numFmtId="189" fontId="11" fillId="5" borderId="19" xfId="20" applyNumberFormat="1" applyFont="1" applyFill="1" applyBorder="1" applyAlignment="1">
      <alignment vertical="top"/>
    </xf>
    <xf numFmtId="189" fontId="11" fillId="0" borderId="19" xfId="20" applyNumberFormat="1" applyFont="1" applyFill="1" applyBorder="1" applyAlignment="1">
      <alignment vertical="center" wrapText="1"/>
    </xf>
    <xf numFmtId="189" fontId="11" fillId="0" borderId="20" xfId="20" applyNumberFormat="1" applyFont="1" applyFill="1" applyBorder="1" applyAlignment="1">
      <alignment vertical="center" wrapText="1"/>
    </xf>
    <xf numFmtId="189" fontId="11" fillId="0" borderId="17" xfId="20" applyNumberFormat="1" applyFont="1" applyFill="1" applyBorder="1" applyAlignment="1">
      <alignment vertical="center" wrapText="1"/>
    </xf>
    <xf numFmtId="0" fontId="21" fillId="0" borderId="0" xfId="9" applyFont="1" applyAlignment="1">
      <alignment vertical="center"/>
    </xf>
    <xf numFmtId="189" fontId="25" fillId="0" borderId="19" xfId="20" applyNumberFormat="1" applyFont="1" applyFill="1" applyBorder="1" applyAlignment="1">
      <alignment vertical="center" wrapText="1"/>
    </xf>
    <xf numFmtId="189" fontId="11" fillId="0" borderId="19" xfId="20" applyNumberFormat="1" applyFont="1" applyFill="1" applyBorder="1" applyAlignment="1">
      <alignment vertical="top" wrapText="1"/>
    </xf>
    <xf numFmtId="189" fontId="10" fillId="0" borderId="18" xfId="20" applyNumberFormat="1" applyFont="1" applyFill="1" applyBorder="1" applyAlignment="1">
      <alignment vertical="center" wrapText="1"/>
    </xf>
    <xf numFmtId="43" fontId="11" fillId="0" borderId="19" xfId="20" applyFont="1" applyFill="1" applyBorder="1" applyAlignment="1">
      <alignment vertical="center" wrapText="1"/>
    </xf>
    <xf numFmtId="189" fontId="11" fillId="0" borderId="18" xfId="20" applyNumberFormat="1" applyFont="1" applyFill="1" applyBorder="1" applyAlignment="1">
      <alignment vertical="center" wrapText="1"/>
    </xf>
    <xf numFmtId="189" fontId="10" fillId="0" borderId="30" xfId="20" applyNumberFormat="1" applyFont="1" applyFill="1" applyBorder="1" applyAlignment="1">
      <alignment vertical="center" wrapText="1"/>
    </xf>
    <xf numFmtId="189" fontId="10" fillId="0" borderId="32" xfId="20" applyNumberFormat="1" applyFont="1" applyFill="1" applyBorder="1" applyAlignment="1">
      <alignment vertical="center"/>
    </xf>
    <xf numFmtId="189" fontId="10" fillId="0" borderId="30" xfId="20" applyNumberFormat="1" applyFont="1" applyBorder="1" applyAlignment="1">
      <alignment vertical="center"/>
    </xf>
    <xf numFmtId="189" fontId="10" fillId="0" borderId="31" xfId="20" applyNumberFormat="1" applyFont="1" applyFill="1" applyBorder="1" applyAlignment="1">
      <alignment vertical="center"/>
    </xf>
    <xf numFmtId="189" fontId="10" fillId="0" borderId="29" xfId="20" applyNumberFormat="1" applyFont="1" applyFill="1" applyBorder="1" applyAlignment="1">
      <alignment vertical="center"/>
    </xf>
    <xf numFmtId="189" fontId="11" fillId="0" borderId="22" xfId="20" applyNumberFormat="1" applyFont="1" applyFill="1" applyBorder="1" applyAlignment="1">
      <alignment vertical="center" wrapText="1"/>
    </xf>
    <xf numFmtId="43" fontId="10" fillId="0" borderId="32" xfId="20" applyFont="1" applyFill="1" applyBorder="1" applyAlignment="1">
      <alignment vertical="center"/>
    </xf>
    <xf numFmtId="189" fontId="11" fillId="0" borderId="23" xfId="20" applyNumberFormat="1" applyFont="1" applyFill="1" applyBorder="1" applyAlignment="1">
      <alignment vertical="center"/>
    </xf>
    <xf numFmtId="43" fontId="11" fillId="0" borderId="23" xfId="20" applyFont="1" applyFill="1" applyBorder="1" applyAlignment="1">
      <alignment vertical="center"/>
    </xf>
    <xf numFmtId="189" fontId="23" fillId="0" borderId="32" xfId="20" applyNumberFormat="1" applyFont="1" applyFill="1" applyBorder="1" applyAlignment="1">
      <alignment vertical="center"/>
    </xf>
    <xf numFmtId="189" fontId="10" fillId="0" borderId="32" xfId="20" applyNumberFormat="1" applyFont="1" applyFill="1" applyBorder="1" applyAlignment="1">
      <alignment vertical="top"/>
    </xf>
    <xf numFmtId="189" fontId="11" fillId="0" borderId="15" xfId="20" applyNumberFormat="1" applyFont="1" applyFill="1" applyBorder="1" applyAlignment="1">
      <alignment vertical="center"/>
    </xf>
    <xf numFmtId="189" fontId="25" fillId="0" borderId="15" xfId="20" applyNumberFormat="1" applyFont="1" applyFill="1" applyBorder="1" applyAlignment="1">
      <alignment vertical="center"/>
    </xf>
    <xf numFmtId="189" fontId="11" fillId="0" borderId="15" xfId="20" applyNumberFormat="1" applyFont="1" applyFill="1" applyBorder="1" applyAlignment="1">
      <alignment vertical="top"/>
    </xf>
    <xf numFmtId="43" fontId="11" fillId="0" borderId="15" xfId="20" applyFont="1" applyFill="1" applyBorder="1" applyAlignment="1">
      <alignment vertical="top"/>
    </xf>
    <xf numFmtId="43" fontId="21" fillId="0" borderId="0" xfId="20" applyFont="1" applyAlignment="1">
      <alignment vertical="center"/>
    </xf>
    <xf numFmtId="189" fontId="11" fillId="0" borderId="18" xfId="20" applyNumberFormat="1" applyFont="1" applyFill="1" applyBorder="1" applyAlignment="1">
      <alignment vertical="top" wrapText="1"/>
    </xf>
    <xf numFmtId="189" fontId="25" fillId="0" borderId="19" xfId="20" applyNumberFormat="1" applyFont="1" applyFill="1" applyBorder="1" applyAlignment="1">
      <alignment vertical="top" wrapText="1"/>
    </xf>
    <xf numFmtId="43" fontId="11" fillId="0" borderId="19" xfId="20" applyFont="1" applyFill="1" applyBorder="1" applyAlignment="1">
      <alignment vertical="top"/>
    </xf>
    <xf numFmtId="189" fontId="10" fillId="0" borderId="22" xfId="20" applyNumberFormat="1" applyFont="1" applyFill="1" applyBorder="1" applyAlignment="1">
      <alignment vertical="center" wrapText="1"/>
    </xf>
    <xf numFmtId="189" fontId="10" fillId="0" borderId="23" xfId="20" applyNumberFormat="1" applyFont="1" applyFill="1" applyBorder="1" applyAlignment="1">
      <alignment vertical="center"/>
    </xf>
    <xf numFmtId="43" fontId="10" fillId="0" borderId="23" xfId="20" applyFont="1" applyFill="1" applyBorder="1" applyAlignment="1">
      <alignment vertical="center"/>
    </xf>
    <xf numFmtId="189" fontId="21" fillId="0" borderId="0" xfId="9" applyNumberFormat="1" applyFont="1" applyAlignment="1">
      <alignment vertical="center"/>
    </xf>
    <xf numFmtId="189" fontId="25" fillId="0" borderId="23" xfId="20" applyNumberFormat="1" applyFont="1" applyFill="1" applyBorder="1" applyAlignment="1">
      <alignment vertical="center"/>
    </xf>
    <xf numFmtId="189" fontId="11" fillId="0" borderId="23" xfId="20" applyNumberFormat="1" applyFont="1" applyFill="1" applyBorder="1" applyAlignment="1">
      <alignment vertical="top"/>
    </xf>
    <xf numFmtId="43" fontId="11" fillId="0" borderId="23" xfId="20" applyFont="1" applyFill="1" applyBorder="1" applyAlignment="1">
      <alignment vertical="top"/>
    </xf>
    <xf numFmtId="40" fontId="10" fillId="0" borderId="0" xfId="20" applyNumberFormat="1" applyFont="1" applyAlignment="1">
      <alignment vertical="center"/>
    </xf>
    <xf numFmtId="189" fontId="11" fillId="0" borderId="24" xfId="20" applyNumberFormat="1" applyFont="1" applyFill="1" applyBorder="1" applyAlignment="1">
      <alignment vertical="center"/>
    </xf>
    <xf numFmtId="189" fontId="11" fillId="0" borderId="21" xfId="20" applyNumberFormat="1" applyFont="1" applyFill="1" applyBorder="1" applyAlignment="1">
      <alignment vertical="center"/>
    </xf>
    <xf numFmtId="189" fontId="25" fillId="0" borderId="19" xfId="20" applyNumberFormat="1" applyFont="1" applyFill="1" applyBorder="1" applyAlignment="1">
      <alignment vertical="top"/>
    </xf>
    <xf numFmtId="189" fontId="11" fillId="0" borderId="32" xfId="20" applyNumberFormat="1" applyFont="1" applyFill="1" applyBorder="1" applyAlignment="1">
      <alignment vertical="center"/>
    </xf>
    <xf numFmtId="189" fontId="25" fillId="0" borderId="32" xfId="20" applyNumberFormat="1" applyFont="1" applyFill="1" applyBorder="1" applyAlignment="1">
      <alignment vertical="center"/>
    </xf>
    <xf numFmtId="189" fontId="11" fillId="0" borderId="32" xfId="20" applyNumberFormat="1" applyFont="1" applyFill="1" applyBorder="1" applyAlignment="1">
      <alignment vertical="top"/>
    </xf>
    <xf numFmtId="0" fontId="23" fillId="0" borderId="18" xfId="13" applyFont="1" applyBorder="1" applyAlignment="1">
      <alignment horizontal="left" vertical="center" indent="9"/>
    </xf>
    <xf numFmtId="189" fontId="23" fillId="0" borderId="19" xfId="20" applyNumberFormat="1" applyFont="1" applyFill="1" applyBorder="1" applyAlignment="1">
      <alignment vertical="top"/>
    </xf>
    <xf numFmtId="189" fontId="10" fillId="0" borderId="0" xfId="20" applyNumberFormat="1" applyFont="1" applyAlignment="1">
      <alignment vertical="center"/>
    </xf>
    <xf numFmtId="188" fontId="10" fillId="0" borderId="0" xfId="9" applyNumberFormat="1" applyFont="1" applyAlignment="1">
      <alignment vertical="center"/>
    </xf>
    <xf numFmtId="43" fontId="10" fillId="0" borderId="9" xfId="1" applyFont="1" applyBorder="1"/>
    <xf numFmtId="43" fontId="10" fillId="0" borderId="22" xfId="20" applyFont="1" applyBorder="1" applyAlignment="1">
      <alignment vertical="center"/>
    </xf>
    <xf numFmtId="189" fontId="11" fillId="7" borderId="14" xfId="20" applyNumberFormat="1" applyFont="1" applyFill="1" applyBorder="1" applyAlignment="1">
      <alignment vertical="center"/>
    </xf>
    <xf numFmtId="189" fontId="11" fillId="7" borderId="16" xfId="20" applyNumberFormat="1" applyFont="1" applyFill="1" applyBorder="1" applyAlignment="1">
      <alignment vertical="center"/>
    </xf>
    <xf numFmtId="189" fontId="11" fillId="7" borderId="24" xfId="20" applyNumberFormat="1" applyFont="1" applyFill="1" applyBorder="1" applyAlignment="1">
      <alignment vertical="center"/>
    </xf>
    <xf numFmtId="189" fontId="21" fillId="0" borderId="26" xfId="20" applyNumberFormat="1" applyFont="1" applyBorder="1" applyAlignment="1">
      <alignment vertical="center"/>
    </xf>
    <xf numFmtId="189" fontId="21" fillId="0" borderId="28" xfId="20" applyNumberFormat="1" applyFont="1" applyBorder="1" applyAlignment="1">
      <alignment vertical="center"/>
    </xf>
    <xf numFmtId="43" fontId="11" fillId="0" borderId="28" xfId="20" applyFont="1" applyBorder="1" applyAlignment="1">
      <alignment vertical="center"/>
    </xf>
    <xf numFmtId="189" fontId="23" fillId="0" borderId="20" xfId="20" applyNumberFormat="1" applyFont="1" applyFill="1" applyBorder="1"/>
    <xf numFmtId="189" fontId="10" fillId="0" borderId="20" xfId="20" applyNumberFormat="1" applyFont="1" applyFill="1" applyBorder="1" applyAlignment="1">
      <alignment vertical="top"/>
    </xf>
    <xf numFmtId="189" fontId="10" fillId="0" borderId="26" xfId="20" applyNumberFormat="1" applyFont="1" applyBorder="1" applyAlignment="1" applyProtection="1">
      <alignment vertical="center"/>
      <protection locked="0"/>
    </xf>
    <xf numFmtId="189" fontId="10" fillId="0" borderId="28" xfId="20" applyNumberFormat="1" applyFont="1" applyFill="1" applyBorder="1" applyAlignment="1">
      <alignment vertical="center"/>
    </xf>
    <xf numFmtId="189" fontId="10" fillId="0" borderId="25" xfId="20" applyNumberFormat="1" applyFont="1" applyFill="1" applyBorder="1" applyAlignment="1">
      <alignment vertical="center"/>
    </xf>
    <xf numFmtId="189" fontId="23" fillId="0" borderId="20" xfId="20" applyNumberFormat="1" applyFont="1" applyFill="1" applyBorder="1" applyAlignment="1">
      <alignment vertical="center"/>
    </xf>
    <xf numFmtId="43" fontId="10" fillId="0" borderId="28" xfId="20" applyFont="1" applyFill="1" applyBorder="1" applyAlignment="1">
      <alignment vertical="center"/>
    </xf>
    <xf numFmtId="189" fontId="10" fillId="0" borderId="18" xfId="20" applyNumberFormat="1" applyFont="1" applyBorder="1" applyAlignment="1" applyProtection="1">
      <alignment vertical="center"/>
      <protection locked="0"/>
    </xf>
    <xf numFmtId="43" fontId="10" fillId="0" borderId="22" xfId="20" applyFont="1" applyBorder="1"/>
    <xf numFmtId="189" fontId="11" fillId="0" borderId="22" xfId="20" applyNumberFormat="1" applyFont="1" applyBorder="1" applyAlignment="1" applyProtection="1">
      <alignment vertical="center"/>
      <protection locked="0"/>
    </xf>
    <xf numFmtId="189" fontId="11" fillId="0" borderId="22" xfId="20" applyNumberFormat="1" applyFont="1" applyFill="1" applyBorder="1" applyAlignment="1" applyProtection="1">
      <alignment vertical="center"/>
      <protection locked="0"/>
    </xf>
    <xf numFmtId="43" fontId="11" fillId="0" borderId="0" xfId="20" applyFont="1" applyFill="1" applyAlignment="1">
      <alignment vertical="center"/>
    </xf>
    <xf numFmtId="189" fontId="11" fillId="9" borderId="19" xfId="20" applyNumberFormat="1" applyFont="1" applyFill="1" applyBorder="1" applyAlignment="1" applyProtection="1">
      <alignment vertical="center"/>
      <protection locked="0"/>
    </xf>
    <xf numFmtId="189" fontId="25" fillId="9" borderId="19" xfId="20" applyNumberFormat="1" applyFont="1" applyFill="1" applyBorder="1" applyAlignment="1" applyProtection="1">
      <alignment vertical="center"/>
      <protection locked="0"/>
    </xf>
    <xf numFmtId="189" fontId="11" fillId="9" borderId="19" xfId="20" applyNumberFormat="1" applyFont="1" applyFill="1" applyBorder="1" applyAlignment="1" applyProtection="1">
      <alignment vertical="top"/>
      <protection locked="0"/>
    </xf>
    <xf numFmtId="189" fontId="25" fillId="0" borderId="20" xfId="20" applyNumberFormat="1" applyFont="1" applyFill="1" applyBorder="1" applyAlignment="1">
      <alignment vertical="center" wrapText="1"/>
    </xf>
    <xf numFmtId="189" fontId="11" fillId="0" borderId="20" xfId="20" applyNumberFormat="1" applyFont="1" applyFill="1" applyBorder="1" applyAlignment="1">
      <alignment vertical="top" wrapText="1"/>
    </xf>
    <xf numFmtId="189" fontId="25" fillId="0" borderId="20" xfId="20" applyNumberFormat="1" applyFont="1" applyFill="1" applyBorder="1" applyAlignment="1">
      <alignment vertical="center"/>
    </xf>
    <xf numFmtId="189" fontId="23" fillId="0" borderId="31" xfId="20" applyNumberFormat="1" applyFont="1" applyFill="1" applyBorder="1" applyAlignment="1">
      <alignment vertical="center"/>
    </xf>
    <xf numFmtId="189" fontId="10" fillId="0" borderId="31" xfId="20" applyNumberFormat="1" applyFont="1" applyFill="1" applyBorder="1" applyAlignment="1">
      <alignment vertical="top"/>
    </xf>
    <xf numFmtId="189" fontId="11" fillId="0" borderId="16" xfId="20" applyNumberFormat="1" applyFont="1" applyFill="1" applyBorder="1" applyAlignment="1">
      <alignment vertical="center" wrapText="1"/>
    </xf>
    <xf numFmtId="189" fontId="25" fillId="0" borderId="16" xfId="20" applyNumberFormat="1" applyFont="1" applyFill="1" applyBorder="1" applyAlignment="1">
      <alignment vertical="center" wrapText="1"/>
    </xf>
    <xf numFmtId="189" fontId="11" fillId="0" borderId="16" xfId="20" applyNumberFormat="1" applyFont="1" applyFill="1" applyBorder="1" applyAlignment="1">
      <alignment vertical="top" wrapText="1"/>
    </xf>
    <xf numFmtId="189" fontId="11" fillId="7" borderId="23" xfId="20" applyNumberFormat="1" applyFont="1" applyFill="1" applyBorder="1" applyAlignment="1">
      <alignment vertical="center"/>
    </xf>
    <xf numFmtId="189" fontId="11" fillId="10" borderId="18" xfId="20" applyNumberFormat="1" applyFont="1" applyFill="1" applyBorder="1" applyAlignment="1" applyProtection="1">
      <alignment vertical="center"/>
      <protection locked="0"/>
    </xf>
    <xf numFmtId="43" fontId="11" fillId="9" borderId="19" xfId="20" applyFont="1" applyFill="1" applyBorder="1" applyAlignment="1" applyProtection="1">
      <alignment vertical="center"/>
      <protection locked="0"/>
    </xf>
    <xf numFmtId="0" fontId="11" fillId="0" borderId="21" xfId="9" applyFont="1" applyBorder="1" applyAlignment="1">
      <alignment horizontal="left" vertical="center" indent="6"/>
    </xf>
    <xf numFmtId="0" fontId="10" fillId="0" borderId="23" xfId="13" applyFont="1" applyBorder="1" applyAlignment="1">
      <alignment horizontal="left" wrapText="1" indent="4"/>
    </xf>
    <xf numFmtId="187" fontId="10" fillId="0" borderId="23" xfId="13" applyNumberFormat="1" applyFont="1" applyBorder="1" applyAlignment="1">
      <alignment horizontal="left" wrapText="1" indent="4"/>
    </xf>
    <xf numFmtId="43" fontId="10" fillId="0" borderId="0" xfId="20" applyFont="1" applyFill="1"/>
    <xf numFmtId="189" fontId="11" fillId="0" borderId="20" xfId="20" applyNumberFormat="1" applyFont="1" applyFill="1" applyBorder="1" applyAlignment="1" applyProtection="1">
      <alignment vertical="center"/>
      <protection locked="0"/>
    </xf>
    <xf numFmtId="189" fontId="25" fillId="0" borderId="20" xfId="20" applyNumberFormat="1" applyFont="1" applyFill="1" applyBorder="1" applyAlignment="1" applyProtection="1">
      <alignment vertical="center"/>
      <protection locked="0"/>
    </xf>
    <xf numFmtId="189" fontId="11" fillId="0" borderId="20" xfId="20" applyNumberFormat="1" applyFont="1" applyFill="1" applyBorder="1" applyAlignment="1" applyProtection="1">
      <alignment vertical="top"/>
      <protection locked="0"/>
    </xf>
    <xf numFmtId="189" fontId="11" fillId="12" borderId="18" xfId="20" applyNumberFormat="1" applyFont="1" applyFill="1" applyBorder="1" applyAlignment="1">
      <alignment vertical="center"/>
    </xf>
    <xf numFmtId="189" fontId="11" fillId="12" borderId="20" xfId="20" applyNumberFormat="1" applyFont="1" applyFill="1" applyBorder="1" applyAlignment="1">
      <alignment vertical="center"/>
    </xf>
    <xf numFmtId="189" fontId="10" fillId="0" borderId="20" xfId="20" applyNumberFormat="1" applyFont="1" applyFill="1" applyBorder="1" applyAlignment="1" applyProtection="1">
      <alignment vertical="top"/>
      <protection locked="0"/>
    </xf>
    <xf numFmtId="0" fontId="10" fillId="0" borderId="19" xfId="9" applyFont="1" applyBorder="1" applyAlignment="1">
      <alignment horizontal="left" vertical="center" wrapText="1" indent="2"/>
    </xf>
    <xf numFmtId="0" fontId="10" fillId="0" borderId="19" xfId="9" applyFont="1" applyBorder="1" applyAlignment="1">
      <alignment horizontal="left" vertical="top" wrapText="1" indent="2"/>
    </xf>
    <xf numFmtId="0" fontId="21" fillId="0" borderId="17" xfId="13" applyFont="1" applyBorder="1" applyAlignment="1">
      <alignment horizontal="left" vertical="center" indent="6"/>
    </xf>
    <xf numFmtId="0" fontId="22" fillId="0" borderId="18" xfId="9" applyFont="1" applyBorder="1" applyAlignment="1">
      <alignment horizontal="left" vertical="center" indent="2"/>
    </xf>
    <xf numFmtId="0" fontId="22" fillId="0" borderId="19" xfId="9" applyFont="1" applyBorder="1" applyAlignment="1">
      <alignment horizontal="left" vertical="center" wrapText="1" indent="2"/>
    </xf>
    <xf numFmtId="189" fontId="21" fillId="0" borderId="20" xfId="20" applyNumberFormat="1" applyFont="1" applyFill="1" applyBorder="1" applyAlignment="1" applyProtection="1">
      <alignment vertical="center"/>
      <protection locked="0"/>
    </xf>
    <xf numFmtId="189" fontId="22" fillId="0" borderId="20" xfId="20" applyNumberFormat="1" applyFont="1" applyFill="1" applyBorder="1" applyAlignment="1" applyProtection="1">
      <alignment vertical="top"/>
      <protection locked="0"/>
    </xf>
    <xf numFmtId="189" fontId="21" fillId="12" borderId="18" xfId="20" applyNumberFormat="1" applyFont="1" applyFill="1" applyBorder="1" applyAlignment="1">
      <alignment vertical="center"/>
    </xf>
    <xf numFmtId="189" fontId="21" fillId="12" borderId="20" xfId="20" applyNumberFormat="1" applyFont="1" applyFill="1" applyBorder="1" applyAlignment="1">
      <alignment vertical="center"/>
    </xf>
    <xf numFmtId="43" fontId="22" fillId="0" borderId="0" xfId="20" applyFont="1"/>
    <xf numFmtId="0" fontId="10" fillId="0" borderId="19" xfId="13" applyFont="1" applyBorder="1" applyAlignment="1">
      <alignment horizontal="left" wrapText="1" indent="4"/>
    </xf>
    <xf numFmtId="187" fontId="10" fillId="0" borderId="19" xfId="13" applyNumberFormat="1" applyFont="1" applyBorder="1" applyAlignment="1">
      <alignment horizontal="left" wrapText="1" indent="4"/>
    </xf>
    <xf numFmtId="43" fontId="10" fillId="0" borderId="23" xfId="20" applyFont="1" applyFill="1" applyBorder="1" applyAlignment="1">
      <alignment horizontal="left" wrapText="1" indent="4"/>
    </xf>
    <xf numFmtId="0" fontId="22" fillId="0" borderId="19" xfId="9" applyFont="1" applyBorder="1" applyAlignment="1">
      <alignment horizontal="left" vertical="top" wrapText="1" indent="2"/>
    </xf>
    <xf numFmtId="0" fontId="10" fillId="0" borderId="19" xfId="9" applyFont="1" applyBorder="1" applyAlignment="1">
      <alignment horizontal="left" vertical="top" wrapText="1"/>
    </xf>
    <xf numFmtId="189" fontId="11" fillId="0" borderId="18" xfId="20" applyNumberFormat="1" applyFont="1" applyFill="1" applyBorder="1" applyAlignment="1" applyProtection="1">
      <alignment vertical="center"/>
      <protection locked="0"/>
    </xf>
    <xf numFmtId="189" fontId="11" fillId="0" borderId="26" xfId="20" applyNumberFormat="1" applyFont="1" applyBorder="1" applyAlignment="1" applyProtection="1">
      <alignment vertical="center"/>
      <protection locked="0"/>
    </xf>
    <xf numFmtId="189" fontId="18" fillId="0" borderId="0" xfId="20" applyNumberFormat="1" applyFont="1" applyFill="1" applyBorder="1"/>
    <xf numFmtId="189" fontId="18" fillId="0" borderId="0" xfId="20" applyNumberFormat="1" applyFont="1" applyBorder="1"/>
    <xf numFmtId="43" fontId="18" fillId="0" borderId="0" xfId="20" applyFont="1"/>
    <xf numFmtId="43" fontId="19" fillId="0" borderId="0" xfId="20" applyFont="1"/>
    <xf numFmtId="189" fontId="18" fillId="0" borderId="20" xfId="20" applyNumberFormat="1" applyFont="1" applyBorder="1"/>
    <xf numFmtId="189" fontId="25" fillId="0" borderId="19" xfId="20" applyNumberFormat="1" applyFont="1" applyBorder="1"/>
    <xf numFmtId="189" fontId="10" fillId="0" borderId="0" xfId="20" applyNumberFormat="1" applyFont="1" applyFill="1" applyBorder="1"/>
    <xf numFmtId="189" fontId="11" fillId="0" borderId="0" xfId="20" applyNumberFormat="1" applyFont="1" applyBorder="1"/>
    <xf numFmtId="43" fontId="11" fillId="0" borderId="0" xfId="20" applyFont="1" applyBorder="1"/>
    <xf numFmtId="189" fontId="10" fillId="0" borderId="0" xfId="20" applyNumberFormat="1" applyFont="1" applyBorder="1"/>
    <xf numFmtId="189" fontId="10" fillId="0" borderId="20" xfId="20" applyNumberFormat="1" applyFont="1" applyBorder="1"/>
    <xf numFmtId="189" fontId="11" fillId="4" borderId="22" xfId="20" applyNumberFormat="1" applyFont="1" applyFill="1" applyBorder="1" applyAlignment="1" applyProtection="1">
      <alignment vertical="center"/>
      <protection locked="0"/>
    </xf>
    <xf numFmtId="43" fontId="10" fillId="0" borderId="0" xfId="20" applyFont="1" applyBorder="1"/>
    <xf numFmtId="189" fontId="11" fillId="4" borderId="24" xfId="20" applyNumberFormat="1" applyFont="1" applyFill="1" applyBorder="1" applyAlignment="1" applyProtection="1">
      <alignment vertical="center"/>
      <protection locked="0"/>
    </xf>
    <xf numFmtId="189" fontId="11" fillId="4" borderId="21" xfId="20" applyNumberFormat="1" applyFont="1" applyFill="1" applyBorder="1" applyAlignment="1" applyProtection="1">
      <alignment vertical="center"/>
      <protection locked="0"/>
    </xf>
    <xf numFmtId="189" fontId="11" fillId="4" borderId="20" xfId="20" applyNumberFormat="1" applyFont="1" applyFill="1" applyBorder="1" applyAlignment="1" applyProtection="1">
      <alignment vertical="center"/>
      <protection locked="0"/>
    </xf>
    <xf numFmtId="189" fontId="25" fillId="4" borderId="20" xfId="20" applyNumberFormat="1" applyFont="1" applyFill="1" applyBorder="1" applyAlignment="1" applyProtection="1">
      <alignment vertical="center"/>
      <protection locked="0"/>
    </xf>
    <xf numFmtId="189" fontId="11" fillId="4" borderId="20" xfId="20" applyNumberFormat="1" applyFont="1" applyFill="1" applyBorder="1" applyAlignment="1" applyProtection="1">
      <alignment vertical="top"/>
      <protection locked="0"/>
    </xf>
    <xf numFmtId="189" fontId="11" fillId="5" borderId="20" xfId="20" applyNumberFormat="1" applyFont="1" applyFill="1" applyBorder="1" applyAlignment="1" applyProtection="1">
      <alignment vertical="center"/>
      <protection locked="0"/>
    </xf>
    <xf numFmtId="189" fontId="11" fillId="5" borderId="18" xfId="20" applyNumberFormat="1" applyFont="1" applyFill="1" applyBorder="1" applyAlignment="1" applyProtection="1">
      <alignment vertical="center"/>
      <protection locked="0"/>
    </xf>
    <xf numFmtId="189" fontId="11" fillId="5" borderId="17" xfId="20" applyNumberFormat="1" applyFont="1" applyFill="1" applyBorder="1" applyAlignment="1" applyProtection="1">
      <alignment vertical="center"/>
      <protection locked="0"/>
    </xf>
    <xf numFmtId="189" fontId="25" fillId="5" borderId="20" xfId="20" applyNumberFormat="1" applyFont="1" applyFill="1" applyBorder="1" applyAlignment="1" applyProtection="1">
      <alignment vertical="center"/>
      <protection locked="0"/>
    </xf>
    <xf numFmtId="189" fontId="11" fillId="5" borderId="20" xfId="20" applyNumberFormat="1" applyFont="1" applyFill="1" applyBorder="1" applyAlignment="1" applyProtection="1">
      <alignment vertical="top"/>
      <protection locked="0"/>
    </xf>
    <xf numFmtId="189" fontId="11" fillId="6" borderId="20" xfId="20" applyNumberFormat="1" applyFont="1" applyFill="1" applyBorder="1" applyAlignment="1" applyProtection="1">
      <alignment vertical="center"/>
      <protection locked="0"/>
    </xf>
    <xf numFmtId="189" fontId="25" fillId="6" borderId="20" xfId="20" applyNumberFormat="1" applyFont="1" applyFill="1" applyBorder="1" applyAlignment="1" applyProtection="1">
      <alignment vertical="center"/>
      <protection locked="0"/>
    </xf>
    <xf numFmtId="189" fontId="11" fillId="6" borderId="20" xfId="20" applyNumberFormat="1" applyFont="1" applyFill="1" applyBorder="1" applyAlignment="1" applyProtection="1">
      <alignment vertical="top"/>
      <protection locked="0"/>
    </xf>
    <xf numFmtId="189" fontId="11" fillId="7" borderId="20" xfId="20" applyNumberFormat="1" applyFont="1" applyFill="1" applyBorder="1" applyAlignment="1" applyProtection="1">
      <alignment vertical="center"/>
      <protection locked="0"/>
    </xf>
    <xf numFmtId="0" fontId="11" fillId="0" borderId="18" xfId="13" applyFont="1" applyBorder="1" applyAlignment="1">
      <alignment horizontal="left" vertical="center" wrapText="1" indent="6"/>
    </xf>
    <xf numFmtId="0" fontId="11" fillId="0" borderId="19" xfId="13" applyFont="1" applyBorder="1" applyAlignment="1">
      <alignment horizontal="left" vertical="center" wrapText="1" indent="6"/>
    </xf>
    <xf numFmtId="189" fontId="11" fillId="11" borderId="20" xfId="20" applyNumberFormat="1" applyFont="1" applyFill="1" applyBorder="1" applyAlignment="1">
      <alignment vertical="center"/>
    </xf>
    <xf numFmtId="189" fontId="25" fillId="0" borderId="18" xfId="20" applyNumberFormat="1" applyFont="1" applyFill="1" applyBorder="1" applyAlignment="1" applyProtection="1">
      <alignment vertical="center"/>
      <protection locked="0"/>
    </xf>
    <xf numFmtId="0" fontId="11" fillId="3" borderId="19" xfId="9" applyFont="1" applyFill="1" applyBorder="1" applyAlignment="1">
      <alignment horizontal="left" vertical="center" indent="2"/>
    </xf>
    <xf numFmtId="189" fontId="11" fillId="3" borderId="20" xfId="1" applyNumberFormat="1" applyFont="1" applyFill="1" applyBorder="1" applyAlignment="1" applyProtection="1">
      <alignment vertical="center"/>
      <protection locked="0"/>
    </xf>
    <xf numFmtId="189" fontId="25" fillId="3" borderId="20" xfId="1" applyNumberFormat="1" applyFont="1" applyFill="1" applyBorder="1" applyAlignment="1" applyProtection="1">
      <alignment vertical="center"/>
      <protection locked="0"/>
    </xf>
    <xf numFmtId="189" fontId="10" fillId="3" borderId="20" xfId="1" applyNumberFormat="1" applyFont="1" applyFill="1" applyBorder="1" applyAlignment="1" applyProtection="1">
      <alignment vertical="top"/>
      <protection locked="0"/>
    </xf>
    <xf numFmtId="0" fontId="10" fillId="3" borderId="19" xfId="9" applyFont="1" applyFill="1" applyBorder="1" applyAlignment="1">
      <alignment horizontal="left" vertical="center" indent="2"/>
    </xf>
    <xf numFmtId="189" fontId="11" fillId="3" borderId="20" xfId="20" applyNumberFormat="1" applyFont="1" applyFill="1" applyBorder="1" applyAlignment="1" applyProtection="1">
      <alignment vertical="center"/>
      <protection locked="0"/>
    </xf>
    <xf numFmtId="189" fontId="25" fillId="3" borderId="20" xfId="20" applyNumberFormat="1" applyFont="1" applyFill="1" applyBorder="1" applyAlignment="1" applyProtection="1">
      <alignment vertical="center"/>
      <protection locked="0"/>
    </xf>
    <xf numFmtId="189" fontId="10" fillId="3" borderId="20" xfId="20" applyNumberFormat="1" applyFont="1" applyFill="1" applyBorder="1" applyAlignment="1" applyProtection="1">
      <alignment vertical="top"/>
      <protection locked="0"/>
    </xf>
    <xf numFmtId="0" fontId="11" fillId="7" borderId="19" xfId="9" applyFont="1" applyFill="1" applyBorder="1" applyAlignment="1">
      <alignment horizontal="left" vertical="center" indent="2"/>
    </xf>
    <xf numFmtId="189" fontId="11" fillId="7" borderId="20" xfId="1" applyNumberFormat="1" applyFont="1" applyFill="1" applyBorder="1" applyAlignment="1" applyProtection="1">
      <alignment vertical="center"/>
      <protection locked="0"/>
    </xf>
    <xf numFmtId="189" fontId="25" fillId="7" borderId="20" xfId="1" applyNumberFormat="1" applyFont="1" applyFill="1" applyBorder="1" applyAlignment="1" applyProtection="1">
      <alignment vertical="center"/>
      <protection locked="0"/>
    </xf>
    <xf numFmtId="189" fontId="10" fillId="7" borderId="20" xfId="1" applyNumberFormat="1" applyFont="1" applyFill="1" applyBorder="1" applyAlignment="1" applyProtection="1">
      <alignment vertical="top"/>
      <protection locked="0"/>
    </xf>
    <xf numFmtId="0" fontId="10" fillId="7" borderId="19" xfId="9" applyFont="1" applyFill="1" applyBorder="1" applyAlignment="1">
      <alignment horizontal="left" vertical="center" indent="2"/>
    </xf>
    <xf numFmtId="189" fontId="25" fillId="7" borderId="20" xfId="20" applyNumberFormat="1" applyFont="1" applyFill="1" applyBorder="1" applyAlignment="1" applyProtection="1">
      <alignment vertical="center"/>
      <protection locked="0"/>
    </xf>
    <xf numFmtId="189" fontId="10" fillId="7" borderId="20" xfId="20" applyNumberFormat="1" applyFont="1" applyFill="1" applyBorder="1" applyAlignment="1" applyProtection="1">
      <alignment vertical="top"/>
      <protection locked="0"/>
    </xf>
    <xf numFmtId="0" fontId="11" fillId="2" borderId="19" xfId="9" applyFont="1" applyFill="1" applyBorder="1" applyAlignment="1">
      <alignment horizontal="left" vertical="center" indent="2"/>
    </xf>
    <xf numFmtId="189" fontId="11" fillId="2" borderId="20" xfId="1" applyNumberFormat="1" applyFont="1" applyFill="1" applyBorder="1" applyAlignment="1" applyProtection="1">
      <alignment vertical="center"/>
      <protection locked="0"/>
    </xf>
    <xf numFmtId="189" fontId="25" fillId="2" borderId="20" xfId="1" applyNumberFormat="1" applyFont="1" applyFill="1" applyBorder="1" applyAlignment="1" applyProtection="1">
      <alignment vertical="center"/>
      <protection locked="0"/>
    </xf>
    <xf numFmtId="189" fontId="10" fillId="2" borderId="20" xfId="1" applyNumberFormat="1" applyFont="1" applyFill="1" applyBorder="1" applyAlignment="1" applyProtection="1">
      <alignment vertical="top"/>
      <protection locked="0"/>
    </xf>
    <xf numFmtId="0" fontId="10" fillId="2" borderId="19" xfId="9" applyFont="1" applyFill="1" applyBorder="1" applyAlignment="1">
      <alignment horizontal="left" vertical="center" indent="2"/>
    </xf>
    <xf numFmtId="189" fontId="11" fillId="2" borderId="20" xfId="20" applyNumberFormat="1" applyFont="1" applyFill="1" applyBorder="1" applyAlignment="1" applyProtection="1">
      <alignment vertical="center"/>
      <protection locked="0"/>
    </xf>
    <xf numFmtId="189" fontId="25" fillId="2" borderId="20" xfId="20" applyNumberFormat="1" applyFont="1" applyFill="1" applyBorder="1" applyAlignment="1" applyProtection="1">
      <alignment vertical="center"/>
      <protection locked="0"/>
    </xf>
    <xf numFmtId="189" fontId="10" fillId="2" borderId="20" xfId="20" applyNumberFormat="1" applyFont="1" applyFill="1" applyBorder="1" applyAlignment="1" applyProtection="1">
      <alignment vertical="top"/>
      <protection locked="0"/>
    </xf>
    <xf numFmtId="189" fontId="55" fillId="2" borderId="20" xfId="20" applyNumberFormat="1" applyFont="1" applyFill="1" applyBorder="1" applyAlignment="1" applyProtection="1">
      <alignment vertical="top"/>
      <protection locked="0"/>
    </xf>
    <xf numFmtId="0" fontId="18" fillId="0" borderId="19" xfId="9" applyFont="1" applyBorder="1" applyAlignment="1">
      <alignment horizontal="left" vertical="center" indent="2"/>
    </xf>
    <xf numFmtId="189" fontId="18" fillId="0" borderId="20" xfId="1" applyNumberFormat="1" applyFont="1" applyFill="1" applyBorder="1" applyAlignment="1" applyProtection="1">
      <alignment vertical="center"/>
      <protection locked="0"/>
    </xf>
    <xf numFmtId="189" fontId="19" fillId="0" borderId="20" xfId="1" applyNumberFormat="1" applyFont="1" applyFill="1" applyBorder="1" applyAlignment="1" applyProtection="1">
      <alignment vertical="top"/>
      <protection locked="0"/>
    </xf>
    <xf numFmtId="0" fontId="19" fillId="0" borderId="19" xfId="9" applyFont="1" applyBorder="1" applyAlignment="1">
      <alignment horizontal="left" vertical="center" indent="2"/>
    </xf>
    <xf numFmtId="189" fontId="18" fillId="0" borderId="20" xfId="20" applyNumberFormat="1" applyFont="1" applyFill="1" applyBorder="1" applyAlignment="1" applyProtection="1">
      <alignment vertical="center"/>
      <protection locked="0"/>
    </xf>
    <xf numFmtId="189" fontId="19" fillId="0" borderId="20" xfId="20" applyNumberFormat="1" applyFont="1" applyFill="1" applyBorder="1" applyAlignment="1" applyProtection="1">
      <alignment vertical="top"/>
      <protection locked="0"/>
    </xf>
    <xf numFmtId="0" fontId="20" fillId="0" borderId="19" xfId="9" applyFont="1" applyBorder="1" applyAlignment="1">
      <alignment horizontal="left" vertical="center" indent="2"/>
    </xf>
    <xf numFmtId="189" fontId="20" fillId="0" borderId="20" xfId="1" applyNumberFormat="1" applyFont="1" applyFill="1" applyBorder="1" applyAlignment="1" applyProtection="1">
      <alignment vertical="center"/>
      <protection locked="0"/>
    </xf>
    <xf numFmtId="189" fontId="53" fillId="0" borderId="20" xfId="1" applyNumberFormat="1" applyFont="1" applyFill="1" applyBorder="1" applyAlignment="1" applyProtection="1">
      <alignment vertical="top"/>
      <protection locked="0"/>
    </xf>
    <xf numFmtId="0" fontId="53" fillId="0" borderId="19" xfId="9" applyFont="1" applyBorder="1" applyAlignment="1">
      <alignment horizontal="left" vertical="center" indent="2"/>
    </xf>
    <xf numFmtId="189" fontId="20" fillId="0" borderId="20" xfId="20" applyNumberFormat="1" applyFont="1" applyFill="1" applyBorder="1" applyAlignment="1" applyProtection="1">
      <alignment vertical="center"/>
      <protection locked="0"/>
    </xf>
    <xf numFmtId="189" fontId="53" fillId="0" borderId="20" xfId="20" applyNumberFormat="1" applyFont="1" applyFill="1" applyBorder="1" applyAlignment="1" applyProtection="1">
      <alignment vertical="top"/>
      <protection locked="0"/>
    </xf>
    <xf numFmtId="0" fontId="21" fillId="0" borderId="19" xfId="9" applyFont="1" applyBorder="1" applyAlignment="1">
      <alignment horizontal="left" vertical="center" indent="2"/>
    </xf>
    <xf numFmtId="189" fontId="21" fillId="0" borderId="20" xfId="1" applyNumberFormat="1" applyFont="1" applyFill="1" applyBorder="1" applyAlignment="1" applyProtection="1">
      <alignment vertical="center"/>
      <protection locked="0"/>
    </xf>
    <xf numFmtId="189" fontId="22" fillId="0" borderId="20" xfId="1" applyNumberFormat="1" applyFont="1" applyFill="1" applyBorder="1" applyAlignment="1" applyProtection="1">
      <alignment vertical="top"/>
      <protection locked="0"/>
    </xf>
    <xf numFmtId="0" fontId="56" fillId="0" borderId="19" xfId="9" applyFont="1" applyBorder="1" applyAlignment="1">
      <alignment horizontal="left" vertical="center" wrapText="1" indent="2"/>
    </xf>
    <xf numFmtId="189" fontId="56" fillId="0" borderId="20" xfId="1" applyNumberFormat="1" applyFont="1" applyFill="1" applyBorder="1" applyAlignment="1" applyProtection="1">
      <alignment vertical="center"/>
      <protection locked="0"/>
    </xf>
    <xf numFmtId="189" fontId="57" fillId="0" borderId="20" xfId="1" applyNumberFormat="1" applyFont="1" applyFill="1" applyBorder="1" applyAlignment="1" applyProtection="1">
      <alignment vertical="top"/>
      <protection locked="0"/>
    </xf>
    <xf numFmtId="0" fontId="57" fillId="0" borderId="19" xfId="9" applyFont="1" applyBorder="1" applyAlignment="1">
      <alignment horizontal="left" vertical="center" indent="2"/>
    </xf>
    <xf numFmtId="189" fontId="56" fillId="0" borderId="20" xfId="20" applyNumberFormat="1" applyFont="1" applyFill="1" applyBorder="1" applyAlignment="1" applyProtection="1">
      <alignment vertical="center"/>
      <protection locked="0"/>
    </xf>
    <xf numFmtId="189" fontId="57" fillId="0" borderId="20" xfId="20" applyNumberFormat="1" applyFont="1" applyFill="1" applyBorder="1" applyAlignment="1" applyProtection="1">
      <alignment vertical="top"/>
      <protection locked="0"/>
    </xf>
    <xf numFmtId="0" fontId="58" fillId="0" borderId="19" xfId="9" applyFont="1" applyBorder="1" applyAlignment="1">
      <alignment horizontal="left" vertical="center" indent="2"/>
    </xf>
    <xf numFmtId="189" fontId="58" fillId="0" borderId="20" xfId="1" applyNumberFormat="1" applyFont="1" applyFill="1" applyBorder="1" applyAlignment="1" applyProtection="1">
      <alignment vertical="center"/>
      <protection locked="0"/>
    </xf>
    <xf numFmtId="189" fontId="59" fillId="0" borderId="20" xfId="1" applyNumberFormat="1" applyFont="1" applyFill="1" applyBorder="1" applyAlignment="1" applyProtection="1">
      <alignment vertical="top"/>
      <protection locked="0"/>
    </xf>
    <xf numFmtId="0" fontId="59" fillId="0" borderId="19" xfId="9" applyFont="1" applyBorder="1" applyAlignment="1">
      <alignment horizontal="left" vertical="center" indent="2"/>
    </xf>
    <xf numFmtId="189" fontId="58" fillId="0" borderId="20" xfId="20" applyNumberFormat="1" applyFont="1" applyFill="1" applyBorder="1" applyAlignment="1" applyProtection="1">
      <alignment vertical="center"/>
      <protection locked="0"/>
    </xf>
    <xf numFmtId="189" fontId="59" fillId="0" borderId="20" xfId="20" applyNumberFormat="1" applyFont="1" applyFill="1" applyBorder="1" applyAlignment="1" applyProtection="1">
      <alignment vertical="top"/>
      <protection locked="0"/>
    </xf>
    <xf numFmtId="0" fontId="11" fillId="6" borderId="19" xfId="9" applyFont="1" applyFill="1" applyBorder="1" applyAlignment="1">
      <alignment horizontal="left" vertical="center" indent="2"/>
    </xf>
    <xf numFmtId="189" fontId="11" fillId="6" borderId="20" xfId="1" applyNumberFormat="1" applyFont="1" applyFill="1" applyBorder="1" applyAlignment="1" applyProtection="1">
      <alignment vertical="center"/>
      <protection locked="0"/>
    </xf>
    <xf numFmtId="189" fontId="25" fillId="6" borderId="20" xfId="1" applyNumberFormat="1" applyFont="1" applyFill="1" applyBorder="1" applyAlignment="1" applyProtection="1">
      <alignment vertical="center"/>
      <protection locked="0"/>
    </xf>
    <xf numFmtId="189" fontId="10" fillId="6" borderId="20" xfId="1" applyNumberFormat="1" applyFont="1" applyFill="1" applyBorder="1" applyAlignment="1" applyProtection="1">
      <alignment vertical="top"/>
      <protection locked="0"/>
    </xf>
    <xf numFmtId="0" fontId="10" fillId="6" borderId="19" xfId="9" applyFont="1" applyFill="1" applyBorder="1" applyAlignment="1">
      <alignment horizontal="left" vertical="center" indent="2"/>
    </xf>
    <xf numFmtId="189" fontId="10" fillId="6" borderId="20" xfId="20" applyNumberFormat="1" applyFont="1" applyFill="1" applyBorder="1" applyAlignment="1" applyProtection="1">
      <alignment vertical="top"/>
      <protection locked="0"/>
    </xf>
    <xf numFmtId="0" fontId="60" fillId="0" borderId="19" xfId="9" applyFont="1" applyBorder="1" applyAlignment="1">
      <alignment horizontal="left" vertical="center" indent="2"/>
    </xf>
    <xf numFmtId="189" fontId="60" fillId="0" borderId="20" xfId="1" applyNumberFormat="1" applyFont="1" applyFill="1" applyBorder="1" applyAlignment="1" applyProtection="1">
      <alignment vertical="center"/>
      <protection locked="0"/>
    </xf>
    <xf numFmtId="189" fontId="61" fillId="0" borderId="20" xfId="1" applyNumberFormat="1" applyFont="1" applyFill="1" applyBorder="1" applyAlignment="1" applyProtection="1">
      <alignment vertical="top"/>
      <protection locked="0"/>
    </xf>
    <xf numFmtId="0" fontId="61" fillId="0" borderId="19" xfId="9" applyFont="1" applyBorder="1" applyAlignment="1">
      <alignment horizontal="left" vertical="center" indent="2"/>
    </xf>
    <xf numFmtId="189" fontId="60" fillId="0" borderId="20" xfId="20" applyNumberFormat="1" applyFont="1" applyFill="1" applyBorder="1" applyAlignment="1" applyProtection="1">
      <alignment vertical="center"/>
      <protection locked="0"/>
    </xf>
    <xf numFmtId="189" fontId="61" fillId="0" borderId="20" xfId="20" applyNumberFormat="1" applyFont="1" applyFill="1" applyBorder="1" applyAlignment="1" applyProtection="1">
      <alignment vertical="top"/>
      <protection locked="0"/>
    </xf>
    <xf numFmtId="0" fontId="62" fillId="0" borderId="19" xfId="9" applyFont="1" applyBorder="1" applyAlignment="1">
      <alignment horizontal="left" vertical="center" indent="2"/>
    </xf>
    <xf numFmtId="189" fontId="62" fillId="0" borderId="20" xfId="1" applyNumberFormat="1" applyFont="1" applyFill="1" applyBorder="1" applyAlignment="1" applyProtection="1">
      <alignment vertical="center"/>
      <protection locked="0"/>
    </xf>
    <xf numFmtId="189" fontId="63" fillId="0" borderId="20" xfId="1" applyNumberFormat="1" applyFont="1" applyFill="1" applyBorder="1" applyAlignment="1" applyProtection="1">
      <alignment vertical="top"/>
      <protection locked="0"/>
    </xf>
    <xf numFmtId="0" fontId="63" fillId="0" borderId="19" xfId="9" applyFont="1" applyBorder="1" applyAlignment="1">
      <alignment horizontal="left" vertical="center" indent="2"/>
    </xf>
    <xf numFmtId="189" fontId="62" fillId="0" borderId="20" xfId="20" applyNumberFormat="1" applyFont="1" applyFill="1" applyBorder="1" applyAlignment="1" applyProtection="1">
      <alignment vertical="center"/>
      <protection locked="0"/>
    </xf>
    <xf numFmtId="189" fontId="63" fillId="0" borderId="20" xfId="20" applyNumberFormat="1" applyFont="1" applyFill="1" applyBorder="1" applyAlignment="1" applyProtection="1">
      <alignment vertical="top"/>
      <protection locked="0"/>
    </xf>
    <xf numFmtId="0" fontId="10" fillId="3" borderId="19" xfId="9" applyFont="1" applyFill="1" applyBorder="1" applyAlignment="1">
      <alignment horizontal="left" vertical="center" wrapText="1" indent="2"/>
    </xf>
    <xf numFmtId="0" fontId="11" fillId="0" borderId="19" xfId="9" applyFont="1" applyBorder="1" applyAlignment="1">
      <alignment horizontal="left" vertical="center" indent="2"/>
    </xf>
    <xf numFmtId="0" fontId="11" fillId="3" borderId="19" xfId="9" applyFont="1" applyFill="1" applyBorder="1" applyAlignment="1">
      <alignment horizontal="left" vertical="center" wrapText="1" indent="2"/>
    </xf>
    <xf numFmtId="0" fontId="11" fillId="2" borderId="19" xfId="9" applyFont="1" applyFill="1" applyBorder="1" applyAlignment="1">
      <alignment horizontal="left" vertical="center" wrapText="1" indent="2"/>
    </xf>
    <xf numFmtId="0" fontId="10" fillId="2" borderId="19" xfId="9" applyFont="1" applyFill="1" applyBorder="1" applyAlignment="1">
      <alignment horizontal="left" vertical="center" wrapText="1" indent="2"/>
    </xf>
    <xf numFmtId="0" fontId="20" fillId="0" borderId="19" xfId="9" applyFont="1" applyBorder="1" applyAlignment="1">
      <alignment horizontal="left" vertical="center" wrapText="1" indent="2"/>
    </xf>
    <xf numFmtId="0" fontId="53" fillId="0" borderId="19" xfId="9" applyFont="1" applyBorder="1" applyAlignment="1">
      <alignment horizontal="left" vertical="center" wrapText="1" indent="2"/>
    </xf>
    <xf numFmtId="0" fontId="21" fillId="0" borderId="19" xfId="9" applyFont="1" applyBorder="1" applyAlignment="1">
      <alignment horizontal="left" vertical="center" wrapText="1" indent="2"/>
    </xf>
    <xf numFmtId="0" fontId="57" fillId="0" borderId="19" xfId="9" applyFont="1" applyBorder="1" applyAlignment="1">
      <alignment horizontal="left" vertical="center" wrapText="1" indent="2"/>
    </xf>
    <xf numFmtId="0" fontId="11" fillId="6" borderId="19" xfId="9" applyFont="1" applyFill="1" applyBorder="1" applyAlignment="1">
      <alignment horizontal="left" vertical="center" wrapText="1" indent="2"/>
    </xf>
    <xf numFmtId="0" fontId="10" fillId="6" borderId="19" xfId="9" applyFont="1" applyFill="1" applyBorder="1" applyAlignment="1">
      <alignment horizontal="left" vertical="center" wrapText="1" indent="2"/>
    </xf>
    <xf numFmtId="0" fontId="62" fillId="0" borderId="19" xfId="9" applyFont="1" applyBorder="1" applyAlignment="1">
      <alignment horizontal="left" vertical="center" wrapText="1" indent="2"/>
    </xf>
    <xf numFmtId="0" fontId="10" fillId="7" borderId="19" xfId="9" applyFont="1" applyFill="1" applyBorder="1" applyAlignment="1">
      <alignment horizontal="left" vertical="center" wrapText="1" indent="2"/>
    </xf>
    <xf numFmtId="0" fontId="18" fillId="0" borderId="19" xfId="9" applyFont="1" applyBorder="1" applyAlignment="1">
      <alignment horizontal="left" vertical="center" wrapText="1" indent="2"/>
    </xf>
    <xf numFmtId="0" fontId="19" fillId="0" borderId="19" xfId="9" applyFont="1" applyBorder="1" applyAlignment="1">
      <alignment horizontal="left" vertical="center" wrapText="1" indent="2"/>
    </xf>
    <xf numFmtId="0" fontId="64" fillId="0" borderId="19" xfId="9" applyFont="1" applyBorder="1" applyAlignment="1">
      <alignment horizontal="left" vertical="center" wrapText="1" indent="2"/>
    </xf>
    <xf numFmtId="189" fontId="64" fillId="0" borderId="20" xfId="1" applyNumberFormat="1" applyFont="1" applyFill="1" applyBorder="1" applyAlignment="1" applyProtection="1">
      <alignment vertical="center"/>
      <protection locked="0"/>
    </xf>
    <xf numFmtId="189" fontId="65" fillId="0" borderId="20" xfId="1" applyNumberFormat="1" applyFont="1" applyFill="1" applyBorder="1" applyAlignment="1" applyProtection="1">
      <alignment vertical="top"/>
      <protection locked="0"/>
    </xf>
    <xf numFmtId="0" fontId="65" fillId="0" borderId="19" xfId="9" applyFont="1" applyBorder="1" applyAlignment="1">
      <alignment horizontal="left" vertical="center" wrapText="1" indent="2"/>
    </xf>
    <xf numFmtId="189" fontId="64" fillId="0" borderId="20" xfId="20" applyNumberFormat="1" applyFont="1" applyFill="1" applyBorder="1" applyAlignment="1" applyProtection="1">
      <alignment vertical="center"/>
      <protection locked="0"/>
    </xf>
    <xf numFmtId="189" fontId="65" fillId="0" borderId="20" xfId="20" applyNumberFormat="1" applyFont="1" applyFill="1" applyBorder="1" applyAlignment="1" applyProtection="1">
      <alignment vertical="top"/>
      <protection locked="0"/>
    </xf>
    <xf numFmtId="0" fontId="58" fillId="0" borderId="19" xfId="9" applyFont="1" applyBorder="1" applyAlignment="1">
      <alignment horizontal="left" vertical="center" wrapText="1" indent="2"/>
    </xf>
    <xf numFmtId="0" fontId="59" fillId="0" borderId="19" xfId="9" applyFont="1" applyBorder="1" applyAlignment="1">
      <alignment horizontal="left" vertical="center" wrapText="1" indent="2"/>
    </xf>
    <xf numFmtId="0" fontId="11" fillId="13" borderId="19" xfId="9" applyFont="1" applyFill="1" applyBorder="1" applyAlignment="1">
      <alignment horizontal="left" vertical="center" wrapText="1" indent="2"/>
    </xf>
    <xf numFmtId="189" fontId="11" fillId="13" borderId="20" xfId="1" applyNumberFormat="1" applyFont="1" applyFill="1" applyBorder="1" applyAlignment="1" applyProtection="1">
      <alignment vertical="center"/>
      <protection locked="0"/>
    </xf>
    <xf numFmtId="189" fontId="25" fillId="13" borderId="20" xfId="1" applyNumberFormat="1" applyFont="1" applyFill="1" applyBorder="1" applyAlignment="1" applyProtection="1">
      <alignment vertical="center"/>
      <protection locked="0"/>
    </xf>
    <xf numFmtId="189" fontId="10" fillId="13" borderId="20" xfId="1" applyNumberFormat="1" applyFont="1" applyFill="1" applyBorder="1" applyAlignment="1" applyProtection="1">
      <alignment vertical="top"/>
      <protection locked="0"/>
    </xf>
    <xf numFmtId="0" fontId="10" fillId="13" borderId="19" xfId="9" applyFont="1" applyFill="1" applyBorder="1" applyAlignment="1">
      <alignment horizontal="left" vertical="center" wrapText="1" indent="2"/>
    </xf>
    <xf numFmtId="189" fontId="11" fillId="13" borderId="20" xfId="20" applyNumberFormat="1" applyFont="1" applyFill="1" applyBorder="1" applyAlignment="1" applyProtection="1">
      <alignment vertical="center"/>
      <protection locked="0"/>
    </xf>
    <xf numFmtId="189" fontId="25" fillId="13" borderId="20" xfId="20" applyNumberFormat="1" applyFont="1" applyFill="1" applyBorder="1" applyAlignment="1" applyProtection="1">
      <alignment vertical="center"/>
      <protection locked="0"/>
    </xf>
    <xf numFmtId="189" fontId="10" fillId="13" borderId="20" xfId="20" applyNumberFormat="1" applyFont="1" applyFill="1" applyBorder="1" applyAlignment="1" applyProtection="1">
      <alignment vertical="top"/>
      <protection locked="0"/>
    </xf>
    <xf numFmtId="0" fontId="10" fillId="13" borderId="19" xfId="9" applyFont="1" applyFill="1" applyBorder="1" applyAlignment="1">
      <alignment horizontal="left" vertical="center" indent="2"/>
    </xf>
    <xf numFmtId="0" fontId="11" fillId="13" borderId="19" xfId="9" applyFont="1" applyFill="1" applyBorder="1" applyAlignment="1">
      <alignment horizontal="left" vertical="center" indent="2"/>
    </xf>
    <xf numFmtId="0" fontId="11" fillId="7" borderId="19" xfId="9" applyFont="1" applyFill="1" applyBorder="1" applyAlignment="1">
      <alignment horizontal="left" vertical="center" wrapText="1" indent="2"/>
    </xf>
    <xf numFmtId="0" fontId="11" fillId="13" borderId="19" xfId="9" applyFont="1" applyFill="1" applyBorder="1" applyAlignment="1">
      <alignment horizontal="left" vertical="center" wrapText="1" indent="1"/>
    </xf>
    <xf numFmtId="0" fontId="60" fillId="0" borderId="19" xfId="9" applyFont="1" applyBorder="1" applyAlignment="1">
      <alignment horizontal="left" vertical="center" wrapText="1" indent="2"/>
    </xf>
    <xf numFmtId="0" fontId="61" fillId="0" borderId="19" xfId="9" applyFont="1" applyBorder="1" applyAlignment="1">
      <alignment horizontal="left" vertical="center" wrapText="1" indent="2"/>
    </xf>
    <xf numFmtId="189" fontId="25" fillId="11" borderId="20" xfId="20" applyNumberFormat="1" applyFont="1" applyFill="1" applyBorder="1" applyAlignment="1">
      <alignment vertical="center"/>
    </xf>
    <xf numFmtId="189" fontId="11" fillId="11" borderId="20" xfId="20" applyNumberFormat="1" applyFont="1" applyFill="1" applyBorder="1" applyAlignment="1">
      <alignment vertical="top"/>
    </xf>
    <xf numFmtId="189" fontId="11" fillId="7" borderId="17" xfId="20" applyNumberFormat="1" applyFont="1" applyFill="1" applyBorder="1" applyAlignment="1">
      <alignment vertical="center"/>
    </xf>
    <xf numFmtId="189" fontId="25" fillId="12" borderId="20" xfId="20" applyNumberFormat="1" applyFont="1" applyFill="1" applyBorder="1" applyAlignment="1">
      <alignment vertical="center"/>
    </xf>
    <xf numFmtId="189" fontId="11" fillId="12" borderId="20" xfId="20" applyNumberFormat="1" applyFont="1" applyFill="1" applyBorder="1" applyAlignment="1">
      <alignment vertical="top"/>
    </xf>
    <xf numFmtId="189" fontId="11" fillId="0" borderId="18" xfId="20" applyNumberFormat="1" applyFont="1" applyBorder="1" applyAlignment="1">
      <alignment vertical="center" wrapText="1"/>
    </xf>
    <xf numFmtId="189" fontId="11" fillId="0" borderId="20" xfId="20" applyNumberFormat="1" applyFont="1" applyBorder="1" applyAlignment="1">
      <alignment vertical="center" wrapText="1"/>
    </xf>
    <xf numFmtId="189" fontId="10" fillId="0" borderId="20" xfId="20" applyNumberFormat="1" applyFont="1" applyBorder="1" applyAlignment="1">
      <alignment vertical="center" wrapText="1"/>
    </xf>
    <xf numFmtId="189" fontId="10" fillId="0" borderId="17" xfId="20" applyNumberFormat="1" applyFont="1" applyBorder="1" applyAlignment="1">
      <alignment vertical="center" wrapText="1"/>
    </xf>
    <xf numFmtId="189" fontId="11" fillId="0" borderId="17" xfId="20" applyNumberFormat="1" applyFont="1" applyBorder="1" applyAlignment="1">
      <alignment vertical="center" wrapText="1"/>
    </xf>
    <xf numFmtId="43" fontId="11" fillId="0" borderId="0" xfId="20" applyFont="1"/>
    <xf numFmtId="189" fontId="22" fillId="0" borderId="20" xfId="20" applyNumberFormat="1" applyFont="1" applyBorder="1" applyAlignment="1">
      <alignment vertical="center" wrapText="1"/>
    </xf>
    <xf numFmtId="189" fontId="23" fillId="0" borderId="20" xfId="20" applyNumberFormat="1" applyFont="1" applyBorder="1" applyAlignment="1">
      <alignment vertical="center" wrapText="1"/>
    </xf>
    <xf numFmtId="189" fontId="10" fillId="0" borderId="20" xfId="20" applyNumberFormat="1" applyFont="1" applyBorder="1" applyAlignment="1">
      <alignment vertical="top" wrapText="1"/>
    </xf>
    <xf numFmtId="43" fontId="10" fillId="0" borderId="20" xfId="20" applyFont="1" applyBorder="1" applyAlignment="1">
      <alignment vertical="center" wrapText="1"/>
    </xf>
    <xf numFmtId="189" fontId="25" fillId="0" borderId="20" xfId="20" applyNumberFormat="1" applyFont="1" applyBorder="1" applyAlignment="1">
      <alignment vertical="center" wrapText="1"/>
    </xf>
    <xf numFmtId="189" fontId="11" fillId="0" borderId="20" xfId="20" applyNumberFormat="1" applyFont="1" applyBorder="1" applyAlignment="1">
      <alignment vertical="top" wrapText="1"/>
    </xf>
    <xf numFmtId="189" fontId="21" fillId="0" borderId="20" xfId="20" applyNumberFormat="1" applyFont="1" applyBorder="1" applyAlignment="1">
      <alignment vertical="center" wrapText="1"/>
    </xf>
    <xf numFmtId="43" fontId="11" fillId="0" borderId="20" xfId="20" applyFont="1" applyBorder="1" applyAlignment="1">
      <alignment vertical="center" wrapText="1"/>
    </xf>
    <xf numFmtId="189" fontId="10" fillId="0" borderId="18" xfId="20" applyNumberFormat="1" applyFont="1" applyBorder="1" applyAlignment="1">
      <alignment vertical="center" wrapText="1"/>
    </xf>
    <xf numFmtId="189" fontId="11" fillId="0" borderId="26" xfId="20" applyNumberFormat="1" applyFont="1" applyFill="1" applyBorder="1" applyAlignment="1">
      <alignment vertical="center" wrapText="1"/>
    </xf>
    <xf numFmtId="189" fontId="11" fillId="0" borderId="28" xfId="20" applyNumberFormat="1" applyFont="1" applyBorder="1" applyAlignment="1">
      <alignment vertical="center" wrapText="1"/>
    </xf>
    <xf numFmtId="189" fontId="23" fillId="0" borderId="31" xfId="20" applyNumberFormat="1" applyFont="1" applyBorder="1" applyAlignment="1">
      <alignment vertical="center" wrapText="1"/>
    </xf>
    <xf numFmtId="189" fontId="10" fillId="0" borderId="31" xfId="20" applyNumberFormat="1" applyFont="1" applyBorder="1" applyAlignment="1">
      <alignment vertical="top" wrapText="1"/>
    </xf>
    <xf numFmtId="43" fontId="11" fillId="0" borderId="28" xfId="20" applyFont="1" applyBorder="1" applyAlignment="1">
      <alignment vertical="center" wrapText="1"/>
    </xf>
    <xf numFmtId="189" fontId="25" fillId="7" borderId="16" xfId="20" applyNumberFormat="1" applyFont="1" applyFill="1" applyBorder="1" applyAlignment="1">
      <alignment vertical="center"/>
    </xf>
    <xf numFmtId="189" fontId="11" fillId="7" borderId="16" xfId="20" applyNumberFormat="1" applyFont="1" applyFill="1" applyBorder="1" applyAlignment="1">
      <alignment vertical="top"/>
    </xf>
    <xf numFmtId="43" fontId="10" fillId="0" borderId="18" xfId="20" applyFont="1" applyBorder="1" applyAlignment="1">
      <alignment vertical="center"/>
    </xf>
    <xf numFmtId="189" fontId="23" fillId="0" borderId="20" xfId="20" applyNumberFormat="1" applyFont="1" applyBorder="1" applyAlignment="1">
      <alignment vertical="top"/>
    </xf>
    <xf numFmtId="43" fontId="11" fillId="0" borderId="20" xfId="20" applyFont="1" applyBorder="1" applyAlignment="1">
      <alignment vertical="top"/>
    </xf>
    <xf numFmtId="189" fontId="10" fillId="0" borderId="18" xfId="20" applyNumberFormat="1" applyFont="1" applyBorder="1" applyAlignment="1">
      <alignment vertical="top"/>
    </xf>
    <xf numFmtId="189" fontId="10" fillId="0" borderId="17" xfId="20" applyNumberFormat="1" applyFont="1" applyBorder="1" applyAlignment="1">
      <alignment vertical="top"/>
    </xf>
    <xf numFmtId="189" fontId="11" fillId="0" borderId="30" xfId="20" applyNumberFormat="1" applyFont="1" applyBorder="1" applyAlignment="1">
      <alignment vertical="center"/>
    </xf>
    <xf numFmtId="189" fontId="11" fillId="0" borderId="31" xfId="20" applyNumberFormat="1" applyFont="1" applyBorder="1" applyAlignment="1">
      <alignment vertical="center"/>
    </xf>
    <xf numFmtId="189" fontId="11" fillId="0" borderId="29" xfId="20" applyNumberFormat="1" applyFont="1" applyBorder="1" applyAlignment="1">
      <alignment vertical="center"/>
    </xf>
    <xf numFmtId="189" fontId="11" fillId="0" borderId="20" xfId="20" applyNumberFormat="1" applyFont="1" applyBorder="1"/>
    <xf numFmtId="189" fontId="23" fillId="0" borderId="20" xfId="20" applyNumberFormat="1" applyFont="1" applyBorder="1"/>
    <xf numFmtId="189" fontId="10" fillId="0" borderId="31" xfId="20" applyNumberFormat="1" applyFont="1" applyBorder="1"/>
    <xf numFmtId="43" fontId="10" fillId="0" borderId="20" xfId="20" applyFont="1" applyBorder="1"/>
    <xf numFmtId="189" fontId="25" fillId="0" borderId="20" xfId="20" applyNumberFormat="1" applyFont="1" applyBorder="1"/>
    <xf numFmtId="43" fontId="11" fillId="0" borderId="20" xfId="20" applyFont="1" applyBorder="1"/>
    <xf numFmtId="189" fontId="23" fillId="0" borderId="31" xfId="20" applyNumberFormat="1" applyFont="1" applyBorder="1"/>
    <xf numFmtId="189" fontId="10" fillId="0" borderId="31" xfId="20" applyNumberFormat="1" applyFont="1" applyBorder="1" applyAlignment="1">
      <alignment vertical="top"/>
    </xf>
    <xf numFmtId="43" fontId="10" fillId="0" borderId="31" xfId="20" applyFont="1" applyBorder="1"/>
    <xf numFmtId="189" fontId="23" fillId="0" borderId="0" xfId="20" applyNumberFormat="1" applyFont="1" applyBorder="1"/>
    <xf numFmtId="189" fontId="10" fillId="0" borderId="0" xfId="20" applyNumberFormat="1" applyFont="1" applyBorder="1" applyAlignment="1">
      <alignment vertical="top"/>
    </xf>
    <xf numFmtId="14" fontId="45" fillId="0" borderId="0" xfId="10" applyNumberFormat="1" applyFont="1" applyAlignment="1">
      <alignment vertical="top"/>
    </xf>
    <xf numFmtId="0" fontId="11" fillId="0" borderId="18" xfId="13" applyFont="1" applyBorder="1" applyAlignment="1">
      <alignment horizontal="left" vertical="center" wrapText="1" indent="7"/>
    </xf>
    <xf numFmtId="0" fontId="10" fillId="16" borderId="18" xfId="13" applyFont="1" applyFill="1" applyBorder="1" applyAlignment="1">
      <alignment horizontal="left" vertical="center"/>
    </xf>
    <xf numFmtId="0" fontId="11" fillId="16" borderId="26" xfId="13" applyFont="1" applyFill="1" applyBorder="1" applyAlignment="1">
      <alignment horizontal="left" vertical="center"/>
    </xf>
    <xf numFmtId="0" fontId="11" fillId="16" borderId="26" xfId="13" applyFont="1" applyFill="1" applyBorder="1" applyAlignment="1">
      <alignment horizontal="left" vertical="center" indent="7"/>
    </xf>
    <xf numFmtId="0" fontId="11" fillId="5" borderId="13" xfId="9" applyFont="1" applyFill="1" applyBorder="1" applyAlignment="1">
      <alignment horizontal="left" vertical="center" indent="2"/>
    </xf>
    <xf numFmtId="0" fontId="11" fillId="5" borderId="14" xfId="9" applyFont="1" applyFill="1" applyBorder="1" applyAlignment="1">
      <alignment horizontal="left" vertical="center" indent="2"/>
    </xf>
    <xf numFmtId="0" fontId="11" fillId="0" borderId="18" xfId="13" applyFont="1" applyBorder="1" applyAlignment="1">
      <alignment horizontal="left" vertical="center" indent="4"/>
    </xf>
    <xf numFmtId="0" fontId="11" fillId="16" borderId="18" xfId="9" applyFont="1" applyFill="1" applyBorder="1" applyAlignment="1">
      <alignment horizontal="left" vertical="center"/>
    </xf>
    <xf numFmtId="0" fontId="11" fillId="16" borderId="18" xfId="9" applyFont="1" applyFill="1" applyBorder="1" applyAlignment="1">
      <alignment horizontal="left" vertical="center" indent="4"/>
    </xf>
    <xf numFmtId="0" fontId="11" fillId="0" borderId="18" xfId="9" applyFont="1" applyBorder="1" applyAlignment="1">
      <alignment horizontal="left" vertical="center" indent="4"/>
    </xf>
    <xf numFmtId="0" fontId="10" fillId="16" borderId="22" xfId="13" applyFont="1" applyFill="1" applyBorder="1" applyAlignment="1">
      <alignment horizontal="left" vertical="center"/>
    </xf>
    <xf numFmtId="0" fontId="11" fillId="0" borderId="21" xfId="13" applyFont="1" applyBorder="1" applyAlignment="1">
      <alignment horizontal="left" vertical="center" indent="9"/>
    </xf>
    <xf numFmtId="0" fontId="10" fillId="0" borderId="22" xfId="9" applyFont="1" applyBorder="1" applyAlignment="1">
      <alignment horizontal="left" vertical="center"/>
    </xf>
    <xf numFmtId="0" fontId="18" fillId="0" borderId="22" xfId="13" applyFont="1" applyBorder="1" applyAlignment="1">
      <alignment horizontal="left" vertical="center"/>
    </xf>
    <xf numFmtId="0" fontId="11" fillId="0" borderId="26" xfId="13" applyFont="1" applyBorder="1" applyAlignment="1">
      <alignment horizontal="left" vertical="center" indent="7"/>
    </xf>
    <xf numFmtId="0" fontId="26" fillId="0" borderId="18" xfId="13" applyFont="1" applyBorder="1" applyAlignment="1">
      <alignment horizontal="left" vertical="center" indent="7"/>
    </xf>
    <xf numFmtId="0" fontId="19" fillId="0" borderId="18" xfId="13" applyFont="1" applyBorder="1" applyAlignment="1">
      <alignment horizontal="left" vertical="center" indent="7"/>
    </xf>
    <xf numFmtId="0" fontId="11" fillId="0" borderId="25" xfId="9" applyFont="1" applyBorder="1" applyAlignment="1">
      <alignment horizontal="left" vertical="center" indent="7"/>
    </xf>
    <xf numFmtId="0" fontId="18" fillId="0" borderId="26" xfId="9" applyFont="1" applyBorder="1" applyAlignment="1">
      <alignment horizontal="left" vertical="center"/>
    </xf>
    <xf numFmtId="0" fontId="24" fillId="0" borderId="18" xfId="13" applyFont="1" applyBorder="1" applyAlignment="1">
      <alignment horizontal="left" vertical="center" indent="7"/>
    </xf>
    <xf numFmtId="0" fontId="11" fillId="16" borderId="18" xfId="13" applyFont="1" applyFill="1" applyBorder="1" applyAlignment="1">
      <alignment horizontal="left" vertical="center"/>
    </xf>
    <xf numFmtId="0" fontId="11" fillId="16" borderId="18" xfId="13" applyFont="1" applyFill="1" applyBorder="1" applyAlignment="1">
      <alignment horizontal="left" vertical="center" indent="7"/>
    </xf>
    <xf numFmtId="0" fontId="10" fillId="0" borderId="25" xfId="13" applyFont="1" applyBorder="1" applyAlignment="1">
      <alignment horizontal="left" vertical="center" indent="9"/>
    </xf>
    <xf numFmtId="0" fontId="11" fillId="0" borderId="27" xfId="13" applyFont="1" applyBorder="1" applyAlignment="1">
      <alignment horizontal="left" vertical="center"/>
    </xf>
    <xf numFmtId="0" fontId="10" fillId="0" borderId="26" xfId="13" applyFont="1" applyBorder="1" applyAlignment="1">
      <alignment horizontal="left" vertical="center"/>
    </xf>
    <xf numFmtId="0" fontId="10" fillId="0" borderId="26" xfId="13" applyFont="1" applyBorder="1" applyAlignment="1">
      <alignment horizontal="left" vertical="center" indent="9"/>
    </xf>
    <xf numFmtId="0" fontId="11" fillId="0" borderId="18" xfId="9" applyFont="1" applyBorder="1" applyAlignment="1">
      <alignment horizontal="left" vertical="center" indent="7"/>
    </xf>
    <xf numFmtId="0" fontId="11" fillId="0" borderId="18" xfId="9" applyFont="1" applyBorder="1" applyAlignment="1">
      <alignment horizontal="left" vertical="center" wrapText="1"/>
    </xf>
    <xf numFmtId="0" fontId="18" fillId="0" borderId="18" xfId="9" applyFont="1" applyBorder="1" applyAlignment="1">
      <alignment horizontal="left" vertical="center" wrapText="1"/>
    </xf>
    <xf numFmtId="0" fontId="11" fillId="0" borderId="26" xfId="9" applyFont="1" applyBorder="1" applyAlignment="1">
      <alignment vertical="center"/>
    </xf>
    <xf numFmtId="0" fontId="11" fillId="17" borderId="17" xfId="9" applyFont="1" applyFill="1" applyBorder="1" applyAlignment="1">
      <alignment horizontal="left" vertical="center" indent="6"/>
    </xf>
    <xf numFmtId="0" fontId="11" fillId="17" borderId="18" xfId="9" applyFont="1" applyFill="1" applyBorder="1" applyAlignment="1">
      <alignment horizontal="left" vertical="center"/>
    </xf>
    <xf numFmtId="0" fontId="11" fillId="17" borderId="18" xfId="9" applyFont="1" applyFill="1" applyBorder="1" applyAlignment="1">
      <alignment horizontal="left" vertical="center" indent="6"/>
    </xf>
    <xf numFmtId="0" fontId="10" fillId="0" borderId="18" xfId="9" applyFont="1" applyBorder="1" applyAlignment="1">
      <alignment horizontal="left" vertical="center" wrapText="1" indent="2"/>
    </xf>
    <xf numFmtId="0" fontId="10" fillId="0" borderId="18" xfId="9" applyFont="1" applyBorder="1" applyAlignment="1">
      <alignment horizontal="left" vertical="top" wrapText="1" indent="2"/>
    </xf>
    <xf numFmtId="0" fontId="11" fillId="17" borderId="17" xfId="9" applyFont="1" applyFill="1" applyBorder="1" applyAlignment="1">
      <alignment horizontal="left" vertical="top"/>
    </xf>
    <xf numFmtId="0" fontId="11" fillId="17" borderId="18" xfId="9" applyFont="1" applyFill="1" applyBorder="1" applyAlignment="1">
      <alignment vertical="top"/>
    </xf>
    <xf numFmtId="0" fontId="10" fillId="17" borderId="18" xfId="13" applyFont="1" applyFill="1" applyBorder="1" applyAlignment="1">
      <alignment horizontal="left" vertical="top" wrapText="1"/>
    </xf>
    <xf numFmtId="0" fontId="10" fillId="0" borderId="18" xfId="9" applyFont="1" applyBorder="1" applyAlignment="1">
      <alignment horizontal="left" vertical="top" wrapText="1"/>
    </xf>
    <xf numFmtId="0" fontId="10" fillId="0" borderId="18" xfId="9" applyFont="1" applyBorder="1" applyAlignment="1">
      <alignment horizontal="left" vertical="center" wrapText="1"/>
    </xf>
    <xf numFmtId="0" fontId="11" fillId="0" borderId="18" xfId="9" applyFont="1" applyBorder="1" applyAlignment="1">
      <alignment horizontal="left" vertical="center" indent="2"/>
    </xf>
    <xf numFmtId="0" fontId="11" fillId="0" borderId="18" xfId="9" applyFont="1" applyBorder="1" applyAlignment="1">
      <alignment horizontal="left" vertical="center" indent="9"/>
    </xf>
    <xf numFmtId="0" fontId="10" fillId="7" borderId="0" xfId="9" applyFont="1" applyFill="1"/>
    <xf numFmtId="0" fontId="11" fillId="17" borderId="17" xfId="13" applyFont="1" applyFill="1" applyBorder="1" applyAlignment="1">
      <alignment horizontal="left" vertical="center" indent="6"/>
    </xf>
    <xf numFmtId="0" fontId="11" fillId="17" borderId="18" xfId="13" applyFont="1" applyFill="1" applyBorder="1" applyAlignment="1">
      <alignment horizontal="left" vertical="center" wrapText="1" indent="6"/>
    </xf>
    <xf numFmtId="0" fontId="10" fillId="17" borderId="0" xfId="9" applyFont="1" applyFill="1"/>
    <xf numFmtId="0" fontId="11" fillId="0" borderId="18" xfId="9" applyFont="1" applyBorder="1" applyAlignment="1">
      <alignment horizontal="left" vertical="top" indent="6"/>
    </xf>
    <xf numFmtId="0" fontId="11" fillId="0" borderId="18" xfId="9" applyFont="1" applyBorder="1" applyAlignment="1">
      <alignment horizontal="left" vertical="top" indent="2"/>
    </xf>
    <xf numFmtId="0" fontId="10" fillId="0" borderId="18" xfId="9" applyFont="1" applyBorder="1" applyAlignment="1">
      <alignment horizontal="left" vertical="top" indent="2"/>
    </xf>
    <xf numFmtId="0" fontId="11" fillId="0" borderId="18" xfId="9" applyFont="1" applyBorder="1" applyAlignment="1">
      <alignment horizontal="left" vertical="top" wrapText="1" indent="2"/>
    </xf>
    <xf numFmtId="0" fontId="10" fillId="0" borderId="26" xfId="9" applyFont="1" applyBorder="1" applyAlignment="1">
      <alignment horizontal="left" vertical="top" indent="2"/>
    </xf>
    <xf numFmtId="0" fontId="10" fillId="0" borderId="19" xfId="9" applyFont="1" applyBorder="1" applyAlignment="1">
      <alignment horizontal="left" vertical="top" indent="2"/>
    </xf>
    <xf numFmtId="0" fontId="11" fillId="17" borderId="18" xfId="9" applyFont="1" applyFill="1" applyBorder="1" applyAlignment="1">
      <alignment vertical="center"/>
    </xf>
    <xf numFmtId="0" fontId="10" fillId="17" borderId="18" xfId="13" applyFont="1" applyFill="1" applyBorder="1" applyAlignment="1">
      <alignment horizontal="left" wrapText="1" indent="4"/>
    </xf>
    <xf numFmtId="0" fontId="11" fillId="0" borderId="18" xfId="9" applyFont="1" applyBorder="1" applyAlignment="1">
      <alignment horizontal="left" vertical="top" wrapText="1" indent="1"/>
    </xf>
    <xf numFmtId="0" fontId="10" fillId="0" borderId="18" xfId="9" applyFont="1" applyBorder="1" applyAlignment="1">
      <alignment horizontal="left" vertical="top" wrapText="1" indent="1"/>
    </xf>
    <xf numFmtId="0" fontId="11" fillId="0" borderId="25" xfId="13" applyFont="1" applyBorder="1" applyAlignment="1">
      <alignment horizontal="left" vertical="center" indent="6"/>
    </xf>
    <xf numFmtId="0" fontId="10" fillId="0" borderId="26" xfId="9" applyFont="1" applyBorder="1" applyAlignment="1">
      <alignment horizontal="left" vertical="center" indent="2"/>
    </xf>
    <xf numFmtId="0" fontId="10" fillId="0" borderId="26" xfId="9" applyFont="1" applyBorder="1" applyAlignment="1">
      <alignment horizontal="left" vertical="center" wrapText="1"/>
    </xf>
    <xf numFmtId="0" fontId="10" fillId="0" borderId="18" xfId="13" applyFont="1" applyBorder="1" applyAlignment="1">
      <alignment horizontal="left" vertical="center" wrapText="1" indent="1"/>
    </xf>
    <xf numFmtId="0" fontId="11" fillId="0" borderId="18" xfId="13" applyFont="1" applyBorder="1" applyAlignment="1">
      <alignment horizontal="left" vertical="center" wrapText="1"/>
    </xf>
    <xf numFmtId="0" fontId="11" fillId="0" borderId="18" xfId="13" applyFont="1" applyBorder="1" applyAlignment="1">
      <alignment horizontal="left" vertical="center" wrapText="1" indent="1"/>
    </xf>
    <xf numFmtId="0" fontId="10" fillId="0" borderId="18" xfId="13" applyFont="1" applyBorder="1" applyAlignment="1">
      <alignment horizontal="left" vertical="center" wrapText="1" indent="2"/>
    </xf>
    <xf numFmtId="0" fontId="10" fillId="0" borderId="30" xfId="13" applyFont="1" applyBorder="1" applyAlignment="1">
      <alignment vertical="center" wrapText="1"/>
    </xf>
    <xf numFmtId="0" fontId="11" fillId="7" borderId="14" xfId="13" applyFont="1" applyFill="1" applyBorder="1" applyAlignment="1">
      <alignment vertical="center" wrapText="1"/>
    </xf>
    <xf numFmtId="0" fontId="10" fillId="0" borderId="18" xfId="9" applyFont="1" applyBorder="1" applyAlignment="1">
      <alignment horizontal="left" vertical="center" indent="4"/>
    </xf>
    <xf numFmtId="0" fontId="10" fillId="0" borderId="18" xfId="13" applyFont="1" applyBorder="1" applyAlignment="1">
      <alignment horizontal="left" vertical="top" wrapText="1" indent="2"/>
    </xf>
    <xf numFmtId="0" fontId="10" fillId="0" borderId="18" xfId="9" applyFont="1" applyBorder="1"/>
    <xf numFmtId="0" fontId="10" fillId="0" borderId="18" xfId="9" applyFont="1" applyBorder="1" applyAlignment="1">
      <alignment horizontal="left" indent="2"/>
    </xf>
    <xf numFmtId="0" fontId="10" fillId="0" borderId="30" xfId="9" applyFont="1" applyBorder="1" applyAlignment="1">
      <alignment horizontal="left" indent="2"/>
    </xf>
    <xf numFmtId="189" fontId="10" fillId="0" borderId="0" xfId="1" applyNumberFormat="1" applyFont="1" applyBorder="1" applyAlignment="1">
      <alignment vertical="top"/>
    </xf>
    <xf numFmtId="0" fontId="3" fillId="0" borderId="0" xfId="22"/>
    <xf numFmtId="0" fontId="4" fillId="0" borderId="0" xfId="22" applyFont="1"/>
    <xf numFmtId="43" fontId="4" fillId="0" borderId="0" xfId="21" applyFont="1" applyBorder="1" applyAlignment="1"/>
    <xf numFmtId="0" fontId="10" fillId="0" borderId="30" xfId="13" applyFont="1" applyBorder="1" applyAlignment="1">
      <alignment horizontal="left" vertical="center" indent="1"/>
    </xf>
    <xf numFmtId="41" fontId="11" fillId="2" borderId="1" xfId="14" applyNumberFormat="1" applyFont="1" applyFill="1" applyBorder="1" applyAlignment="1">
      <alignment horizontal="left" vertical="top"/>
    </xf>
    <xf numFmtId="197" fontId="11" fillId="0" borderId="0" xfId="1" applyNumberFormat="1" applyFont="1" applyAlignment="1">
      <alignment vertical="top"/>
    </xf>
    <xf numFmtId="41" fontId="11" fillId="0" borderId="3" xfId="14" applyNumberFormat="1" applyFont="1" applyBorder="1" applyAlignment="1">
      <alignment vertical="top" wrapText="1"/>
    </xf>
    <xf numFmtId="41" fontId="11" fillId="0" borderId="3" xfId="2" applyNumberFormat="1" applyFont="1" applyBorder="1" applyAlignment="1">
      <alignment horizontal="right" vertical="top"/>
    </xf>
    <xf numFmtId="41" fontId="11" fillId="0" borderId="8" xfId="2" applyNumberFormat="1" applyFont="1" applyBorder="1" applyAlignment="1">
      <alignment horizontal="right" vertical="top"/>
    </xf>
    <xf numFmtId="41" fontId="10" fillId="0" borderId="9" xfId="14" applyNumberFormat="1" applyFont="1" applyBorder="1" applyAlignment="1">
      <alignment vertical="top" wrapText="1"/>
    </xf>
    <xf numFmtId="41" fontId="10" fillId="0" borderId="3" xfId="2" applyNumberFormat="1" applyFont="1" applyBorder="1" applyAlignment="1">
      <alignment horizontal="right" vertical="top"/>
    </xf>
    <xf numFmtId="41" fontId="10" fillId="0" borderId="8" xfId="2" applyNumberFormat="1" applyFont="1" applyBorder="1" applyAlignment="1">
      <alignment horizontal="right" vertical="top"/>
    </xf>
    <xf numFmtId="41" fontId="10" fillId="0" borderId="3" xfId="14" applyNumberFormat="1" applyFont="1" applyBorder="1" applyAlignment="1">
      <alignment vertical="top" wrapText="1"/>
    </xf>
    <xf numFmtId="0" fontId="11" fillId="2" borderId="1" xfId="22" applyFont="1" applyFill="1" applyBorder="1" applyAlignment="1">
      <alignment vertical="center"/>
    </xf>
    <xf numFmtId="0" fontId="11" fillId="0" borderId="9" xfId="22" applyFont="1" applyBorder="1" applyAlignment="1">
      <alignment vertical="center"/>
    </xf>
    <xf numFmtId="41" fontId="11" fillId="0" borderId="2" xfId="2" applyNumberFormat="1" applyFont="1" applyBorder="1" applyAlignment="1">
      <alignment horizontal="right" vertical="top"/>
    </xf>
    <xf numFmtId="41" fontId="10" fillId="0" borderId="9" xfId="2" applyNumberFormat="1" applyFont="1" applyBorder="1" applyAlignment="1">
      <alignment horizontal="right" vertical="top"/>
    </xf>
    <xf numFmtId="0" fontId="10" fillId="0" borderId="9" xfId="22" applyFont="1" applyBorder="1" applyAlignment="1">
      <alignment vertical="center"/>
    </xf>
    <xf numFmtId="0" fontId="11" fillId="0" borderId="9" xfId="22" applyFont="1" applyBorder="1" applyAlignment="1">
      <alignment vertical="center" wrapText="1"/>
    </xf>
    <xf numFmtId="41" fontId="11" fillId="0" borderId="9" xfId="2" applyNumberFormat="1" applyFont="1" applyBorder="1" applyAlignment="1">
      <alignment horizontal="right" vertical="top"/>
    </xf>
    <xf numFmtId="0" fontId="10" fillId="0" borderId="9" xfId="22" applyFont="1" applyBorder="1" applyAlignment="1">
      <alignment horizontal="left" vertical="center"/>
    </xf>
    <xf numFmtId="41" fontId="11" fillId="2" borderId="1" xfId="2" applyNumberFormat="1" applyFont="1" applyFill="1" applyBorder="1" applyAlignment="1">
      <alignment vertical="top"/>
    </xf>
    <xf numFmtId="41" fontId="11" fillId="0" borderId="3" xfId="2" applyNumberFormat="1" applyFont="1" applyFill="1" applyBorder="1" applyAlignment="1">
      <alignment vertical="top"/>
    </xf>
    <xf numFmtId="41" fontId="11" fillId="3" borderId="0" xfId="9" applyNumberFormat="1" applyFont="1" applyFill="1" applyAlignment="1">
      <alignment vertical="top"/>
    </xf>
    <xf numFmtId="41" fontId="10" fillId="0" borderId="4" xfId="2" applyNumberFormat="1" applyFont="1" applyFill="1" applyBorder="1" applyAlignment="1">
      <alignment horizontal="right" vertical="top"/>
    </xf>
    <xf numFmtId="41" fontId="10" fillId="3" borderId="0" xfId="9" applyNumberFormat="1" applyFont="1" applyFill="1" applyAlignment="1">
      <alignment vertical="top"/>
    </xf>
    <xf numFmtId="41" fontId="10" fillId="0" borderId="3" xfId="2" applyNumberFormat="1" applyFont="1" applyBorder="1" applyAlignment="1">
      <alignment vertical="top"/>
    </xf>
    <xf numFmtId="41" fontId="11" fillId="2" borderId="5" xfId="14" applyNumberFormat="1" applyFont="1" applyFill="1" applyBorder="1" applyAlignment="1">
      <alignment horizontal="center" vertical="top"/>
    </xf>
    <xf numFmtId="198" fontId="10" fillId="0" borderId="0" xfId="9" applyNumberFormat="1" applyFont="1" applyAlignment="1">
      <alignment vertical="top"/>
    </xf>
    <xf numFmtId="0" fontId="10" fillId="0" borderId="19" xfId="13" applyFont="1" applyBorder="1" applyAlignment="1">
      <alignment horizontal="left" vertical="top" wrapText="1" indent="2"/>
    </xf>
    <xf numFmtId="0" fontId="10" fillId="0" borderId="19" xfId="13" applyFont="1" applyBorder="1" applyAlignment="1">
      <alignment horizontal="left" wrapText="1" indent="2"/>
    </xf>
    <xf numFmtId="0" fontId="11" fillId="7" borderId="18" xfId="9" applyFont="1" applyFill="1" applyBorder="1" applyAlignment="1">
      <alignment horizontal="left" vertical="center"/>
    </xf>
    <xf numFmtId="0" fontId="11" fillId="7" borderId="18" xfId="9" applyFont="1" applyFill="1" applyBorder="1" applyAlignment="1">
      <alignment horizontal="left" vertical="center" indent="6"/>
    </xf>
    <xf numFmtId="0" fontId="10" fillId="7" borderId="18" xfId="9" applyFont="1" applyFill="1" applyBorder="1" applyAlignment="1">
      <alignment horizontal="left" vertical="center" indent="2"/>
    </xf>
    <xf numFmtId="43" fontId="10" fillId="0" borderId="0" xfId="16" applyFont="1" applyAlignment="1">
      <alignment vertical="center"/>
    </xf>
    <xf numFmtId="0" fontId="10" fillId="0" borderId="0" xfId="9" applyFont="1" applyAlignment="1">
      <alignment horizontal="center" vertical="center"/>
    </xf>
    <xf numFmtId="197" fontId="45" fillId="0" borderId="0" xfId="16" applyNumberFormat="1" applyFont="1" applyAlignment="1">
      <alignment vertical="top"/>
    </xf>
    <xf numFmtId="197" fontId="45" fillId="0" borderId="0" xfId="10" applyNumberFormat="1" applyFont="1" applyAlignment="1">
      <alignment vertical="top"/>
    </xf>
    <xf numFmtId="2" fontId="45" fillId="0" borderId="0" xfId="10" applyNumberFormat="1" applyFont="1" applyAlignment="1">
      <alignment vertical="top"/>
    </xf>
    <xf numFmtId="0" fontId="11" fillId="0" borderId="30" xfId="13" applyFont="1" applyBorder="1" applyAlignment="1">
      <alignment horizontal="left" vertical="center" indent="7"/>
    </xf>
    <xf numFmtId="0" fontId="13" fillId="0" borderId="0" xfId="10" applyFont="1" applyAlignment="1">
      <alignment horizontal="right" vertical="top"/>
    </xf>
    <xf numFmtId="0" fontId="13" fillId="0" borderId="0" xfId="10" applyFont="1" applyAlignment="1">
      <alignment horizontal="left" vertical="top"/>
    </xf>
    <xf numFmtId="0" fontId="50" fillId="0" borderId="1" xfId="10" applyFont="1" applyBorder="1" applyAlignment="1">
      <alignment horizontal="center" vertical="top"/>
    </xf>
    <xf numFmtId="43" fontId="50" fillId="0" borderId="1" xfId="16" applyFont="1" applyBorder="1" applyAlignment="1">
      <alignment horizontal="center" vertical="top"/>
    </xf>
    <xf numFmtId="43" fontId="50" fillId="15" borderId="1" xfId="16" applyFont="1" applyFill="1" applyBorder="1" applyAlignment="1">
      <alignment horizontal="center" vertical="top"/>
    </xf>
    <xf numFmtId="0" fontId="51" fillId="0" borderId="1" xfId="10" applyFont="1" applyBorder="1" applyAlignment="1">
      <alignment horizontal="center" vertical="top"/>
    </xf>
    <xf numFmtId="43" fontId="13" fillId="0" borderId="1" xfId="16" applyFont="1" applyBorder="1" applyAlignment="1">
      <alignment horizontal="center" vertical="top"/>
    </xf>
    <xf numFmtId="43" fontId="13" fillId="0" borderId="1" xfId="16" applyFont="1" applyFill="1" applyBorder="1" applyAlignment="1">
      <alignment horizontal="center" vertical="top"/>
    </xf>
    <xf numFmtId="43" fontId="50" fillId="0" borderId="1" xfId="16" applyFont="1" applyFill="1" applyBorder="1" applyAlignment="1">
      <alignment horizontal="center" vertical="top"/>
    </xf>
    <xf numFmtId="39" fontId="70" fillId="0" borderId="1" xfId="3" applyNumberFormat="1" applyFont="1" applyBorder="1" applyAlignment="1">
      <alignment horizontal="center" vertical="top"/>
    </xf>
    <xf numFmtId="43" fontId="71" fillId="0" borderId="1" xfId="16" applyFont="1" applyBorder="1" applyAlignment="1">
      <alignment horizontal="center" vertical="top"/>
    </xf>
    <xf numFmtId="0" fontId="10" fillId="0" borderId="17" xfId="13" applyFont="1" applyFill="1" applyBorder="1" applyAlignment="1">
      <alignment horizontal="left" vertical="center" indent="9"/>
    </xf>
    <xf numFmtId="0" fontId="10" fillId="0" borderId="18" xfId="13" applyFont="1" applyFill="1" applyBorder="1" applyAlignment="1">
      <alignment horizontal="left" vertical="center" indent="2"/>
    </xf>
    <xf numFmtId="0" fontId="10" fillId="0" borderId="18" xfId="13" applyFont="1" applyFill="1" applyBorder="1" applyAlignment="1">
      <alignment horizontal="left" vertical="center"/>
    </xf>
    <xf numFmtId="43" fontId="10" fillId="0" borderId="0" xfId="16" applyFont="1" applyFill="1" applyAlignment="1">
      <alignment vertical="center"/>
    </xf>
    <xf numFmtId="0" fontId="11" fillId="0" borderId="0" xfId="9" applyFont="1" applyFill="1" applyAlignment="1">
      <alignment vertical="center"/>
    </xf>
    <xf numFmtId="49" fontId="10" fillId="0" borderId="0" xfId="9" applyNumberFormat="1" applyFont="1" applyAlignment="1">
      <alignment horizontal="center"/>
    </xf>
    <xf numFmtId="49" fontId="11" fillId="0" borderId="1" xfId="1" applyNumberFormat="1" applyFont="1" applyFill="1" applyBorder="1" applyAlignment="1" applyProtection="1">
      <alignment horizontal="center" vertical="top"/>
      <protection locked="0"/>
    </xf>
    <xf numFmtId="49" fontId="11" fillId="4" borderId="16" xfId="1" applyNumberFormat="1" applyFont="1" applyFill="1" applyBorder="1" applyAlignment="1">
      <alignment horizontal="center" vertical="top"/>
    </xf>
    <xf numFmtId="49" fontId="11" fillId="5" borderId="20" xfId="1" applyNumberFormat="1" applyFont="1" applyFill="1" applyBorder="1" applyAlignment="1">
      <alignment horizontal="center" vertical="top" wrapText="1"/>
    </xf>
    <xf numFmtId="49" fontId="11" fillId="6" borderId="20" xfId="1" applyNumberFormat="1" applyFont="1" applyFill="1" applyBorder="1" applyAlignment="1">
      <alignment horizontal="center" vertical="top"/>
    </xf>
    <xf numFmtId="49" fontId="11" fillId="7" borderId="20" xfId="1" applyNumberFormat="1" applyFont="1" applyFill="1" applyBorder="1" applyAlignment="1">
      <alignment horizontal="center" vertical="top"/>
    </xf>
    <xf numFmtId="49" fontId="11" fillId="0" borderId="20" xfId="1" applyNumberFormat="1" applyFont="1" applyBorder="1" applyAlignment="1">
      <alignment horizontal="center" vertical="top"/>
    </xf>
    <xf numFmtId="49" fontId="11" fillId="5" borderId="20" xfId="1" applyNumberFormat="1" applyFont="1" applyFill="1" applyBorder="1" applyAlignment="1">
      <alignment horizontal="center" vertical="top"/>
    </xf>
    <xf numFmtId="49" fontId="11" fillId="0" borderId="31" xfId="1" applyNumberFormat="1" applyFont="1" applyBorder="1" applyAlignment="1">
      <alignment horizontal="center" vertical="top"/>
    </xf>
    <xf numFmtId="49" fontId="10" fillId="0" borderId="20" xfId="1" applyNumberFormat="1" applyFont="1" applyBorder="1" applyAlignment="1">
      <alignment horizontal="center" vertical="top"/>
    </xf>
    <xf numFmtId="49" fontId="10" fillId="0" borderId="20" xfId="1" applyNumberFormat="1" applyFont="1" applyFill="1" applyBorder="1" applyAlignment="1">
      <alignment horizontal="center" vertical="top"/>
    </xf>
    <xf numFmtId="49" fontId="11" fillId="5" borderId="16" xfId="1" applyNumberFormat="1" applyFont="1" applyFill="1" applyBorder="1" applyAlignment="1">
      <alignment horizontal="center" vertical="top"/>
    </xf>
    <xf numFmtId="49" fontId="11" fillId="7" borderId="20" xfId="1" applyNumberFormat="1" applyFont="1" applyFill="1" applyBorder="1" applyAlignment="1">
      <alignment horizontal="center" vertical="center"/>
    </xf>
    <xf numFmtId="49" fontId="11" fillId="0" borderId="24" xfId="1" applyNumberFormat="1" applyFont="1" applyBorder="1" applyAlignment="1">
      <alignment horizontal="center" vertical="top"/>
    </xf>
    <xf numFmtId="49" fontId="10" fillId="0" borderId="24" xfId="1" applyNumberFormat="1" applyFont="1" applyBorder="1" applyAlignment="1">
      <alignment horizontal="center" vertical="top"/>
    </xf>
    <xf numFmtId="49" fontId="11" fillId="6" borderId="20" xfId="1" applyNumberFormat="1" applyFont="1" applyFill="1" applyBorder="1" applyAlignment="1">
      <alignment horizontal="center" vertical="top" wrapText="1"/>
    </xf>
    <xf numFmtId="49" fontId="11" fillId="5" borderId="24" xfId="1" applyNumberFormat="1" applyFont="1" applyFill="1" applyBorder="1" applyAlignment="1">
      <alignment horizontal="center" vertical="top"/>
    </xf>
    <xf numFmtId="49" fontId="11" fillId="0" borderId="20" xfId="1" applyNumberFormat="1" applyFont="1" applyFill="1" applyBorder="1" applyAlignment="1">
      <alignment horizontal="center" vertical="top"/>
    </xf>
    <xf numFmtId="49" fontId="11" fillId="0" borderId="28" xfId="1" applyNumberFormat="1" applyFont="1" applyBorder="1" applyAlignment="1">
      <alignment horizontal="center" vertical="top"/>
    </xf>
    <xf numFmtId="49" fontId="11" fillId="0" borderId="28" xfId="1" applyNumberFormat="1" applyFont="1" applyFill="1" applyBorder="1" applyAlignment="1">
      <alignment horizontal="center" vertical="top"/>
    </xf>
    <xf numFmtId="49" fontId="10" fillId="0" borderId="28" xfId="1" applyNumberFormat="1" applyFont="1" applyFill="1" applyBorder="1" applyAlignment="1">
      <alignment horizontal="center" vertical="top"/>
    </xf>
    <xf numFmtId="49" fontId="11" fillId="9" borderId="20" xfId="1" applyNumberFormat="1" applyFont="1" applyFill="1" applyBorder="1" applyAlignment="1" applyProtection="1">
      <alignment horizontal="center" vertical="top"/>
      <protection locked="0"/>
    </xf>
    <xf numFmtId="49" fontId="11" fillId="17" borderId="20" xfId="1" applyNumberFormat="1" applyFont="1" applyFill="1" applyBorder="1" applyAlignment="1">
      <alignment horizontal="center" vertical="top"/>
    </xf>
    <xf numFmtId="49" fontId="11" fillId="0" borderId="20" xfId="1" applyNumberFormat="1" applyFont="1" applyFill="1" applyBorder="1" applyAlignment="1" applyProtection="1">
      <alignment horizontal="center" vertical="top"/>
      <protection locked="0"/>
    </xf>
    <xf numFmtId="49" fontId="10" fillId="0" borderId="20" xfId="1" applyNumberFormat="1" applyFont="1" applyFill="1" applyBorder="1" applyAlignment="1" applyProtection="1">
      <alignment horizontal="center" vertical="top"/>
      <protection locked="0"/>
    </xf>
    <xf numFmtId="49" fontId="11" fillId="7" borderId="20" xfId="1" applyNumberFormat="1" applyFont="1" applyFill="1" applyBorder="1" applyAlignment="1" applyProtection="1">
      <alignment horizontal="center" vertical="top"/>
      <protection locked="0"/>
    </xf>
    <xf numFmtId="49" fontId="10" fillId="7" borderId="20" xfId="1" applyNumberFormat="1" applyFont="1" applyFill="1" applyBorder="1" applyAlignment="1" applyProtection="1">
      <alignment horizontal="center" vertical="top"/>
      <protection locked="0"/>
    </xf>
    <xf numFmtId="49" fontId="11" fillId="4" borderId="16" xfId="1" applyNumberFormat="1" applyFont="1" applyFill="1" applyBorder="1" applyAlignment="1" applyProtection="1">
      <alignment horizontal="center" vertical="top"/>
      <protection locked="0"/>
    </xf>
    <xf numFmtId="49" fontId="11" fillId="5" borderId="20" xfId="1" applyNumberFormat="1" applyFont="1" applyFill="1" applyBorder="1" applyAlignment="1" applyProtection="1">
      <alignment horizontal="center" vertical="top"/>
      <protection locked="0"/>
    </xf>
    <xf numFmtId="49" fontId="11" fillId="6" borderId="20" xfId="1" applyNumberFormat="1" applyFont="1" applyFill="1" applyBorder="1" applyAlignment="1" applyProtection="1">
      <alignment horizontal="center" vertical="top"/>
      <protection locked="0"/>
    </xf>
    <xf numFmtId="49" fontId="11" fillId="17" borderId="20" xfId="1" applyNumberFormat="1" applyFont="1" applyFill="1" applyBorder="1" applyAlignment="1" applyProtection="1">
      <alignment horizontal="center" vertical="top"/>
      <protection locked="0"/>
    </xf>
    <xf numFmtId="49" fontId="10" fillId="0" borderId="28" xfId="1" applyNumberFormat="1" applyFont="1" applyFill="1" applyBorder="1" applyAlignment="1" applyProtection="1">
      <alignment horizontal="center" vertical="top"/>
      <protection locked="0"/>
    </xf>
    <xf numFmtId="49" fontId="10" fillId="0" borderId="20" xfId="21" applyNumberFormat="1" applyFont="1" applyBorder="1" applyAlignment="1">
      <alignment horizontal="center" vertical="top"/>
    </xf>
    <xf numFmtId="49" fontId="11" fillId="0" borderId="24" xfId="1" applyNumberFormat="1" applyFont="1" applyFill="1" applyBorder="1" applyAlignment="1" applyProtection="1">
      <alignment horizontal="center" vertical="top"/>
      <protection locked="0"/>
    </xf>
    <xf numFmtId="49" fontId="2" fillId="0" borderId="20" xfId="21" applyNumberFormat="1" applyFont="1" applyBorder="1" applyAlignment="1">
      <alignment horizontal="center" vertical="top"/>
    </xf>
    <xf numFmtId="49" fontId="10" fillId="0" borderId="24" xfId="1" applyNumberFormat="1" applyFont="1" applyFill="1" applyBorder="1" applyAlignment="1" applyProtection="1">
      <alignment horizontal="center" vertical="top"/>
      <protection locked="0"/>
    </xf>
    <xf numFmtId="49" fontId="11" fillId="11" borderId="16" xfId="1" applyNumberFormat="1" applyFont="1" applyFill="1" applyBorder="1" applyAlignment="1">
      <alignment horizontal="center" vertical="top"/>
    </xf>
    <xf numFmtId="49" fontId="11" fillId="12" borderId="20" xfId="1" applyNumberFormat="1" applyFont="1" applyFill="1" applyBorder="1" applyAlignment="1">
      <alignment horizontal="center" vertical="top"/>
    </xf>
    <xf numFmtId="49" fontId="10" fillId="0" borderId="20" xfId="1" applyNumberFormat="1" applyFont="1" applyBorder="1" applyAlignment="1">
      <alignment horizontal="center" vertical="top" wrapText="1"/>
    </xf>
    <xf numFmtId="49" fontId="10" fillId="0" borderId="31" xfId="1" applyNumberFormat="1" applyFont="1" applyBorder="1" applyAlignment="1">
      <alignment horizontal="center" vertical="top" wrapText="1"/>
    </xf>
    <xf numFmtId="49" fontId="11" fillId="7" borderId="16" xfId="1" applyNumberFormat="1" applyFont="1" applyFill="1" applyBorder="1" applyAlignment="1">
      <alignment horizontal="center" vertical="top"/>
    </xf>
    <xf numFmtId="49" fontId="10" fillId="0" borderId="31" xfId="1" applyNumberFormat="1" applyFont="1" applyBorder="1" applyAlignment="1">
      <alignment horizontal="center" vertical="top"/>
    </xf>
    <xf numFmtId="49" fontId="11" fillId="0" borderId="20" xfId="1" applyNumberFormat="1" applyFont="1" applyFill="1" applyBorder="1" applyAlignment="1">
      <alignment horizontal="center" vertical="top" wrapText="1"/>
    </xf>
    <xf numFmtId="49" fontId="10" fillId="0" borderId="20" xfId="1" applyNumberFormat="1" applyFont="1" applyFill="1" applyBorder="1" applyAlignment="1">
      <alignment horizontal="center" vertical="top" wrapText="1"/>
    </xf>
    <xf numFmtId="0" fontId="11" fillId="0" borderId="33" xfId="9" applyFont="1" applyBorder="1" applyAlignment="1">
      <alignment horizontal="center" vertical="center"/>
    </xf>
    <xf numFmtId="0" fontId="11" fillId="0" borderId="34" xfId="9" applyFont="1" applyBorder="1" applyAlignment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top"/>
      <protection locked="0"/>
    </xf>
    <xf numFmtId="43" fontId="11" fillId="0" borderId="2" xfId="1" applyNumberFormat="1" applyFont="1" applyFill="1" applyBorder="1" applyAlignment="1" applyProtection="1">
      <alignment horizontal="right" vertical="top"/>
      <protection locked="0"/>
    </xf>
    <xf numFmtId="43" fontId="11" fillId="0" borderId="1" xfId="1" applyNumberFormat="1" applyFont="1" applyFill="1" applyBorder="1" applyAlignment="1" applyProtection="1">
      <alignment horizontal="right" vertical="top"/>
      <protection locked="0"/>
    </xf>
    <xf numFmtId="43" fontId="11" fillId="0" borderId="1" xfId="1" applyNumberFormat="1" applyFont="1" applyBorder="1" applyAlignment="1" applyProtection="1">
      <alignment horizontal="right" vertical="center"/>
      <protection locked="0"/>
    </xf>
    <xf numFmtId="43" fontId="11" fillId="0" borderId="1" xfId="1" applyNumberFormat="1" applyFont="1" applyBorder="1" applyAlignment="1" applyProtection="1">
      <alignment horizontal="right" vertical="top"/>
      <protection locked="0"/>
    </xf>
    <xf numFmtId="43" fontId="11" fillId="0" borderId="5" xfId="1" applyNumberFormat="1" applyFont="1" applyBorder="1" applyAlignment="1" applyProtection="1">
      <alignment horizontal="right" vertical="top"/>
      <protection locked="0"/>
    </xf>
    <xf numFmtId="43" fontId="11" fillId="0" borderId="2" xfId="1" applyNumberFormat="1" applyFont="1" applyBorder="1" applyAlignment="1" applyProtection="1">
      <alignment horizontal="right" vertical="center"/>
      <protection locked="0"/>
    </xf>
    <xf numFmtId="43" fontId="11" fillId="0" borderId="2" xfId="1" applyNumberFormat="1" applyFont="1" applyBorder="1" applyAlignment="1" applyProtection="1">
      <alignment horizontal="right" vertical="top"/>
      <protection locked="0"/>
    </xf>
    <xf numFmtId="43" fontId="11" fillId="0" borderId="33" xfId="1" applyNumberFormat="1" applyFont="1" applyBorder="1" applyAlignment="1" applyProtection="1">
      <alignment horizontal="right" vertical="top"/>
      <protection locked="0"/>
    </xf>
    <xf numFmtId="43" fontId="11" fillId="4" borderId="16" xfId="1" applyNumberFormat="1" applyFont="1" applyFill="1" applyBorder="1" applyAlignment="1">
      <alignment vertical="center"/>
    </xf>
    <xf numFmtId="43" fontId="11" fillId="4" borderId="16" xfId="1" applyNumberFormat="1" applyFont="1" applyFill="1" applyBorder="1" applyAlignment="1">
      <alignment vertical="top"/>
    </xf>
    <xf numFmtId="43" fontId="11" fillId="4" borderId="13" xfId="1" applyNumberFormat="1" applyFont="1" applyFill="1" applyBorder="1" applyAlignment="1">
      <alignment vertical="top"/>
    </xf>
    <xf numFmtId="43" fontId="11" fillId="5" borderId="20" xfId="1" applyNumberFormat="1" applyFont="1" applyFill="1" applyBorder="1" applyAlignment="1">
      <alignment vertical="center" wrapText="1"/>
    </xf>
    <xf numFmtId="43" fontId="11" fillId="5" borderId="20" xfId="1" applyNumberFormat="1" applyFont="1" applyFill="1" applyBorder="1" applyAlignment="1">
      <alignment vertical="top" wrapText="1"/>
    </xf>
    <xf numFmtId="43" fontId="11" fillId="5" borderId="17" xfId="1" applyNumberFormat="1" applyFont="1" applyFill="1" applyBorder="1" applyAlignment="1">
      <alignment vertical="top" wrapText="1"/>
    </xf>
    <xf numFmtId="43" fontId="11" fillId="6" borderId="20" xfId="1" applyNumberFormat="1" applyFont="1" applyFill="1" applyBorder="1" applyAlignment="1">
      <alignment vertical="center"/>
    </xf>
    <xf numFmtId="43" fontId="11" fillId="6" borderId="20" xfId="1" applyNumberFormat="1" applyFont="1" applyFill="1" applyBorder="1" applyAlignment="1">
      <alignment vertical="top"/>
    </xf>
    <xf numFmtId="43" fontId="11" fillId="6" borderId="17" xfId="1" applyNumberFormat="1" applyFont="1" applyFill="1" applyBorder="1" applyAlignment="1">
      <alignment vertical="top"/>
    </xf>
    <xf numFmtId="43" fontId="11" fillId="7" borderId="20" xfId="1" applyNumberFormat="1" applyFont="1" applyFill="1" applyBorder="1" applyAlignment="1">
      <alignment vertical="center"/>
    </xf>
    <xf numFmtId="43" fontId="11" fillId="7" borderId="20" xfId="1" applyNumberFormat="1" applyFont="1" applyFill="1" applyBorder="1" applyAlignment="1">
      <alignment vertical="top"/>
    </xf>
    <xf numFmtId="43" fontId="11" fillId="7" borderId="17" xfId="1" applyNumberFormat="1" applyFont="1" applyFill="1" applyBorder="1" applyAlignment="1">
      <alignment vertical="top"/>
    </xf>
    <xf numFmtId="43" fontId="10" fillId="0" borderId="20" xfId="1" applyNumberFormat="1" applyFont="1" applyBorder="1" applyAlignment="1">
      <alignment vertical="center"/>
    </xf>
    <xf numFmtId="43" fontId="10" fillId="0" borderId="20" xfId="1" applyNumberFormat="1" applyFont="1" applyBorder="1" applyAlignment="1">
      <alignment vertical="top"/>
    </xf>
    <xf numFmtId="43" fontId="10" fillId="0" borderId="17" xfId="1" applyNumberFormat="1" applyFont="1" applyBorder="1" applyAlignment="1">
      <alignment vertical="top"/>
    </xf>
    <xf numFmtId="43" fontId="11" fillId="5" borderId="20" xfId="1" applyNumberFormat="1" applyFont="1" applyFill="1" applyBorder="1" applyAlignment="1">
      <alignment vertical="center"/>
    </xf>
    <xf numFmtId="43" fontId="11" fillId="5" borderId="20" xfId="1" applyNumberFormat="1" applyFont="1" applyFill="1" applyBorder="1" applyAlignment="1">
      <alignment vertical="top"/>
    </xf>
    <xf numFmtId="43" fontId="11" fillId="5" borderId="17" xfId="1" applyNumberFormat="1" applyFont="1" applyFill="1" applyBorder="1" applyAlignment="1">
      <alignment vertical="top"/>
    </xf>
    <xf numFmtId="43" fontId="11" fillId="0" borderId="20" xfId="1" applyNumberFormat="1" applyFont="1" applyBorder="1" applyAlignment="1">
      <alignment vertical="center"/>
    </xf>
    <xf numFmtId="43" fontId="11" fillId="0" borderId="20" xfId="1" applyNumberFormat="1" applyFont="1" applyBorder="1" applyAlignment="1">
      <alignment vertical="top"/>
    </xf>
    <xf numFmtId="43" fontId="11" fillId="0" borderId="17" xfId="1" applyNumberFormat="1" applyFont="1" applyBorder="1" applyAlignment="1">
      <alignment vertical="top"/>
    </xf>
    <xf numFmtId="43" fontId="11" fillId="0" borderId="31" xfId="1" applyNumberFormat="1" applyFont="1" applyBorder="1" applyAlignment="1">
      <alignment vertical="center"/>
    </xf>
    <xf numFmtId="43" fontId="11" fillId="0" borderId="31" xfId="1" applyNumberFormat="1" applyFont="1" applyBorder="1" applyAlignment="1">
      <alignment vertical="top"/>
    </xf>
    <xf numFmtId="43" fontId="11" fillId="0" borderId="29" xfId="1" applyNumberFormat="1" applyFont="1" applyBorder="1" applyAlignment="1">
      <alignment vertical="top"/>
    </xf>
    <xf numFmtId="43" fontId="11" fillId="5" borderId="20" xfId="1" applyNumberFormat="1" applyFont="1" applyFill="1" applyBorder="1" applyAlignment="1">
      <alignment horizontal="left" vertical="center"/>
    </xf>
    <xf numFmtId="43" fontId="11" fillId="5" borderId="20" xfId="1" applyNumberFormat="1" applyFont="1" applyFill="1" applyBorder="1" applyAlignment="1">
      <alignment horizontal="left" vertical="top"/>
    </xf>
    <xf numFmtId="43" fontId="11" fillId="5" borderId="17" xfId="1" applyNumberFormat="1" applyFont="1" applyFill="1" applyBorder="1" applyAlignment="1">
      <alignment horizontal="left" vertical="top"/>
    </xf>
    <xf numFmtId="43" fontId="11" fillId="0" borderId="20" xfId="1" applyNumberFormat="1" applyFont="1" applyFill="1" applyBorder="1" applyAlignment="1">
      <alignment vertical="top"/>
    </xf>
    <xf numFmtId="43" fontId="11" fillId="0" borderId="17" xfId="1" applyNumberFormat="1" applyFont="1" applyFill="1" applyBorder="1" applyAlignment="1">
      <alignment vertical="top"/>
    </xf>
    <xf numFmtId="43" fontId="25" fillId="0" borderId="20" xfId="1" applyNumberFormat="1" applyFont="1" applyBorder="1" applyAlignment="1">
      <alignment vertical="center"/>
    </xf>
    <xf numFmtId="43" fontId="10" fillId="0" borderId="19" xfId="1" applyNumberFormat="1" applyFont="1" applyBorder="1" applyAlignment="1">
      <alignment vertical="top"/>
    </xf>
    <xf numFmtId="43" fontId="10" fillId="0" borderId="19" xfId="1" applyNumberFormat="1" applyFont="1" applyFill="1" applyBorder="1" applyAlignment="1">
      <alignment vertical="top"/>
    </xf>
    <xf numFmtId="43" fontId="10" fillId="0" borderId="17" xfId="1" applyNumberFormat="1" applyFont="1" applyFill="1" applyBorder="1" applyAlignment="1">
      <alignment vertical="top"/>
    </xf>
    <xf numFmtId="43" fontId="10" fillId="0" borderId="20" xfId="1" applyNumberFormat="1" applyFont="1" applyFill="1" applyBorder="1" applyAlignment="1">
      <alignment vertical="center"/>
    </xf>
    <xf numFmtId="43" fontId="11" fillId="0" borderId="24" xfId="1" applyNumberFormat="1" applyFont="1" applyBorder="1" applyAlignment="1">
      <alignment vertical="center"/>
    </xf>
    <xf numFmtId="43" fontId="11" fillId="0" borderId="23" xfId="1" applyNumberFormat="1" applyFont="1" applyBorder="1" applyAlignment="1">
      <alignment vertical="top"/>
    </xf>
    <xf numFmtId="43" fontId="11" fillId="0" borderId="21" xfId="1" applyNumberFormat="1" applyFont="1" applyBorder="1" applyAlignment="1">
      <alignment vertical="top"/>
    </xf>
    <xf numFmtId="43" fontId="10" fillId="0" borderId="19" xfId="1" applyNumberFormat="1" applyFont="1" applyBorder="1" applyAlignment="1">
      <alignment horizontal="center" vertical="top"/>
    </xf>
    <xf numFmtId="43" fontId="10" fillId="0" borderId="17" xfId="1" applyNumberFormat="1" applyFont="1" applyBorder="1" applyAlignment="1">
      <alignment horizontal="center" vertical="top"/>
    </xf>
    <xf numFmtId="43" fontId="11" fillId="0" borderId="19" xfId="1" applyNumberFormat="1" applyFont="1" applyBorder="1" applyAlignment="1">
      <alignment vertical="top"/>
    </xf>
    <xf numFmtId="43" fontId="11" fillId="0" borderId="20" xfId="1" applyNumberFormat="1" applyFont="1" applyFill="1" applyBorder="1" applyAlignment="1">
      <alignment vertical="center"/>
    </xf>
    <xf numFmtId="43" fontId="11" fillId="0" borderId="19" xfId="1" applyNumberFormat="1" applyFont="1" applyFill="1" applyBorder="1" applyAlignment="1">
      <alignment vertical="top"/>
    </xf>
    <xf numFmtId="43" fontId="11" fillId="0" borderId="28" xfId="1" applyNumberFormat="1" applyFont="1" applyBorder="1" applyAlignment="1">
      <alignment vertical="center"/>
    </xf>
    <xf numFmtId="43" fontId="11" fillId="0" borderId="27" xfId="1" applyNumberFormat="1" applyFont="1" applyBorder="1" applyAlignment="1">
      <alignment vertical="top"/>
    </xf>
    <xf numFmtId="43" fontId="11" fillId="0" borderId="25" xfId="1" applyNumberFormat="1" applyFont="1" applyBorder="1" applyAlignment="1">
      <alignment vertical="top"/>
    </xf>
    <xf numFmtId="43" fontId="11" fillId="5" borderId="16" xfId="1" applyNumberFormat="1" applyFont="1" applyFill="1" applyBorder="1" applyAlignment="1">
      <alignment vertical="center"/>
    </xf>
    <xf numFmtId="43" fontId="11" fillId="5" borderId="16" xfId="1" applyNumberFormat="1" applyFont="1" applyFill="1" applyBorder="1" applyAlignment="1">
      <alignment vertical="top"/>
    </xf>
    <xf numFmtId="43" fontId="11" fillId="5" borderId="13" xfId="1" applyNumberFormat="1" applyFont="1" applyFill="1" applyBorder="1" applyAlignment="1">
      <alignment vertical="top"/>
    </xf>
    <xf numFmtId="43" fontId="11" fillId="7" borderId="17" xfId="1" applyNumberFormat="1" applyFont="1" applyFill="1" applyBorder="1" applyAlignment="1">
      <alignment vertical="center"/>
    </xf>
    <xf numFmtId="43" fontId="11" fillId="0" borderId="17" xfId="1" applyNumberFormat="1" applyFont="1" applyBorder="1" applyAlignment="1">
      <alignment vertical="center"/>
    </xf>
    <xf numFmtId="43" fontId="11" fillId="0" borderId="20" xfId="1" applyNumberFormat="1" applyFont="1" applyBorder="1" applyAlignment="1">
      <alignment horizontal="center" vertical="top"/>
    </xf>
    <xf numFmtId="43" fontId="11" fillId="0" borderId="17" xfId="1" applyNumberFormat="1" applyFont="1" applyBorder="1" applyAlignment="1">
      <alignment horizontal="center" vertical="top"/>
    </xf>
    <xf numFmtId="43" fontId="11" fillId="0" borderId="24" xfId="1" applyNumberFormat="1" applyFont="1" applyBorder="1" applyAlignment="1">
      <alignment vertical="top"/>
    </xf>
    <xf numFmtId="43" fontId="10" fillId="0" borderId="24" xfId="1" applyNumberFormat="1" applyFont="1" applyBorder="1" applyAlignment="1">
      <alignment vertical="center"/>
    </xf>
    <xf numFmtId="43" fontId="10" fillId="0" borderId="23" xfId="1" applyNumberFormat="1" applyFont="1" applyBorder="1" applyAlignment="1">
      <alignment vertical="top"/>
    </xf>
    <xf numFmtId="43" fontId="10" fillId="0" borderId="21" xfId="1" applyNumberFormat="1" applyFont="1" applyBorder="1" applyAlignment="1">
      <alignment vertical="top"/>
    </xf>
    <xf numFmtId="43" fontId="11" fillId="0" borderId="23" xfId="1" applyNumberFormat="1" applyFont="1" applyBorder="1" applyAlignment="1">
      <alignment vertical="center"/>
    </xf>
    <xf numFmtId="43" fontId="11" fillId="0" borderId="21" xfId="1" applyNumberFormat="1" applyFont="1" applyBorder="1" applyAlignment="1">
      <alignment vertical="center"/>
    </xf>
    <xf numFmtId="43" fontId="11" fillId="6" borderId="20" xfId="1" applyNumberFormat="1" applyFont="1" applyFill="1" applyBorder="1" applyAlignment="1">
      <alignment vertical="center" wrapText="1"/>
    </xf>
    <xf numFmtId="43" fontId="11" fillId="6" borderId="20" xfId="1" applyNumberFormat="1" applyFont="1" applyFill="1" applyBorder="1" applyAlignment="1">
      <alignment vertical="top" wrapText="1"/>
    </xf>
    <xf numFmtId="43" fontId="11" fillId="6" borderId="17" xfId="1" applyNumberFormat="1" applyFont="1" applyFill="1" applyBorder="1" applyAlignment="1">
      <alignment vertical="top" wrapText="1"/>
    </xf>
    <xf numFmtId="43" fontId="11" fillId="5" borderId="24" xfId="1" applyNumberFormat="1" applyFont="1" applyFill="1" applyBorder="1" applyAlignment="1">
      <alignment vertical="center"/>
    </xf>
    <xf numFmtId="43" fontId="11" fillId="5" borderId="24" xfId="1" applyNumberFormat="1" applyFont="1" applyFill="1" applyBorder="1" applyAlignment="1">
      <alignment vertical="top"/>
    </xf>
    <xf numFmtId="43" fontId="11" fillId="5" borderId="21" xfId="1" applyNumberFormat="1" applyFont="1" applyFill="1" applyBorder="1" applyAlignment="1">
      <alignment vertical="top"/>
    </xf>
    <xf numFmtId="43" fontId="11" fillId="7" borderId="19" xfId="1" applyNumberFormat="1" applyFont="1" applyFill="1" applyBorder="1" applyAlignment="1">
      <alignment vertical="top"/>
    </xf>
    <xf numFmtId="43" fontId="11" fillId="0" borderId="28" xfId="1" applyNumberFormat="1" applyFont="1" applyBorder="1" applyAlignment="1">
      <alignment vertical="top"/>
    </xf>
    <xf numFmtId="43" fontId="11" fillId="5" borderId="15" xfId="1" applyNumberFormat="1" applyFont="1" applyFill="1" applyBorder="1" applyAlignment="1">
      <alignment vertical="top"/>
    </xf>
    <xf numFmtId="43" fontId="11" fillId="6" borderId="19" xfId="1" applyNumberFormat="1" applyFont="1" applyFill="1" applyBorder="1" applyAlignment="1">
      <alignment vertical="top"/>
    </xf>
    <xf numFmtId="43" fontId="10" fillId="0" borderId="28" xfId="1" applyNumberFormat="1" applyFont="1" applyFill="1" applyBorder="1" applyAlignment="1">
      <alignment vertical="center"/>
    </xf>
    <xf numFmtId="43" fontId="10" fillId="0" borderId="27" xfId="1" applyNumberFormat="1" applyFont="1" applyFill="1" applyBorder="1" applyAlignment="1">
      <alignment vertical="top"/>
    </xf>
    <xf numFmtId="43" fontId="11" fillId="0" borderId="25" xfId="1" applyNumberFormat="1" applyFont="1" applyFill="1" applyBorder="1" applyAlignment="1">
      <alignment vertical="top"/>
    </xf>
    <xf numFmtId="43" fontId="11" fillId="0" borderId="20" xfId="1" applyNumberFormat="1" applyFont="1" applyFill="1" applyBorder="1" applyAlignment="1">
      <alignment vertical="center" wrapText="1"/>
    </xf>
    <xf numFmtId="43" fontId="11" fillId="0" borderId="19" xfId="1" applyNumberFormat="1" applyFont="1" applyFill="1" applyBorder="1" applyAlignment="1">
      <alignment vertical="top" wrapText="1"/>
    </xf>
    <xf numFmtId="43" fontId="11" fillId="0" borderId="17" xfId="1" applyNumberFormat="1" applyFont="1" applyFill="1" applyBorder="1" applyAlignment="1">
      <alignment vertical="top" wrapText="1"/>
    </xf>
    <xf numFmtId="43" fontId="10" fillId="0" borderId="25" xfId="1" applyNumberFormat="1" applyFont="1" applyFill="1" applyBorder="1" applyAlignment="1">
      <alignment vertical="top"/>
    </xf>
    <xf numFmtId="43" fontId="11" fillId="0" borderId="20" xfId="1" applyNumberFormat="1" applyFont="1" applyFill="1" applyBorder="1" applyAlignment="1">
      <alignment vertical="top" wrapText="1"/>
    </xf>
    <xf numFmtId="43" fontId="25" fillId="0" borderId="19" xfId="1" applyNumberFormat="1" applyFont="1" applyFill="1" applyBorder="1" applyAlignment="1">
      <alignment vertical="top"/>
    </xf>
    <xf numFmtId="43" fontId="25" fillId="0" borderId="17" xfId="1" applyNumberFormat="1" applyFont="1" applyFill="1" applyBorder="1" applyAlignment="1">
      <alignment vertical="top"/>
    </xf>
    <xf numFmtId="43" fontId="11" fillId="0" borderId="28" xfId="1" applyNumberFormat="1" applyFont="1" applyFill="1" applyBorder="1" applyAlignment="1">
      <alignment vertical="center"/>
    </xf>
    <xf numFmtId="43" fontId="11" fillId="0" borderId="27" xfId="1" applyNumberFormat="1" applyFont="1" applyFill="1" applyBorder="1" applyAlignment="1">
      <alignment vertical="top"/>
    </xf>
    <xf numFmtId="43" fontId="11" fillId="0" borderId="19" xfId="1" applyNumberFormat="1" applyFont="1" applyFill="1" applyBorder="1" applyAlignment="1">
      <alignment vertical="center"/>
    </xf>
    <xf numFmtId="43" fontId="11" fillId="0" borderId="17" xfId="1" applyNumberFormat="1" applyFont="1" applyFill="1" applyBorder="1" applyAlignment="1">
      <alignment vertical="center"/>
    </xf>
    <xf numFmtId="43" fontId="10" fillId="0" borderId="20" xfId="1" applyNumberFormat="1" applyFont="1" applyFill="1" applyBorder="1" applyAlignment="1">
      <alignment vertical="top"/>
    </xf>
    <xf numFmtId="43" fontId="11" fillId="9" borderId="20" xfId="1" applyNumberFormat="1" applyFont="1" applyFill="1" applyBorder="1" applyAlignment="1" applyProtection="1">
      <alignment vertical="center"/>
      <protection locked="0"/>
    </xf>
    <xf numFmtId="43" fontId="11" fillId="9" borderId="19" xfId="1" applyNumberFormat="1" applyFont="1" applyFill="1" applyBorder="1" applyAlignment="1" applyProtection="1">
      <alignment vertical="top"/>
      <protection locked="0"/>
    </xf>
    <xf numFmtId="43" fontId="11" fillId="9" borderId="17" xfId="1" applyNumberFormat="1" applyFont="1" applyFill="1" applyBorder="1" applyAlignment="1" applyProtection="1">
      <alignment vertical="top"/>
      <protection locked="0"/>
    </xf>
    <xf numFmtId="43" fontId="10" fillId="0" borderId="28" xfId="1" applyNumberFormat="1" applyFont="1" applyFill="1" applyBorder="1" applyAlignment="1">
      <alignment vertical="top"/>
    </xf>
    <xf numFmtId="43" fontId="11" fillId="17" borderId="20" xfId="1" applyNumberFormat="1" applyFont="1" applyFill="1" applyBorder="1" applyAlignment="1">
      <alignment vertical="center"/>
    </xf>
    <xf numFmtId="43" fontId="11" fillId="17" borderId="19" xfId="1" applyNumberFormat="1" applyFont="1" applyFill="1" applyBorder="1" applyAlignment="1">
      <alignment vertical="top"/>
    </xf>
    <xf numFmtId="43" fontId="11" fillId="17" borderId="17" xfId="1" applyNumberFormat="1" applyFont="1" applyFill="1" applyBorder="1" applyAlignment="1">
      <alignment vertical="top"/>
    </xf>
    <xf numFmtId="43" fontId="11" fillId="0" borderId="20" xfId="1" applyNumberFormat="1" applyFont="1" applyFill="1" applyBorder="1" applyAlignment="1" applyProtection="1">
      <alignment vertical="center"/>
      <protection locked="0"/>
    </xf>
    <xf numFmtId="43" fontId="11" fillId="0" borderId="20" xfId="1" applyNumberFormat="1" applyFont="1" applyFill="1" applyBorder="1" applyAlignment="1" applyProtection="1">
      <alignment vertical="top"/>
      <protection locked="0"/>
    </xf>
    <xf numFmtId="43" fontId="11" fillId="0" borderId="17" xfId="1" applyNumberFormat="1" applyFont="1" applyFill="1" applyBorder="1" applyAlignment="1" applyProtection="1">
      <alignment vertical="top"/>
      <protection locked="0"/>
    </xf>
    <xf numFmtId="43" fontId="10" fillId="0" borderId="20" xfId="1" applyNumberFormat="1" applyFont="1" applyFill="1" applyBorder="1" applyAlignment="1" applyProtection="1">
      <alignment vertical="top"/>
      <protection locked="0"/>
    </xf>
    <xf numFmtId="43" fontId="10" fillId="0" borderId="17" xfId="1" applyNumberFormat="1" applyFont="1" applyFill="1" applyBorder="1" applyAlignment="1" applyProtection="1">
      <alignment vertical="top"/>
      <protection locked="0"/>
    </xf>
    <xf numFmtId="43" fontId="10" fillId="0" borderId="20" xfId="1" applyNumberFormat="1" applyFont="1" applyFill="1" applyBorder="1" applyAlignment="1" applyProtection="1">
      <alignment vertical="center"/>
      <protection locked="0"/>
    </xf>
    <xf numFmtId="43" fontId="11" fillId="7" borderId="20" xfId="1" applyNumberFormat="1" applyFont="1" applyFill="1" applyBorder="1" applyAlignment="1" applyProtection="1">
      <alignment vertical="center"/>
      <protection locked="0"/>
    </xf>
    <xf numFmtId="43" fontId="11" fillId="7" borderId="20" xfId="1" applyNumberFormat="1" applyFont="1" applyFill="1" applyBorder="1" applyAlignment="1" applyProtection="1">
      <alignment vertical="top"/>
      <protection locked="0"/>
    </xf>
    <xf numFmtId="43" fontId="11" fillId="7" borderId="17" xfId="1" applyNumberFormat="1" applyFont="1" applyFill="1" applyBorder="1" applyAlignment="1" applyProtection="1">
      <alignment vertical="top"/>
      <protection locked="0"/>
    </xf>
    <xf numFmtId="43" fontId="10" fillId="7" borderId="20" xfId="1" applyNumberFormat="1" applyFont="1" applyFill="1" applyBorder="1" applyAlignment="1" applyProtection="1">
      <alignment vertical="top"/>
      <protection locked="0"/>
    </xf>
    <xf numFmtId="43" fontId="10" fillId="7" borderId="17" xfId="1" applyNumberFormat="1" applyFont="1" applyFill="1" applyBorder="1" applyAlignment="1" applyProtection="1">
      <alignment vertical="top"/>
      <protection locked="0"/>
    </xf>
    <xf numFmtId="43" fontId="11" fillId="17" borderId="20" xfId="13" applyNumberFormat="1" applyFont="1" applyFill="1" applyBorder="1" applyAlignment="1">
      <alignment horizontal="left" vertical="top" wrapText="1"/>
    </xf>
    <xf numFmtId="43" fontId="11" fillId="4" borderId="16" xfId="1" applyNumberFormat="1" applyFont="1" applyFill="1" applyBorder="1" applyAlignment="1" applyProtection="1">
      <alignment vertical="center"/>
      <protection locked="0"/>
    </xf>
    <xf numFmtId="43" fontId="11" fillId="4" borderId="16" xfId="1" applyNumberFormat="1" applyFont="1" applyFill="1" applyBorder="1" applyAlignment="1" applyProtection="1">
      <alignment vertical="top"/>
      <protection locked="0"/>
    </xf>
    <xf numFmtId="43" fontId="11" fillId="4" borderId="13" xfId="1" applyNumberFormat="1" applyFont="1" applyFill="1" applyBorder="1" applyAlignment="1" applyProtection="1">
      <alignment vertical="top"/>
      <protection locked="0"/>
    </xf>
    <xf numFmtId="43" fontId="11" fillId="5" borderId="20" xfId="1" applyNumberFormat="1" applyFont="1" applyFill="1" applyBorder="1" applyAlignment="1" applyProtection="1">
      <alignment vertical="center"/>
      <protection locked="0"/>
    </xf>
    <xf numFmtId="43" fontId="11" fillId="5" borderId="20" xfId="1" applyNumberFormat="1" applyFont="1" applyFill="1" applyBorder="1" applyAlignment="1" applyProtection="1">
      <alignment vertical="top"/>
      <protection locked="0"/>
    </xf>
    <xf numFmtId="43" fontId="11" fillId="5" borderId="17" xfId="1" applyNumberFormat="1" applyFont="1" applyFill="1" applyBorder="1" applyAlignment="1" applyProtection="1">
      <alignment vertical="top"/>
      <protection locked="0"/>
    </xf>
    <xf numFmtId="43" fontId="11" fillId="6" borderId="20" xfId="1" applyNumberFormat="1" applyFont="1" applyFill="1" applyBorder="1" applyAlignment="1" applyProtection="1">
      <alignment vertical="center"/>
      <protection locked="0"/>
    </xf>
    <xf numFmtId="43" fontId="11" fillId="6" borderId="20" xfId="1" applyNumberFormat="1" applyFont="1" applyFill="1" applyBorder="1" applyAlignment="1" applyProtection="1">
      <alignment vertical="top"/>
      <protection locked="0"/>
    </xf>
    <xf numFmtId="43" fontId="11" fillId="6" borderId="17" xfId="1" applyNumberFormat="1" applyFont="1" applyFill="1" applyBorder="1" applyAlignment="1" applyProtection="1">
      <alignment vertical="top"/>
      <protection locked="0"/>
    </xf>
    <xf numFmtId="43" fontId="11" fillId="17" borderId="20" xfId="1" applyNumberFormat="1" applyFont="1" applyFill="1" applyBorder="1" applyAlignment="1" applyProtection="1">
      <alignment vertical="center"/>
      <protection locked="0"/>
    </xf>
    <xf numFmtId="43" fontId="11" fillId="17" borderId="20" xfId="1" applyNumberFormat="1" applyFont="1" applyFill="1" applyBorder="1" applyAlignment="1" applyProtection="1">
      <alignment vertical="top"/>
      <protection locked="0"/>
    </xf>
    <xf numFmtId="43" fontId="11" fillId="17" borderId="17" xfId="1" applyNumberFormat="1" applyFont="1" applyFill="1" applyBorder="1" applyAlignment="1" applyProtection="1">
      <alignment vertical="top"/>
      <protection locked="0"/>
    </xf>
    <xf numFmtId="43" fontId="10" fillId="0" borderId="25" xfId="1" applyNumberFormat="1" applyFont="1" applyFill="1" applyBorder="1" applyAlignment="1" applyProtection="1">
      <alignment vertical="top"/>
      <protection locked="0"/>
    </xf>
    <xf numFmtId="43" fontId="11" fillId="0" borderId="21" xfId="1" applyNumberFormat="1" applyFont="1" applyFill="1" applyBorder="1" applyAlignment="1" applyProtection="1">
      <alignment vertical="top"/>
      <protection locked="0"/>
    </xf>
    <xf numFmtId="43" fontId="10" fillId="0" borderId="21" xfId="1" applyNumberFormat="1" applyFont="1" applyFill="1" applyBorder="1" applyAlignment="1" applyProtection="1">
      <alignment vertical="top"/>
      <protection locked="0"/>
    </xf>
    <xf numFmtId="43" fontId="11" fillId="0" borderId="28" xfId="1" applyNumberFormat="1" applyFont="1" applyFill="1" applyBorder="1" applyAlignment="1" applyProtection="1">
      <alignment vertical="center"/>
      <protection locked="0"/>
    </xf>
    <xf numFmtId="43" fontId="10" fillId="0" borderId="28" xfId="1" applyNumberFormat="1" applyFont="1" applyFill="1" applyBorder="1" applyAlignment="1" applyProtection="1">
      <alignment vertical="top"/>
      <protection locked="0"/>
    </xf>
    <xf numFmtId="43" fontId="25" fillId="11" borderId="16" xfId="1" applyNumberFormat="1" applyFont="1" applyFill="1" applyBorder="1" applyAlignment="1">
      <alignment vertical="center"/>
    </xf>
    <xf numFmtId="43" fontId="11" fillId="11" borderId="16" xfId="1" applyNumberFormat="1" applyFont="1" applyFill="1" applyBorder="1" applyAlignment="1">
      <alignment vertical="top"/>
    </xf>
    <xf numFmtId="43" fontId="11" fillId="11" borderId="13" xfId="1" applyNumberFormat="1" applyFont="1" applyFill="1" applyBorder="1" applyAlignment="1">
      <alignment vertical="top"/>
    </xf>
    <xf numFmtId="43" fontId="25" fillId="12" borderId="20" xfId="1" applyNumberFormat="1" applyFont="1" applyFill="1" applyBorder="1" applyAlignment="1">
      <alignment vertical="center"/>
    </xf>
    <xf numFmtId="43" fontId="11" fillId="12" borderId="20" xfId="1" applyNumberFormat="1" applyFont="1" applyFill="1" applyBorder="1" applyAlignment="1">
      <alignment vertical="top"/>
    </xf>
    <xf numFmtId="43" fontId="11" fillId="12" borderId="17" xfId="1" applyNumberFormat="1" applyFont="1" applyFill="1" applyBorder="1" applyAlignment="1">
      <alignment vertical="top"/>
    </xf>
    <xf numFmtId="43" fontId="25" fillId="7" borderId="20" xfId="1" applyNumberFormat="1" applyFont="1" applyFill="1" applyBorder="1" applyAlignment="1">
      <alignment vertical="center"/>
    </xf>
    <xf numFmtId="43" fontId="25" fillId="0" borderId="20" xfId="1" applyNumberFormat="1" applyFont="1" applyFill="1" applyBorder="1" applyAlignment="1">
      <alignment vertical="center"/>
    </xf>
    <xf numFmtId="43" fontId="22" fillId="0" borderId="20" xfId="1" applyNumberFormat="1" applyFont="1" applyBorder="1" applyAlignment="1">
      <alignment vertical="center" wrapText="1"/>
    </xf>
    <xf numFmtId="43" fontId="10" fillId="0" borderId="20" xfId="1" applyNumberFormat="1" applyFont="1" applyBorder="1" applyAlignment="1">
      <alignment vertical="top" wrapText="1"/>
    </xf>
    <xf numFmtId="43" fontId="10" fillId="0" borderId="17" xfId="1" applyNumberFormat="1" applyFont="1" applyBorder="1" applyAlignment="1">
      <alignment vertical="top" wrapText="1"/>
    </xf>
    <xf numFmtId="43" fontId="25" fillId="0" borderId="20" xfId="1" applyNumberFormat="1" applyFont="1" applyBorder="1" applyAlignment="1">
      <alignment vertical="center" wrapText="1"/>
    </xf>
    <xf numFmtId="43" fontId="11" fillId="0" borderId="20" xfId="1" applyNumberFormat="1" applyFont="1" applyBorder="1" applyAlignment="1">
      <alignment vertical="top" wrapText="1"/>
    </xf>
    <xf numFmtId="43" fontId="11" fillId="0" borderId="17" xfId="1" applyNumberFormat="1" applyFont="1" applyBorder="1" applyAlignment="1">
      <alignment vertical="top" wrapText="1"/>
    </xf>
    <xf numFmtId="43" fontId="21" fillId="0" borderId="20" xfId="1" applyNumberFormat="1" applyFont="1" applyBorder="1" applyAlignment="1">
      <alignment vertical="center" wrapText="1"/>
    </xf>
    <xf numFmtId="43" fontId="4" fillId="0" borderId="20" xfId="1" applyNumberFormat="1" applyFont="1" applyBorder="1" applyAlignment="1">
      <alignment vertical="center" wrapText="1"/>
    </xf>
    <xf numFmtId="43" fontId="4" fillId="0" borderId="31" xfId="1" applyNumberFormat="1" applyFont="1" applyBorder="1" applyAlignment="1">
      <alignment vertical="center" wrapText="1"/>
    </xf>
    <xf numFmtId="43" fontId="10" fillId="0" borderId="31" xfId="1" applyNumberFormat="1" applyFont="1" applyBorder="1" applyAlignment="1">
      <alignment vertical="top" wrapText="1"/>
    </xf>
    <xf numFmtId="43" fontId="10" fillId="0" borderId="29" xfId="1" applyNumberFormat="1" applyFont="1" applyBorder="1" applyAlignment="1">
      <alignment vertical="top" wrapText="1"/>
    </xf>
    <xf numFmtId="43" fontId="25" fillId="7" borderId="16" xfId="1" applyNumberFormat="1" applyFont="1" applyFill="1" applyBorder="1" applyAlignment="1">
      <alignment vertical="center"/>
    </xf>
    <xf numFmtId="43" fontId="11" fillId="7" borderId="16" xfId="1" applyNumberFormat="1" applyFont="1" applyFill="1" applyBorder="1" applyAlignment="1">
      <alignment vertical="top"/>
    </xf>
    <xf numFmtId="43" fontId="11" fillId="7" borderId="13" xfId="1" applyNumberFormat="1" applyFont="1" applyFill="1" applyBorder="1" applyAlignment="1">
      <alignment vertical="top"/>
    </xf>
    <xf numFmtId="43" fontId="4" fillId="0" borderId="20" xfId="1" applyNumberFormat="1" applyFont="1" applyBorder="1" applyAlignment="1">
      <alignment vertical="center"/>
    </xf>
    <xf numFmtId="43" fontId="4" fillId="0" borderId="20" xfId="1" applyNumberFormat="1" applyFont="1" applyBorder="1" applyAlignment="1">
      <alignment vertical="top"/>
    </xf>
    <xf numFmtId="43" fontId="4" fillId="0" borderId="20" xfId="1" applyNumberFormat="1" applyFont="1" applyBorder="1"/>
    <xf numFmtId="43" fontId="25" fillId="0" borderId="20" xfId="1" applyNumberFormat="1" applyFont="1" applyBorder="1"/>
    <xf numFmtId="43" fontId="4" fillId="0" borderId="31" xfId="1" applyNumberFormat="1" applyFont="1" applyBorder="1"/>
    <xf numFmtId="43" fontId="10" fillId="0" borderId="31" xfId="1" applyNumberFormat="1" applyFont="1" applyBorder="1" applyAlignment="1">
      <alignment vertical="top"/>
    </xf>
    <xf numFmtId="43" fontId="10" fillId="0" borderId="29" xfId="1" applyNumberFormat="1" applyFont="1" applyBorder="1" applyAlignment="1">
      <alignment vertical="top"/>
    </xf>
    <xf numFmtId="43" fontId="11" fillId="5" borderId="20" xfId="1" applyNumberFormat="1" applyFont="1" applyFill="1" applyBorder="1" applyAlignment="1">
      <alignment horizontal="left" vertical="top" wrapText="1"/>
    </xf>
    <xf numFmtId="43" fontId="10" fillId="0" borderId="20" xfId="1" applyNumberFormat="1" applyFont="1" applyBorder="1" applyAlignment="1">
      <alignment horizontal="center" vertical="top"/>
    </xf>
    <xf numFmtId="43" fontId="10" fillId="0" borderId="24" xfId="1" applyNumberFormat="1" applyFont="1" applyBorder="1" applyAlignment="1">
      <alignment vertical="top"/>
    </xf>
    <xf numFmtId="43" fontId="11" fillId="0" borderId="24" xfId="1" applyNumberFormat="1" applyFont="1" applyFill="1" applyBorder="1" applyAlignment="1">
      <alignment vertical="center"/>
    </xf>
    <xf numFmtId="43" fontId="11" fillId="0" borderId="28" xfId="1" applyNumberFormat="1" applyFont="1" applyFill="1" applyBorder="1" applyAlignment="1">
      <alignment vertical="top"/>
    </xf>
    <xf numFmtId="43" fontId="25" fillId="0" borderId="20" xfId="1" applyNumberFormat="1" applyFont="1" applyFill="1" applyBorder="1" applyAlignment="1">
      <alignment vertical="top"/>
    </xf>
    <xf numFmtId="43" fontId="11" fillId="9" borderId="20" xfId="1" applyNumberFormat="1" applyFont="1" applyFill="1" applyBorder="1" applyAlignment="1" applyProtection="1">
      <alignment vertical="top"/>
      <protection locked="0"/>
    </xf>
    <xf numFmtId="43" fontId="11" fillId="17" borderId="20" xfId="1" applyNumberFormat="1" applyFont="1" applyFill="1" applyBorder="1" applyAlignment="1">
      <alignment vertical="top"/>
    </xf>
    <xf numFmtId="43" fontId="10" fillId="0" borderId="20" xfId="21" applyNumberFormat="1" applyFont="1" applyBorder="1" applyAlignment="1">
      <alignment vertical="top"/>
    </xf>
    <xf numFmtId="43" fontId="11" fillId="0" borderId="24" xfId="1" applyNumberFormat="1" applyFont="1" applyFill="1" applyBorder="1" applyAlignment="1" applyProtection="1">
      <alignment vertical="top"/>
      <protection locked="0"/>
    </xf>
    <xf numFmtId="43" fontId="2" fillId="0" borderId="20" xfId="21" applyNumberFormat="1" applyFont="1" applyBorder="1" applyAlignment="1">
      <alignment vertical="top"/>
    </xf>
    <xf numFmtId="43" fontId="4" fillId="0" borderId="20" xfId="21" applyNumberFormat="1" applyFont="1" applyBorder="1" applyAlignment="1">
      <alignment vertical="top"/>
    </xf>
    <xf numFmtId="43" fontId="10" fillId="0" borderId="24" xfId="1" applyNumberFormat="1" applyFont="1" applyFill="1" applyBorder="1" applyAlignment="1" applyProtection="1">
      <alignment vertical="top"/>
      <protection locked="0"/>
    </xf>
    <xf numFmtId="43" fontId="22" fillId="0" borderId="20" xfId="1" applyNumberFormat="1" applyFont="1" applyBorder="1" applyAlignment="1">
      <alignment vertical="top"/>
    </xf>
    <xf numFmtId="43" fontId="21" fillId="0" borderId="20" xfId="1" applyNumberFormat="1" applyFont="1" applyFill="1" applyBorder="1" applyAlignment="1">
      <alignment vertical="top"/>
    </xf>
    <xf numFmtId="43" fontId="22" fillId="0" borderId="20" xfId="1" applyNumberFormat="1" applyFont="1" applyFill="1" applyBorder="1" applyAlignment="1">
      <alignment vertical="top"/>
    </xf>
    <xf numFmtId="0" fontId="59" fillId="0" borderId="18" xfId="13" applyFont="1" applyBorder="1" applyAlignment="1">
      <alignment horizontal="left" vertical="center"/>
    </xf>
    <xf numFmtId="43" fontId="10" fillId="0" borderId="20" xfId="1" applyNumberFormat="1" applyFont="1" applyFill="1" applyBorder="1" applyAlignment="1">
      <alignment vertical="top" wrapText="1"/>
    </xf>
    <xf numFmtId="0" fontId="11" fillId="0" borderId="29" xfId="9" applyFont="1" applyBorder="1" applyAlignment="1">
      <alignment horizontal="left" vertical="center" indent="6"/>
    </xf>
    <xf numFmtId="0" fontId="11" fillId="0" borderId="30" xfId="9" applyFont="1" applyBorder="1" applyAlignment="1">
      <alignment horizontal="left" vertical="center" indent="6"/>
    </xf>
    <xf numFmtId="43" fontId="21" fillId="7" borderId="20" xfId="1" applyNumberFormat="1" applyFont="1" applyFill="1" applyBorder="1" applyAlignment="1">
      <alignment vertical="top"/>
    </xf>
    <xf numFmtId="43" fontId="21" fillId="6" borderId="20" xfId="1" applyNumberFormat="1" applyFont="1" applyFill="1" applyBorder="1" applyAlignment="1">
      <alignment vertical="top"/>
    </xf>
    <xf numFmtId="43" fontId="21" fillId="0" borderId="20" xfId="1" applyNumberFormat="1" applyFont="1" applyFill="1" applyBorder="1" applyAlignment="1">
      <alignment vertical="top" wrapText="1"/>
    </xf>
    <xf numFmtId="43" fontId="11" fillId="0" borderId="24" xfId="1" applyNumberFormat="1" applyFont="1" applyFill="1" applyBorder="1" applyAlignment="1">
      <alignment vertical="top"/>
    </xf>
    <xf numFmtId="43" fontId="10" fillId="0" borderId="20" xfId="1" applyNumberFormat="1" applyFont="1" applyFill="1" applyBorder="1" applyAlignment="1">
      <alignment horizontal="center" vertical="top"/>
    </xf>
    <xf numFmtId="43" fontId="11" fillId="0" borderId="20" xfId="1" applyNumberFormat="1" applyFont="1" applyFill="1" applyBorder="1" applyAlignment="1">
      <alignment horizontal="center" vertical="top"/>
    </xf>
    <xf numFmtId="43" fontId="10" fillId="0" borderId="24" xfId="1" applyNumberFormat="1" applyFont="1" applyFill="1" applyBorder="1" applyAlignment="1">
      <alignment vertical="top"/>
    </xf>
    <xf numFmtId="43" fontId="10" fillId="0" borderId="24" xfId="1" applyNumberFormat="1" applyFont="1" applyFill="1" applyBorder="1" applyAlignment="1">
      <alignment vertical="center"/>
    </xf>
    <xf numFmtId="43" fontId="10" fillId="0" borderId="21" xfId="1" applyNumberFormat="1" applyFont="1" applyFill="1" applyBorder="1" applyAlignment="1">
      <alignment vertical="top"/>
    </xf>
    <xf numFmtId="49" fontId="10" fillId="0" borderId="24" xfId="1" applyNumberFormat="1" applyFont="1" applyFill="1" applyBorder="1" applyAlignment="1">
      <alignment horizontal="center" vertical="top"/>
    </xf>
    <xf numFmtId="43" fontId="11" fillId="0" borderId="31" xfId="1" applyNumberFormat="1" applyFont="1" applyFill="1" applyBorder="1" applyAlignment="1">
      <alignment vertical="center" wrapText="1"/>
    </xf>
    <xf numFmtId="43" fontId="11" fillId="0" borderId="31" xfId="1" applyNumberFormat="1" applyFont="1" applyFill="1" applyBorder="1" applyAlignment="1">
      <alignment vertical="top" wrapText="1"/>
    </xf>
    <xf numFmtId="43" fontId="11" fillId="0" borderId="29" xfId="1" applyNumberFormat="1" applyFont="1" applyFill="1" applyBorder="1" applyAlignment="1">
      <alignment vertical="top" wrapText="1"/>
    </xf>
    <xf numFmtId="49" fontId="11" fillId="0" borderId="31" xfId="1" applyNumberFormat="1" applyFont="1" applyFill="1" applyBorder="1" applyAlignment="1">
      <alignment horizontal="center" vertical="top"/>
    </xf>
    <xf numFmtId="49" fontId="11" fillId="0" borderId="31" xfId="1" applyNumberFormat="1" applyFont="1" applyFill="1" applyBorder="1" applyAlignment="1">
      <alignment horizontal="center" vertical="top" wrapText="1"/>
    </xf>
    <xf numFmtId="0" fontId="18" fillId="0" borderId="30" xfId="9" applyFont="1" applyBorder="1" applyAlignment="1">
      <alignment horizontal="left" vertical="center"/>
    </xf>
    <xf numFmtId="0" fontId="11" fillId="0" borderId="30" xfId="9" applyFont="1" applyBorder="1" applyAlignment="1">
      <alignment horizontal="left" vertical="center" indent="9"/>
    </xf>
    <xf numFmtId="43" fontId="10" fillId="0" borderId="31" xfId="1" applyNumberFormat="1" applyFont="1" applyBorder="1" applyAlignment="1">
      <alignment vertical="center"/>
    </xf>
    <xf numFmtId="43" fontId="10" fillId="0" borderId="32" xfId="1" applyNumberFormat="1" applyFont="1" applyBorder="1" applyAlignment="1">
      <alignment vertical="top"/>
    </xf>
    <xf numFmtId="43" fontId="10" fillId="0" borderId="28" xfId="1" applyNumberFormat="1" applyFont="1" applyBorder="1" applyAlignment="1">
      <alignment horizontal="center" vertical="top"/>
    </xf>
    <xf numFmtId="43" fontId="10" fillId="0" borderId="24" xfId="1" applyNumberFormat="1" applyFont="1" applyBorder="1" applyAlignment="1">
      <alignment horizontal="center" vertical="top"/>
    </xf>
    <xf numFmtId="43" fontId="10" fillId="18" borderId="20" xfId="1" applyNumberFormat="1" applyFont="1" applyFill="1" applyBorder="1" applyAlignment="1">
      <alignment vertical="top"/>
    </xf>
    <xf numFmtId="43" fontId="11" fillId="18" borderId="20" xfId="1" applyNumberFormat="1" applyFont="1" applyFill="1" applyBorder="1" applyAlignment="1">
      <alignment vertical="top"/>
    </xf>
    <xf numFmtId="43" fontId="11" fillId="18" borderId="28" xfId="1" applyNumberFormat="1" applyFont="1" applyFill="1" applyBorder="1" applyAlignment="1">
      <alignment vertical="top"/>
    </xf>
    <xf numFmtId="43" fontId="11" fillId="18" borderId="24" xfId="1" applyNumberFormat="1" applyFont="1" applyFill="1" applyBorder="1" applyAlignment="1">
      <alignment vertical="top"/>
    </xf>
    <xf numFmtId="43" fontId="11" fillId="18" borderId="20" xfId="1" applyNumberFormat="1" applyFont="1" applyFill="1" applyBorder="1" applyAlignment="1">
      <alignment vertical="center"/>
    </xf>
    <xf numFmtId="43" fontId="11" fillId="18" borderId="20" xfId="1" applyNumberFormat="1" applyFont="1" applyFill="1" applyBorder="1" applyAlignment="1">
      <alignment vertical="top" wrapText="1"/>
    </xf>
    <xf numFmtId="43" fontId="11" fillId="18" borderId="20" xfId="1" applyNumberFormat="1" applyFont="1" applyFill="1" applyBorder="1" applyAlignment="1">
      <alignment horizontal="right" vertical="top" wrapText="1"/>
    </xf>
    <xf numFmtId="188" fontId="22" fillId="0" borderId="0" xfId="9" applyNumberFormat="1" applyFont="1" applyAlignment="1">
      <alignment vertical="center"/>
    </xf>
    <xf numFmtId="43" fontId="10" fillId="0" borderId="0" xfId="16" applyFont="1"/>
    <xf numFmtId="43" fontId="10" fillId="0" borderId="0" xfId="16" applyFont="1" applyAlignment="1">
      <alignment vertical="top"/>
    </xf>
    <xf numFmtId="43" fontId="22" fillId="0" borderId="0" xfId="16" applyFont="1" applyAlignment="1">
      <alignment vertical="center"/>
    </xf>
    <xf numFmtId="4" fontId="0" fillId="19" borderId="0" xfId="0" applyNumberFormat="1" applyFill="1"/>
    <xf numFmtId="43" fontId="11" fillId="19" borderId="20" xfId="1" applyNumberFormat="1" applyFont="1" applyFill="1" applyBorder="1" applyAlignment="1">
      <alignment vertical="top" wrapText="1"/>
    </xf>
    <xf numFmtId="43" fontId="10" fillId="19" borderId="20" xfId="1" applyNumberFormat="1" applyFont="1" applyFill="1" applyBorder="1" applyAlignment="1">
      <alignment vertical="top" wrapText="1"/>
    </xf>
    <xf numFmtId="43" fontId="10" fillId="19" borderId="20" xfId="1" applyNumberFormat="1" applyFont="1" applyFill="1" applyBorder="1" applyAlignment="1">
      <alignment vertical="top"/>
    </xf>
    <xf numFmtId="43" fontId="10" fillId="20" borderId="31" xfId="1" applyNumberFormat="1" applyFont="1" applyFill="1" applyBorder="1" applyAlignment="1">
      <alignment vertical="top" wrapText="1"/>
    </xf>
    <xf numFmtId="43" fontId="10" fillId="8" borderId="20" xfId="1" applyNumberFormat="1" applyFont="1" applyFill="1" applyBorder="1" applyAlignment="1">
      <alignment vertical="top"/>
    </xf>
    <xf numFmtId="4" fontId="10" fillId="0" borderId="0" xfId="0" applyNumberFormat="1" applyFont="1"/>
    <xf numFmtId="4" fontId="10" fillId="8" borderId="0" xfId="0" applyNumberFormat="1" applyFont="1" applyFill="1"/>
    <xf numFmtId="4" fontId="10" fillId="8" borderId="20" xfId="0" applyNumberFormat="1" applyFont="1" applyFill="1" applyBorder="1"/>
    <xf numFmtId="43" fontId="10" fillId="8" borderId="20" xfId="1" applyNumberFormat="1" applyFont="1" applyFill="1" applyBorder="1" applyAlignment="1">
      <alignment vertical="top" wrapText="1"/>
    </xf>
    <xf numFmtId="43" fontId="10" fillId="8" borderId="28" xfId="1" applyNumberFormat="1" applyFont="1" applyFill="1" applyBorder="1" applyAlignment="1">
      <alignment vertical="top"/>
    </xf>
    <xf numFmtId="43" fontId="10" fillId="21" borderId="20" xfId="1" applyNumberFormat="1" applyFont="1" applyFill="1" applyBorder="1" applyAlignment="1">
      <alignment vertical="top"/>
    </xf>
    <xf numFmtId="43" fontId="10" fillId="21" borderId="28" xfId="1" applyNumberFormat="1" applyFont="1" applyFill="1" applyBorder="1" applyAlignment="1">
      <alignment vertical="top"/>
    </xf>
    <xf numFmtId="43" fontId="11" fillId="21" borderId="20" xfId="1" applyNumberFormat="1" applyFont="1" applyFill="1" applyBorder="1" applyAlignment="1">
      <alignment vertical="top"/>
    </xf>
    <xf numFmtId="43" fontId="10" fillId="22" borderId="20" xfId="1" applyNumberFormat="1" applyFont="1" applyFill="1" applyBorder="1" applyAlignment="1">
      <alignment vertical="top"/>
    </xf>
    <xf numFmtId="43" fontId="10" fillId="18" borderId="24" xfId="1" applyNumberFormat="1" applyFont="1" applyFill="1" applyBorder="1" applyAlignment="1">
      <alignment vertical="top"/>
    </xf>
    <xf numFmtId="43" fontId="11" fillId="21" borderId="28" xfId="1" applyNumberFormat="1" applyFont="1" applyFill="1" applyBorder="1" applyAlignment="1">
      <alignment vertical="top"/>
    </xf>
    <xf numFmtId="189" fontId="73" fillId="0" borderId="1" xfId="21" applyNumberFormat="1" applyFont="1" applyBorder="1" applyAlignment="1" applyProtection="1">
      <alignment horizontal="right" vertical="center"/>
      <protection locked="0"/>
    </xf>
    <xf numFmtId="189" fontId="72" fillId="0" borderId="1" xfId="21" applyNumberFormat="1" applyFont="1" applyBorder="1" applyAlignment="1" applyProtection="1">
      <alignment horizontal="left" vertical="top"/>
      <protection locked="0"/>
    </xf>
    <xf numFmtId="0" fontId="36" fillId="4" borderId="13" xfId="9" applyFont="1" applyFill="1" applyBorder="1" applyAlignment="1">
      <alignment vertical="center"/>
    </xf>
    <xf numFmtId="0" fontId="36" fillId="4" borderId="14" xfId="9" applyFont="1" applyFill="1" applyBorder="1" applyAlignment="1">
      <alignment vertical="center"/>
    </xf>
    <xf numFmtId="0" fontId="74" fillId="4" borderId="14" xfId="9" applyFont="1" applyFill="1" applyBorder="1" applyAlignment="1">
      <alignment vertical="center"/>
    </xf>
    <xf numFmtId="189" fontId="36" fillId="4" borderId="16" xfId="1" applyNumberFormat="1" applyFont="1" applyFill="1" applyBorder="1" applyAlignment="1">
      <alignment vertical="top"/>
    </xf>
    <xf numFmtId="0" fontId="36" fillId="5" borderId="17" xfId="9" applyFont="1" applyFill="1" applyBorder="1" applyAlignment="1">
      <alignment horizontal="left" vertical="center" indent="2"/>
    </xf>
    <xf numFmtId="0" fontId="36" fillId="5" borderId="18" xfId="9" applyFont="1" applyFill="1" applyBorder="1" applyAlignment="1">
      <alignment horizontal="left" vertical="center" indent="2"/>
    </xf>
    <xf numFmtId="189" fontId="36" fillId="5" borderId="20" xfId="1" applyNumberFormat="1" applyFont="1" applyFill="1" applyBorder="1" applyAlignment="1">
      <alignment horizontal="left" vertical="top"/>
    </xf>
    <xf numFmtId="0" fontId="36" fillId="6" borderId="17" xfId="9" applyFont="1" applyFill="1" applyBorder="1" applyAlignment="1">
      <alignment horizontal="left" vertical="center" indent="4"/>
    </xf>
    <xf numFmtId="0" fontId="36" fillId="6" borderId="18" xfId="9" applyFont="1" applyFill="1" applyBorder="1" applyAlignment="1">
      <alignment horizontal="left" vertical="center" indent="4"/>
    </xf>
    <xf numFmtId="189" fontId="36" fillId="6" borderId="20" xfId="1" applyNumberFormat="1" applyFont="1" applyFill="1" applyBorder="1" applyAlignment="1">
      <alignment vertical="top"/>
    </xf>
    <xf numFmtId="0" fontId="36" fillId="7" borderId="17" xfId="13" applyFont="1" applyFill="1" applyBorder="1" applyAlignment="1">
      <alignment horizontal="left" vertical="center" indent="6"/>
    </xf>
    <xf numFmtId="0" fontId="36" fillId="7" borderId="18" xfId="13" applyFont="1" applyFill="1" applyBorder="1" applyAlignment="1">
      <alignment horizontal="left" vertical="center" wrapText="1" indent="6"/>
    </xf>
    <xf numFmtId="189" fontId="36" fillId="7" borderId="20" xfId="1" applyNumberFormat="1" applyFont="1" applyFill="1" applyBorder="1" applyAlignment="1">
      <alignment vertical="top"/>
    </xf>
    <xf numFmtId="0" fontId="33" fillId="0" borderId="17" xfId="13" applyFont="1" applyBorder="1" applyAlignment="1">
      <alignment horizontal="left" vertical="center" indent="7"/>
    </xf>
    <xf numFmtId="0" fontId="33" fillId="0" borderId="18" xfId="13" applyFont="1" applyBorder="1" applyAlignment="1">
      <alignment horizontal="left" vertical="center"/>
    </xf>
    <xf numFmtId="0" fontId="33" fillId="0" borderId="18" xfId="13" applyFont="1" applyBorder="1" applyAlignment="1">
      <alignment horizontal="left" vertical="center" indent="7"/>
    </xf>
    <xf numFmtId="189" fontId="33" fillId="0" borderId="20" xfId="1" applyNumberFormat="1" applyFont="1" applyBorder="1" applyAlignment="1">
      <alignment vertical="top"/>
    </xf>
    <xf numFmtId="0" fontId="33" fillId="0" borderId="21" xfId="13" applyFont="1" applyBorder="1" applyAlignment="1">
      <alignment horizontal="left" vertical="center" indent="7"/>
    </xf>
    <xf numFmtId="0" fontId="33" fillId="0" borderId="22" xfId="13" applyFont="1" applyBorder="1" applyAlignment="1">
      <alignment horizontal="left" vertical="center"/>
    </xf>
    <xf numFmtId="189" fontId="33" fillId="0" borderId="24" xfId="1" applyNumberFormat="1" applyFont="1" applyBorder="1" applyAlignment="1">
      <alignment vertical="top"/>
    </xf>
    <xf numFmtId="0" fontId="36" fillId="5" borderId="13" xfId="9" applyFont="1" applyFill="1" applyBorder="1" applyAlignment="1">
      <alignment horizontal="left" vertical="center" indent="2"/>
    </xf>
    <xf numFmtId="0" fontId="36" fillId="5" borderId="14" xfId="9" applyFont="1" applyFill="1" applyBorder="1" applyAlignment="1">
      <alignment horizontal="left" vertical="center" indent="2"/>
    </xf>
    <xf numFmtId="189" fontId="36" fillId="5" borderId="16" xfId="1" applyNumberFormat="1" applyFont="1" applyFill="1" applyBorder="1" applyAlignment="1">
      <alignment vertical="top"/>
    </xf>
    <xf numFmtId="0" fontId="36" fillId="7" borderId="18" xfId="13" applyFont="1" applyFill="1" applyBorder="1" applyAlignment="1">
      <alignment horizontal="left" vertical="center" indent="6"/>
    </xf>
    <xf numFmtId="189" fontId="36" fillId="7" borderId="20" xfId="1" applyNumberFormat="1" applyFont="1" applyFill="1" applyBorder="1" applyAlignment="1">
      <alignment vertical="center"/>
    </xf>
    <xf numFmtId="0" fontId="36" fillId="5" borderId="21" xfId="9" applyFont="1" applyFill="1" applyBorder="1" applyAlignment="1">
      <alignment horizontal="left" vertical="center" indent="2"/>
    </xf>
    <xf numFmtId="0" fontId="36" fillId="5" borderId="22" xfId="9" applyFont="1" applyFill="1" applyBorder="1" applyAlignment="1">
      <alignment horizontal="left" vertical="center" indent="2"/>
    </xf>
    <xf numFmtId="189" fontId="36" fillId="5" borderId="24" xfId="1" applyNumberFormat="1" applyFont="1" applyFill="1" applyBorder="1" applyAlignment="1">
      <alignment vertical="top"/>
    </xf>
    <xf numFmtId="0" fontId="36" fillId="0" borderId="17" xfId="13" applyFont="1" applyBorder="1" applyAlignment="1">
      <alignment horizontal="left" vertical="center" indent="7"/>
    </xf>
    <xf numFmtId="0" fontId="36" fillId="0" borderId="18" xfId="13" applyFont="1" applyBorder="1" applyAlignment="1">
      <alignment horizontal="left" vertical="center"/>
    </xf>
    <xf numFmtId="0" fontId="36" fillId="0" borderId="18" xfId="13" applyFont="1" applyBorder="1" applyAlignment="1">
      <alignment horizontal="left" vertical="center" indent="7"/>
    </xf>
    <xf numFmtId="189" fontId="36" fillId="0" borderId="20" xfId="1" applyNumberFormat="1" applyFont="1" applyFill="1" applyBorder="1" applyAlignment="1">
      <alignment vertical="top"/>
    </xf>
    <xf numFmtId="189" fontId="33" fillId="0" borderId="20" xfId="1" applyNumberFormat="1" applyFont="1" applyFill="1" applyBorder="1" applyAlignment="1">
      <alignment vertical="top"/>
    </xf>
    <xf numFmtId="189" fontId="33" fillId="0" borderId="20" xfId="1" applyNumberFormat="1" applyFont="1" applyFill="1" applyBorder="1" applyAlignment="1">
      <alignment vertical="top" wrapText="1"/>
    </xf>
    <xf numFmtId="0" fontId="36" fillId="0" borderId="17" xfId="13" applyFont="1" applyBorder="1" applyAlignment="1">
      <alignment horizontal="left" vertical="top"/>
    </xf>
    <xf numFmtId="0" fontId="36" fillId="0" borderId="18" xfId="13" applyFont="1" applyBorder="1" applyAlignment="1">
      <alignment horizontal="left" vertical="top"/>
    </xf>
    <xf numFmtId="189" fontId="36" fillId="0" borderId="20" xfId="1" applyNumberFormat="1" applyFont="1" applyFill="1" applyBorder="1" applyAlignment="1">
      <alignment vertical="top" wrapText="1"/>
    </xf>
    <xf numFmtId="0" fontId="33" fillId="0" borderId="18" xfId="9" applyFont="1" applyBorder="1" applyAlignment="1">
      <alignment horizontal="left" vertical="center"/>
    </xf>
    <xf numFmtId="0" fontId="33" fillId="0" borderId="18" xfId="9" applyFont="1" applyBorder="1" applyAlignment="1">
      <alignment horizontal="left" vertical="center" indent="6"/>
    </xf>
    <xf numFmtId="0" fontId="33" fillId="0" borderId="29" xfId="13" applyFont="1" applyBorder="1" applyAlignment="1">
      <alignment horizontal="left" vertical="center" indent="7"/>
    </xf>
    <xf numFmtId="0" fontId="33" fillId="0" borderId="30" xfId="9" applyFont="1" applyBorder="1" applyAlignment="1">
      <alignment horizontal="left" vertical="center"/>
    </xf>
    <xf numFmtId="0" fontId="33" fillId="0" borderId="30" xfId="9" applyFont="1" applyBorder="1" applyAlignment="1">
      <alignment horizontal="left" vertical="center" indent="6"/>
    </xf>
    <xf numFmtId="189" fontId="33" fillId="0" borderId="31" xfId="1" applyNumberFormat="1" applyFont="1" applyFill="1" applyBorder="1" applyAlignment="1">
      <alignment vertical="top"/>
    </xf>
    <xf numFmtId="0" fontId="75" fillId="0" borderId="0" xfId="9" applyFont="1" applyAlignment="1">
      <alignment horizontal="left"/>
    </xf>
    <xf numFmtId="0" fontId="33" fillId="0" borderId="0" xfId="9" applyFont="1" applyAlignment="1">
      <alignment horizontal="left"/>
    </xf>
    <xf numFmtId="43" fontId="72" fillId="0" borderId="0" xfId="21" applyFont="1" applyBorder="1" applyAlignment="1"/>
    <xf numFmtId="0" fontId="36" fillId="0" borderId="0" xfId="9" applyFont="1" applyAlignment="1">
      <alignment horizontal="center" vertical="center"/>
    </xf>
    <xf numFmtId="0" fontId="32" fillId="0" borderId="0" xfId="9" applyFont="1" applyAlignment="1">
      <alignment horizontal="center" vertical="top"/>
    </xf>
    <xf numFmtId="0" fontId="35" fillId="0" borderId="0" xfId="9" applyFont="1" applyAlignment="1">
      <alignment horizontal="center" vertical="top"/>
    </xf>
    <xf numFmtId="49" fontId="35" fillId="0" borderId="0" xfId="9" applyNumberFormat="1" applyFont="1" applyAlignment="1">
      <alignment horizontal="center" vertical="top"/>
    </xf>
    <xf numFmtId="0" fontId="36" fillId="0" borderId="0" xfId="9" applyFont="1" applyAlignment="1">
      <alignment horizontal="center" vertical="top"/>
    </xf>
    <xf numFmtId="0" fontId="33" fillId="0" borderId="0" xfId="9" applyFont="1" applyAlignment="1">
      <alignment horizontal="center" vertical="top"/>
    </xf>
    <xf numFmtId="0" fontId="37" fillId="0" borderId="0" xfId="9" applyFont="1" applyAlignment="1">
      <alignment horizontal="center" vertical="top"/>
    </xf>
    <xf numFmtId="0" fontId="5" fillId="0" borderId="0" xfId="9" applyAlignment="1">
      <alignment horizontal="center" vertical="top"/>
    </xf>
    <xf numFmtId="0" fontId="13" fillId="0" borderId="0" xfId="9" applyFont="1" applyAlignment="1">
      <alignment horizontal="center" vertical="top"/>
    </xf>
    <xf numFmtId="0" fontId="13" fillId="0" borderId="0" xfId="10" applyFont="1" applyAlignment="1">
      <alignment horizontal="left" vertical="top"/>
    </xf>
    <xf numFmtId="0" fontId="51" fillId="0" borderId="5" xfId="10" applyFont="1" applyBorder="1" applyAlignment="1">
      <alignment horizontal="center" vertical="top"/>
    </xf>
    <xf numFmtId="0" fontId="51" fillId="0" borderId="6" xfId="10" applyFont="1" applyBorder="1" applyAlignment="1">
      <alignment horizontal="center" vertical="top"/>
    </xf>
    <xf numFmtId="0" fontId="51" fillId="0" borderId="7" xfId="10" applyFont="1" applyBorder="1" applyAlignment="1">
      <alignment horizontal="center" vertical="top"/>
    </xf>
    <xf numFmtId="43" fontId="45" fillId="0" borderId="0" xfId="1" applyFont="1" applyAlignment="1">
      <alignment horizontal="center" vertical="top"/>
    </xf>
    <xf numFmtId="0" fontId="13" fillId="7" borderId="0" xfId="10" applyFont="1" applyFill="1" applyAlignment="1">
      <alignment horizontal="left" vertical="top"/>
    </xf>
    <xf numFmtId="41" fontId="11" fillId="0" borderId="0" xfId="14" applyNumberFormat="1" applyFont="1" applyAlignment="1">
      <alignment horizontal="center" vertical="top"/>
    </xf>
    <xf numFmtId="41" fontId="11" fillId="0" borderId="11" xfId="14" applyNumberFormat="1" applyFont="1" applyBorder="1" applyAlignment="1">
      <alignment horizontal="center" vertical="top"/>
    </xf>
    <xf numFmtId="0" fontId="37" fillId="0" borderId="0" xfId="9" applyFont="1" applyAlignment="1">
      <alignment horizontal="center" vertical="center"/>
    </xf>
    <xf numFmtId="189" fontId="11" fillId="0" borderId="2" xfId="20" applyNumberFormat="1" applyFont="1" applyBorder="1" applyAlignment="1">
      <alignment horizontal="center" vertical="top"/>
    </xf>
    <xf numFmtId="189" fontId="11" fillId="0" borderId="4" xfId="20" applyNumberFormat="1" applyFont="1" applyBorder="1" applyAlignment="1">
      <alignment horizontal="center" vertical="top"/>
    </xf>
    <xf numFmtId="0" fontId="11" fillId="0" borderId="0" xfId="9" applyFont="1" applyAlignment="1">
      <alignment horizontal="center" vertical="center"/>
    </xf>
    <xf numFmtId="0" fontId="11" fillId="0" borderId="33" xfId="9" applyFont="1" applyBorder="1" applyAlignment="1">
      <alignment horizontal="center" vertical="center" wrapText="1"/>
    </xf>
    <xf numFmtId="0" fontId="11" fillId="0" borderId="34" xfId="9" applyFont="1" applyBorder="1" applyAlignment="1">
      <alignment horizontal="center" vertical="center" wrapText="1"/>
    </xf>
    <xf numFmtId="0" fontId="11" fillId="0" borderId="35" xfId="9" applyFont="1" applyBorder="1" applyAlignment="1">
      <alignment horizontal="center" vertical="center" wrapText="1"/>
    </xf>
    <xf numFmtId="0" fontId="11" fillId="0" borderId="10" xfId="9" applyFont="1" applyBorder="1" applyAlignment="1">
      <alignment horizontal="center" vertical="center" wrapText="1"/>
    </xf>
    <xf numFmtId="0" fontId="11" fillId="0" borderId="11" xfId="9" applyFont="1" applyBorder="1" applyAlignment="1">
      <alignment horizontal="center" vertical="center" wrapText="1"/>
    </xf>
    <xf numFmtId="0" fontId="11" fillId="0" borderId="12" xfId="9" applyFont="1" applyBorder="1" applyAlignment="1">
      <alignment horizontal="center" vertical="center" wrapText="1"/>
    </xf>
    <xf numFmtId="189" fontId="11" fillId="0" borderId="1" xfId="20" applyNumberFormat="1" applyFont="1" applyBorder="1" applyAlignment="1">
      <alignment horizontal="center" vertical="center" wrapText="1"/>
    </xf>
    <xf numFmtId="189" fontId="11" fillId="0" borderId="1" xfId="20" applyNumberFormat="1" applyFont="1" applyBorder="1" applyAlignment="1">
      <alignment horizontal="center" vertical="center"/>
    </xf>
    <xf numFmtId="189" fontId="25" fillId="0" borderId="2" xfId="20" applyNumberFormat="1" applyFont="1" applyBorder="1" applyAlignment="1">
      <alignment horizontal="center" vertical="top" wrapText="1"/>
    </xf>
    <xf numFmtId="189" fontId="25" fillId="0" borderId="4" xfId="20" applyNumberFormat="1" applyFont="1" applyBorder="1" applyAlignment="1">
      <alignment horizontal="center" vertical="top" wrapText="1"/>
    </xf>
    <xf numFmtId="189" fontId="11" fillId="0" borderId="2" xfId="20" applyNumberFormat="1" applyFont="1" applyBorder="1" applyAlignment="1">
      <alignment horizontal="center" vertical="top" wrapText="1"/>
    </xf>
    <xf numFmtId="189" fontId="11" fillId="0" borderId="4" xfId="20" applyNumberFormat="1" applyFont="1" applyBorder="1" applyAlignment="1">
      <alignment horizontal="center" vertical="top" wrapText="1"/>
    </xf>
    <xf numFmtId="189" fontId="11" fillId="0" borderId="2" xfId="1" applyNumberFormat="1" applyFont="1" applyBorder="1" applyAlignment="1">
      <alignment horizontal="center" vertical="top"/>
    </xf>
    <xf numFmtId="189" fontId="11" fillId="0" borderId="4" xfId="1" applyNumberFormat="1" applyFont="1" applyBorder="1" applyAlignment="1">
      <alignment horizontal="center" vertical="top"/>
    </xf>
    <xf numFmtId="43" fontId="11" fillId="0" borderId="2" xfId="1" applyFont="1" applyBorder="1" applyAlignment="1">
      <alignment horizontal="center" vertical="top"/>
    </xf>
    <xf numFmtId="43" fontId="11" fillId="0" borderId="4" xfId="1" applyFont="1" applyBorder="1" applyAlignment="1">
      <alignment horizontal="center" vertical="top"/>
    </xf>
    <xf numFmtId="189" fontId="11" fillId="0" borderId="2" xfId="20" applyNumberFormat="1" applyFont="1" applyBorder="1" applyAlignment="1">
      <alignment horizontal="center" vertical="center" wrapText="1"/>
    </xf>
    <xf numFmtId="189" fontId="11" fillId="0" borderId="4" xfId="20" applyNumberFormat="1" applyFont="1" applyBorder="1" applyAlignment="1">
      <alignment horizontal="center" vertical="center" wrapText="1"/>
    </xf>
    <xf numFmtId="43" fontId="11" fillId="0" borderId="2" xfId="20" applyFont="1" applyBorder="1" applyAlignment="1">
      <alignment horizontal="center" vertical="center" wrapText="1"/>
    </xf>
    <xf numFmtId="43" fontId="11" fillId="0" borderId="4" xfId="20" applyFont="1" applyBorder="1" applyAlignment="1">
      <alignment horizontal="center" vertical="center" wrapText="1"/>
    </xf>
    <xf numFmtId="189" fontId="11" fillId="0" borderId="5" xfId="20" applyNumberFormat="1" applyFont="1" applyBorder="1" applyAlignment="1">
      <alignment horizontal="center" vertical="center" wrapText="1"/>
    </xf>
    <xf numFmtId="189" fontId="11" fillId="0" borderId="5" xfId="20" applyNumberFormat="1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11" fillId="0" borderId="7" xfId="9" applyFont="1" applyBorder="1" applyAlignment="1">
      <alignment horizontal="center" vertical="center"/>
    </xf>
    <xf numFmtId="0" fontId="10" fillId="0" borderId="11" xfId="13" applyFont="1" applyBorder="1" applyAlignment="1">
      <alignment horizontal="left" vertical="center" indent="2"/>
    </xf>
    <xf numFmtId="0" fontId="10" fillId="0" borderId="12" xfId="13" applyFont="1" applyBorder="1" applyAlignment="1">
      <alignment horizontal="left" vertical="center" indent="2"/>
    </xf>
    <xf numFmtId="189" fontId="11" fillId="0" borderId="1" xfId="1" applyNumberFormat="1" applyFont="1" applyBorder="1" applyAlignment="1">
      <alignment horizontal="center" vertical="top"/>
    </xf>
    <xf numFmtId="3" fontId="11" fillId="0" borderId="1" xfId="9" applyNumberFormat="1" applyFont="1" applyBorder="1" applyAlignment="1">
      <alignment horizontal="center" vertical="top" wrapText="1"/>
    </xf>
    <xf numFmtId="3" fontId="11" fillId="0" borderId="1" xfId="9" applyNumberFormat="1" applyFont="1" applyBorder="1" applyAlignment="1">
      <alignment horizontal="center" vertical="top"/>
    </xf>
    <xf numFmtId="189" fontId="11" fillId="0" borderId="1" xfId="20" applyNumberFormat="1" applyFont="1" applyBorder="1" applyAlignment="1">
      <alignment horizontal="center" vertical="top" wrapText="1"/>
    </xf>
    <xf numFmtId="189" fontId="11" fillId="0" borderId="1" xfId="20" applyNumberFormat="1" applyFont="1" applyBorder="1" applyAlignment="1">
      <alignment horizontal="center" vertical="top"/>
    </xf>
    <xf numFmtId="3" fontId="11" fillId="0" borderId="1" xfId="9" applyNumberFormat="1" applyFont="1" applyBorder="1" applyAlignment="1">
      <alignment horizontal="center" vertical="center" wrapText="1"/>
    </xf>
    <xf numFmtId="3" fontId="11" fillId="0" borderId="1" xfId="9" applyNumberFormat="1" applyFont="1" applyBorder="1" applyAlignment="1">
      <alignment horizontal="center" vertical="center"/>
    </xf>
    <xf numFmtId="189" fontId="11" fillId="0" borderId="1" xfId="1" applyNumberFormat="1" applyFont="1" applyBorder="1" applyAlignment="1">
      <alignment horizontal="center" vertical="top" wrapText="1"/>
    </xf>
    <xf numFmtId="189" fontId="11" fillId="0" borderId="2" xfId="1" applyNumberFormat="1" applyFont="1" applyBorder="1" applyAlignment="1">
      <alignment horizontal="center" vertical="center" wrapText="1"/>
    </xf>
    <xf numFmtId="189" fontId="11" fillId="0" borderId="4" xfId="1" applyNumberFormat="1" applyFont="1" applyBorder="1" applyAlignment="1">
      <alignment horizontal="center" vertical="center" wrapText="1"/>
    </xf>
    <xf numFmtId="189" fontId="11" fillId="7" borderId="2" xfId="1" applyNumberFormat="1" applyFont="1" applyFill="1" applyBorder="1" applyAlignment="1">
      <alignment horizontal="center" vertical="center" wrapText="1"/>
    </xf>
    <xf numFmtId="189" fontId="11" fillId="7" borderId="4" xfId="1" applyNumberFormat="1" applyFont="1" applyFill="1" applyBorder="1" applyAlignment="1">
      <alignment horizontal="center" vertical="center" wrapText="1"/>
    </xf>
    <xf numFmtId="43" fontId="10" fillId="0" borderId="28" xfId="1" applyNumberFormat="1" applyFont="1" applyBorder="1" applyAlignment="1">
      <alignment horizontal="center" vertical="top"/>
    </xf>
    <xf numFmtId="43" fontId="10" fillId="0" borderId="24" xfId="1" applyNumberFormat="1" applyFont="1" applyBorder="1" applyAlignment="1">
      <alignment horizontal="center" vertical="top"/>
    </xf>
    <xf numFmtId="189" fontId="11" fillId="0" borderId="2" xfId="1" applyNumberFormat="1" applyFont="1" applyBorder="1" applyAlignment="1">
      <alignment horizontal="center" vertical="top" wrapText="1"/>
    </xf>
    <xf numFmtId="189" fontId="11" fillId="0" borderId="4" xfId="1" applyNumberFormat="1" applyFont="1" applyBorder="1" applyAlignment="1">
      <alignment horizontal="center" vertical="top" wrapText="1"/>
    </xf>
    <xf numFmtId="189" fontId="11" fillId="0" borderId="33" xfId="1" applyNumberFormat="1" applyFont="1" applyBorder="1" applyAlignment="1">
      <alignment horizontal="center" vertical="center" wrapText="1"/>
    </xf>
    <xf numFmtId="189" fontId="11" fillId="0" borderId="10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0" fontId="37" fillId="0" borderId="0" xfId="9" applyFont="1" applyBorder="1" applyAlignment="1">
      <alignment horizontal="center" vertical="top"/>
    </xf>
    <xf numFmtId="0" fontId="36" fillId="0" borderId="5" xfId="9" applyFont="1" applyBorder="1" applyAlignment="1">
      <alignment horizontal="center" vertical="center"/>
    </xf>
    <xf numFmtId="0" fontId="36" fillId="0" borderId="6" xfId="9" applyFont="1" applyBorder="1" applyAlignment="1">
      <alignment horizontal="center" vertical="center"/>
    </xf>
    <xf numFmtId="0" fontId="36" fillId="0" borderId="7" xfId="9" applyFont="1" applyBorder="1" applyAlignment="1">
      <alignment horizontal="center" vertical="center"/>
    </xf>
    <xf numFmtId="0" fontId="36" fillId="0" borderId="2" xfId="1" applyNumberFormat="1" applyFont="1" applyBorder="1" applyAlignment="1">
      <alignment horizontal="center" vertical="top" wrapText="1"/>
    </xf>
    <xf numFmtId="0" fontId="36" fillId="0" borderId="4" xfId="1" applyNumberFormat="1" applyFont="1" applyBorder="1" applyAlignment="1">
      <alignment horizontal="center" vertical="top" wrapText="1"/>
    </xf>
    <xf numFmtId="0" fontId="37" fillId="14" borderId="11" xfId="9" applyFont="1" applyFill="1" applyBorder="1" applyAlignment="1">
      <alignment horizontal="center" vertical="top"/>
    </xf>
    <xf numFmtId="0" fontId="36" fillId="0" borderId="33" xfId="9" applyFont="1" applyBorder="1" applyAlignment="1">
      <alignment horizontal="center" vertical="center" wrapText="1"/>
    </xf>
    <xf numFmtId="0" fontId="36" fillId="0" borderId="34" xfId="9" applyFont="1" applyBorder="1" applyAlignment="1">
      <alignment horizontal="center" vertical="center" wrapText="1"/>
    </xf>
    <xf numFmtId="0" fontId="36" fillId="0" borderId="35" xfId="9" applyFont="1" applyBorder="1" applyAlignment="1">
      <alignment horizontal="center" vertical="center" wrapText="1"/>
    </xf>
    <xf numFmtId="0" fontId="72" fillId="0" borderId="10" xfId="22" applyFont="1" applyBorder="1" applyAlignment="1">
      <alignment horizontal="center" vertical="center" wrapText="1"/>
    </xf>
    <xf numFmtId="0" fontId="72" fillId="0" borderId="11" xfId="22" applyFont="1" applyBorder="1" applyAlignment="1">
      <alignment horizontal="center" vertical="center" wrapText="1"/>
    </xf>
    <xf numFmtId="0" fontId="72" fillId="0" borderId="12" xfId="22" applyFont="1" applyBorder="1" applyAlignment="1">
      <alignment horizontal="center" vertical="center" wrapText="1"/>
    </xf>
    <xf numFmtId="189" fontId="36" fillId="0" borderId="2" xfId="1" applyNumberFormat="1" applyFont="1" applyBorder="1" applyAlignment="1">
      <alignment horizontal="center" vertical="top" wrapText="1"/>
    </xf>
    <xf numFmtId="189" fontId="36" fillId="0" borderId="4" xfId="1" applyNumberFormat="1" applyFont="1" applyBorder="1" applyAlignment="1">
      <alignment horizontal="center" vertical="top" wrapText="1"/>
    </xf>
  </cellXfs>
  <cellStyles count="23">
    <cellStyle name="Comma" xfId="16" builtinId="3"/>
    <cellStyle name="Comma 2" xfId="1"/>
    <cellStyle name="Comma 2 2" xfId="2"/>
    <cellStyle name="Comma 3" xfId="3"/>
    <cellStyle name="Comma 3 2" xfId="4"/>
    <cellStyle name="Comma 3 3" xfId="5"/>
    <cellStyle name="Comma 4" xfId="6"/>
    <cellStyle name="Comma 5" xfId="21"/>
    <cellStyle name="Currency 2" xfId="7"/>
    <cellStyle name="Currency 2 2" xfId="8"/>
    <cellStyle name="Normal" xfId="0" builtinId="0"/>
    <cellStyle name="Normal 2" xfId="9"/>
    <cellStyle name="Normal 3" xfId="10"/>
    <cellStyle name="Normal 4" xfId="11"/>
    <cellStyle name="Normal 5" xfId="12"/>
    <cellStyle name="Normal 6" xfId="22"/>
    <cellStyle name="Normal_mask" xfId="13"/>
    <cellStyle name="Normal_Sheet1_1 2" xfId="14"/>
    <cellStyle name="เครื่องหมายจุลภาค 2" xfId="19"/>
    <cellStyle name="เครื่องหมายจุลภาค_เงินอุดหนุน 52" xfId="15"/>
    <cellStyle name="จุลภาค 2" xfId="20"/>
    <cellStyle name="ปกติ 2" xfId="17"/>
    <cellStyle name="ปกติ 2 2" xfId="18"/>
  </cellStyles>
  <dxfs count="0"/>
  <tableStyles count="0" defaultTableStyle="TableStyleMedium2" defaultPivotStyle="PivotStyleLight16"/>
  <colors>
    <mruColors>
      <color rgb="FF99FFCC"/>
      <color rgb="FF00FFCC"/>
      <color rgb="FFFF33CC"/>
      <color rgb="FFFFCC66"/>
      <color rgb="FFCCFFFF"/>
      <color rgb="FF99CCFF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09256011245041E-2"/>
          <c:y val="0.35341917554423347"/>
          <c:w val="0.56754596322941642"/>
          <c:h val="0.567545963229416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8F-4043-B248-8F7FC17BBB6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8F-4043-B248-8F7FC17BBB6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8F-4043-B248-8F7FC17BBB6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8F-4043-B248-8F7FC17BBB69}"/>
              </c:ext>
            </c:extLst>
          </c:dPt>
          <c:cat>
            <c:strRef>
              <c:f>'4.กราฟแยกงบ  '!$B$37:$B$40</c:f>
              <c:strCache>
                <c:ptCount val="4"/>
                <c:pt idx="0">
                  <c:v>แผนงานยุทธศาสตร์</c:v>
                </c:pt>
                <c:pt idx="1">
                  <c:v>แผนงานบุคลากร</c:v>
                </c:pt>
                <c:pt idx="2">
                  <c:v>แผนงานพื้นฐาน</c:v>
                </c:pt>
                <c:pt idx="3">
                  <c:v>แผนงานบูรณาการ</c:v>
                </c:pt>
              </c:strCache>
            </c:strRef>
          </c:cat>
          <c:val>
            <c:numRef>
              <c:f>'4.กราฟแยกงบ  '!$D$37:$D$40</c:f>
              <c:numCache>
                <c:formatCode>0.00</c:formatCode>
                <c:ptCount val="4"/>
                <c:pt idx="0">
                  <c:v>47.635318085980636</c:v>
                </c:pt>
                <c:pt idx="1">
                  <c:v>49.984877237776765</c:v>
                </c:pt>
                <c:pt idx="2">
                  <c:v>2.1652116546863911</c:v>
                </c:pt>
                <c:pt idx="3">
                  <c:v>0.21459302155621224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8F-4043-B248-8F7FC17B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61277125754382"/>
          <c:y val="0.32431937142527012"/>
          <c:w val="0.57987369200047767"/>
          <c:h val="0.583034195121870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5-4D03-A12A-81EBF86B6A0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5-4D03-A12A-81EBF86B6A0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5-4D03-A12A-81EBF86B6A0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5-4D03-A12A-81EBF86B6A0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A5-4D03-A12A-81EBF86B6A0D}"/>
              </c:ext>
            </c:extLst>
          </c:dPt>
          <c:cat>
            <c:strRef>
              <c:f>'4.กราฟแยกงบ  '!$H$36:$H$40</c:f>
              <c:strCache>
                <c:ptCount val="5"/>
                <c:pt idx="0">
                  <c:v>งบดำเนินงาน</c:v>
                </c:pt>
                <c:pt idx="1">
                  <c:v>งบบุคลากร</c:v>
                </c:pt>
                <c:pt idx="2">
                  <c:v>งบลงทุน</c:v>
                </c:pt>
                <c:pt idx="3">
                  <c:v>งบเงินอุดหนุน</c:v>
                </c:pt>
                <c:pt idx="4">
                  <c:v>งบรายจ่ายอื่น</c:v>
                </c:pt>
              </c:strCache>
            </c:strRef>
          </c:cat>
          <c:val>
            <c:numRef>
              <c:f>'4.กราฟแยกงบ  '!$J$36:$J$40</c:f>
              <c:numCache>
                <c:formatCode>0.00</c:formatCode>
                <c:ptCount val="5"/>
                <c:pt idx="0">
                  <c:v>31.949690027376331</c:v>
                </c:pt>
                <c:pt idx="1">
                  <c:v>36.685567461686141</c:v>
                </c:pt>
                <c:pt idx="2">
                  <c:v>4.734018105416907</c:v>
                </c:pt>
                <c:pt idx="3">
                  <c:v>12.457866184668624</c:v>
                </c:pt>
                <c:pt idx="4">
                  <c:v>14.172858220851985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A5-4D03-A12A-81EBF86B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6921198648039"/>
          <c:y val="0.13873379099923722"/>
          <c:w val="0.82928067390417914"/>
          <c:h val="0.746529727262353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'5.กราฟภาพรวม  '!$A$4</c:f>
              <c:strCache>
                <c:ptCount val="1"/>
                <c:pt idx="0">
                  <c:v>คำขอ</c:v>
                </c:pt>
              </c:strCache>
            </c:strRef>
          </c:tx>
          <c:spPr>
            <a:solidFill>
              <a:srgbClr val="FFCC66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838497456922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59-4961-AD38-7825BC966386}"/>
                </c:ext>
              </c:extLst>
            </c:dLbl>
            <c:dLbl>
              <c:idx val="1"/>
              <c:layout>
                <c:manualLayout>
                  <c:x val="0"/>
                  <c:y val="2.7173457206301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59-4961-AD38-7825BC966386}"/>
                </c:ext>
              </c:extLst>
            </c:dLbl>
            <c:dLbl>
              <c:idx val="2"/>
              <c:layout>
                <c:manualLayout>
                  <c:x val="0"/>
                  <c:y val="1.5307383513431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9-4961-AD38-7825BC9663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'5.กราฟภาพรวม  '!$B$3:$D$3</c:f>
              <c:strCache>
                <c:ptCount val="3"/>
                <c:pt idx="0">
                  <c:v> ปี 2564</c:v>
                </c:pt>
                <c:pt idx="1">
                  <c:v> ปี 2565</c:v>
                </c:pt>
                <c:pt idx="2">
                  <c:v> ปี 2566</c:v>
                </c:pt>
              </c:strCache>
            </c:strRef>
          </c:cat>
          <c:val>
            <c:numRef>
              <c:f>'5.กราฟภาพรวม  '!$B$4:$D$4</c:f>
              <c:numCache>
                <c:formatCode>_(* #,##0.00_);_(* \(#,##0.00\);_(* "-"??_);_(@_)</c:formatCode>
                <c:ptCount val="3"/>
                <c:pt idx="0">
                  <c:v>10274.7142</c:v>
                </c:pt>
                <c:pt idx="1">
                  <c:v>11552.23</c:v>
                </c:pt>
                <c:pt idx="2">
                  <c:v>11055.6535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C-470E-8023-80746E1DCC30}"/>
            </c:ext>
          </c:extLst>
        </c:ser>
        <c:ser>
          <c:idx val="1"/>
          <c:order val="1"/>
          <c:tx>
            <c:strRef>
              <c:f>'5.กราฟภาพรวม  '!$A$5</c:f>
              <c:strCache>
                <c:ptCount val="1"/>
                <c:pt idx="0">
                  <c:v>จัดสรร</c:v>
                </c:pt>
              </c:strCache>
            </c:strRef>
          </c:tx>
          <c:spPr>
            <a:solidFill>
              <a:srgbClr val="99CCFF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855541537973439E-4"/>
                  <c:y val="2.171392911550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9-4961-AD38-7825BC966386}"/>
                </c:ext>
              </c:extLst>
            </c:dLbl>
            <c:dLbl>
              <c:idx val="1"/>
              <c:layout>
                <c:manualLayout>
                  <c:x val="3.3659604704107038E-3"/>
                  <c:y val="2.3576773183072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9-4961-AD38-7825BC966386}"/>
                </c:ext>
              </c:extLst>
            </c:dLbl>
            <c:dLbl>
              <c:idx val="2"/>
              <c:layout>
                <c:manualLayout>
                  <c:x val="1.9956635855300697E-3"/>
                  <c:y val="1.50861577085473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9-4961-AD38-7825BC9663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'5.กราฟภาพรวม  '!$B$3:$D$3</c:f>
              <c:strCache>
                <c:ptCount val="3"/>
                <c:pt idx="0">
                  <c:v> ปี 2564</c:v>
                </c:pt>
                <c:pt idx="1">
                  <c:v> ปี 2565</c:v>
                </c:pt>
                <c:pt idx="2">
                  <c:v> ปี 2566</c:v>
                </c:pt>
              </c:strCache>
            </c:strRef>
          </c:cat>
          <c:val>
            <c:numRef>
              <c:f>'5.กราฟภาพรวม  '!$B$5:$D$5</c:f>
              <c:numCache>
                <c:formatCode>_(* #,##0.00_);_(* \(#,##0.00\);_(* "-"??_);_(@_)</c:formatCode>
                <c:ptCount val="3"/>
                <c:pt idx="0">
                  <c:v>8156.3642</c:v>
                </c:pt>
                <c:pt idx="1">
                  <c:v>7406.49</c:v>
                </c:pt>
                <c:pt idx="2">
                  <c:v>7556.48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3C-470E-8023-80746E1DCC30}"/>
            </c:ext>
          </c:extLst>
        </c:ser>
        <c:ser>
          <c:idx val="2"/>
          <c:order val="2"/>
          <c:tx>
            <c:strRef>
              <c:f>'5.กราฟภาพรวม  '!$A$6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99FFCC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581582894667148E-3"/>
                  <c:y val="3.0857942855374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9-4961-AD38-7825BC966386}"/>
                </c:ext>
              </c:extLst>
            </c:dLbl>
            <c:dLbl>
              <c:idx val="1"/>
              <c:layout>
                <c:manualLayout>
                  <c:x val="4.8328198105671575E-4"/>
                  <c:y val="2.78004379887296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59-4961-AD38-7825BC96638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0" i="0" u="none" strike="noStrike" baseline="0">
                      <a:solidFill>
                        <a:schemeClr val="bg1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C11-42C2-8D95-6E1F3C0E2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'5.กราฟภาพรวม  '!$B$3:$D$3</c:f>
              <c:strCache>
                <c:ptCount val="3"/>
                <c:pt idx="0">
                  <c:v> ปี 2564</c:v>
                </c:pt>
                <c:pt idx="1">
                  <c:v> ปี 2565</c:v>
                </c:pt>
                <c:pt idx="2">
                  <c:v> ปี 2566</c:v>
                </c:pt>
              </c:strCache>
            </c:strRef>
          </c:cat>
          <c:val>
            <c:numRef>
              <c:f>'5.กราฟภาพรวม  '!$B$6:$D$6</c:f>
              <c:numCache>
                <c:formatCode>_(* #,##0.00_);_(* \(#,##0.00\);_(* "-"??_);_(@_)</c:formatCode>
                <c:ptCount val="3"/>
                <c:pt idx="0">
                  <c:v>7373.29</c:v>
                </c:pt>
                <c:pt idx="1">
                  <c:v>5641.35</c:v>
                </c:pt>
                <c:pt idx="2" formatCode="#,##0.00_);\(#,##0.0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3C-470E-8023-80746E1DC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5741744"/>
        <c:axId val="1264541328"/>
      </c:barChart>
      <c:catAx>
        <c:axId val="10557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64541328"/>
        <c:crosses val="autoZero"/>
        <c:auto val="1"/>
        <c:lblAlgn val="ctr"/>
        <c:lblOffset val="100"/>
        <c:noMultiLvlLbl val="0"/>
      </c:catAx>
      <c:valAx>
        <c:axId val="1264541328"/>
        <c:scaling>
          <c:orientation val="minMax"/>
          <c:max val="14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55741744"/>
        <c:crosses val="autoZero"/>
        <c:crossBetween val="between"/>
        <c:min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ล้านบาท</a:t>
            </a:r>
          </a:p>
        </c:rich>
      </c:tx>
      <c:layout>
        <c:manualLayout>
          <c:xMode val="edge"/>
          <c:yMode val="edge"/>
          <c:x val="4.914376961621056E-3"/>
          <c:y val="2.69006244909041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'6.กราฟรายจ่ายลงทุน '!$A$4</c:f>
              <c:strCache>
                <c:ptCount val="1"/>
                <c:pt idx="0">
                  <c:v>คำขอ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748122645330925E-17"/>
                  <c:y val="9.13242009132420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62-4FFA-B783-0FE1DCAF8DFF}"/>
                </c:ext>
              </c:extLst>
            </c:dLbl>
            <c:dLbl>
              <c:idx val="1"/>
              <c:layout>
                <c:manualLayout>
                  <c:x val="0"/>
                  <c:y val="9.13242009132420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1DB-BB25-AB277E0A8CA2}"/>
                </c:ext>
              </c:extLst>
            </c:dLbl>
            <c:dLbl>
              <c:idx val="2"/>
              <c:layout>
                <c:manualLayout>
                  <c:x val="-1.099849811626474E-16"/>
                  <c:y val="9.13242009132417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1DB-BB25-AB277E0A8C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'6.กราฟรายจ่ายลงทุน '!$B$2:$D$3</c:f>
              <c:strCache>
                <c:ptCount val="3"/>
                <c:pt idx="0">
                  <c:v> ปี 2564</c:v>
                </c:pt>
                <c:pt idx="1">
                  <c:v> ปี 2565</c:v>
                </c:pt>
                <c:pt idx="2">
                  <c:v> ปี 2566</c:v>
                </c:pt>
              </c:strCache>
            </c:strRef>
          </c:cat>
          <c:val>
            <c:numRef>
              <c:f>'6.กราฟรายจ่ายลงทุน '!$B$4:$D$4</c:f>
              <c:numCache>
                <c:formatCode>_(* #,##0.00_);_(* \(#,##0.00\);_(* "-"??_);_(@_)</c:formatCode>
                <c:ptCount val="3"/>
                <c:pt idx="0">
                  <c:v>504.88</c:v>
                </c:pt>
                <c:pt idx="1">
                  <c:v>511.49</c:v>
                </c:pt>
                <c:pt idx="2">
                  <c:v>738.73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6-41DB-BB25-AB277E0A8CA2}"/>
            </c:ext>
          </c:extLst>
        </c:ser>
        <c:ser>
          <c:idx val="1"/>
          <c:order val="1"/>
          <c:tx>
            <c:strRef>
              <c:f>'6.กราฟรายจ่ายลงทุน '!$A$5</c:f>
              <c:strCache>
                <c:ptCount val="1"/>
                <c:pt idx="0">
                  <c:v>จัดสรร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4998238044614488E-3"/>
                  <c:y val="3.0343256294912161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397.48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1DB-BB25-AB277E0A8CA2}"/>
                </c:ext>
              </c:extLst>
            </c:dLbl>
            <c:dLbl>
              <c:idx val="1"/>
              <c:layout>
                <c:manualLayout>
                  <c:x val="-1.4252268223760452E-3"/>
                  <c:y val="6.06869494592506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1DB-BB25-AB277E0A8C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22A13C6-A609-49A5-8F77-E3FB4E01068D}" type="VALUE">
                      <a:rPr lang="en-US"/>
                      <a:pPr/>
                      <a:t>[VALUE]</a:t>
                    </a:fld>
                    <a:endParaRPr lang="th-TH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262-4FFA-B783-0FE1DCAF8D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'6.กราฟรายจ่ายลงทุน '!$B$2:$D$3</c:f>
              <c:strCache>
                <c:ptCount val="3"/>
                <c:pt idx="0">
                  <c:v> ปี 2564</c:v>
                </c:pt>
                <c:pt idx="1">
                  <c:v> ปี 2565</c:v>
                </c:pt>
                <c:pt idx="2">
                  <c:v> ปี 2566</c:v>
                </c:pt>
              </c:strCache>
            </c:strRef>
          </c:cat>
          <c:val>
            <c:numRef>
              <c:f>'6.กราฟรายจ่ายลงทุน '!$B$5:$D$5</c:f>
              <c:numCache>
                <c:formatCode>_(* #,##0.00_);_(* \(#,##0.00\);_(* "-"??_);_(@_)</c:formatCode>
                <c:ptCount val="3"/>
                <c:pt idx="0">
                  <c:v>397.48</c:v>
                </c:pt>
                <c:pt idx="1">
                  <c:v>304.18</c:v>
                </c:pt>
                <c:pt idx="2">
                  <c:v>357.72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'6.กราฟรายจ่ายลงทุน '!$C$5</c15:f>
                <c15:dlblRangeCache>
                  <c:ptCount val="1"/>
                  <c:pt idx="0">
                    <c:v> 304.18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FF6-41DB-BB25-AB277E0A8CA2}"/>
            </c:ext>
          </c:extLst>
        </c:ser>
        <c:ser>
          <c:idx val="2"/>
          <c:order val="2"/>
          <c:tx>
            <c:strRef>
              <c:f>'6.กราฟรายจ่ายลงทุน '!$A$6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99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201015710639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6-41DB-BB25-AB277E0A8CA2}"/>
                </c:ext>
              </c:extLst>
            </c:dLbl>
            <c:dLbl>
              <c:idx val="1"/>
              <c:layout>
                <c:manualLayout>
                  <c:x val="0"/>
                  <c:y val="1.1695909125548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6-41DB-BB25-AB277E0A8C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6-41DB-BB25-AB277E0A8C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'6.กราฟรายจ่ายลงทุน '!$B$2:$D$3</c:f>
              <c:strCache>
                <c:ptCount val="3"/>
                <c:pt idx="0">
                  <c:v> ปี 2564</c:v>
                </c:pt>
                <c:pt idx="1">
                  <c:v> ปี 2565</c:v>
                </c:pt>
                <c:pt idx="2">
                  <c:v> ปี 2566</c:v>
                </c:pt>
              </c:strCache>
            </c:strRef>
          </c:cat>
          <c:val>
            <c:numRef>
              <c:f>'6.กราฟรายจ่ายลงทุน '!$B$6:$D$6</c:f>
              <c:numCache>
                <c:formatCode>_(* #,##0.00_);_(* \(#,##0.00\);_(* "-"??_);_(@_)</c:formatCode>
                <c:ptCount val="3"/>
                <c:pt idx="0">
                  <c:v>172.99</c:v>
                </c:pt>
                <c:pt idx="1">
                  <c:v>138.02000000000001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F6-41DB-BB25-AB277E0A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64548944"/>
        <c:axId val="1264544592"/>
      </c:barChart>
      <c:catAx>
        <c:axId val="12645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64544592"/>
        <c:crosses val="autoZero"/>
        <c:auto val="1"/>
        <c:lblAlgn val="ctr"/>
        <c:lblOffset val="100"/>
        <c:noMultiLvlLbl val="0"/>
      </c:catAx>
      <c:valAx>
        <c:axId val="126454459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64548944"/>
        <c:crosses val="autoZero"/>
        <c:crossBetween val="between"/>
        <c:min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h-TH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416720</xdr:colOff>
      <xdr:row>17</xdr:row>
      <xdr:rowOff>250032</xdr:rowOff>
    </xdr:from>
    <xdr:to>
      <xdr:col>8</xdr:col>
      <xdr:colOff>282282</xdr:colOff>
      <xdr:row>20</xdr:row>
      <xdr:rowOff>329907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7786688"/>
          <a:ext cx="10800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7</xdr:row>
      <xdr:rowOff>104775</xdr:rowOff>
    </xdr:from>
    <xdr:to>
      <xdr:col>6</xdr:col>
      <xdr:colOff>397248</xdr:colOff>
      <xdr:row>33</xdr:row>
      <xdr:rowOff>9525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674395</xdr:colOff>
      <xdr:row>0</xdr:row>
      <xdr:rowOff>114300</xdr:rowOff>
    </xdr:from>
    <xdr:to>
      <xdr:col>11</xdr:col>
      <xdr:colOff>218953</xdr:colOff>
      <xdr:row>6</xdr:row>
      <xdr:rowOff>146538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83995" y="114300"/>
          <a:ext cx="6621633" cy="1003788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300"/>
            </a:lnSpc>
          </a:pP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แผนภูมิวงกลมแสดงการจำแนกประเภทงบประมาณรายจ่าย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</a:t>
          </a:r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  <a:p>
          <a:pPr marL="0" marR="0" indent="0" algn="ctr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2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lang="en-US" sz="2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th-TH" sz="2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556.4</a:t>
          </a:r>
          <a:r>
            <a:rPr lang="en-US" sz="2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899</a:t>
          </a:r>
          <a:r>
            <a:rPr lang="th-TH" sz="24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ล้านบาท</a:t>
          </a:r>
          <a:r>
            <a:rPr lang="th-TH" sz="2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399858</xdr:colOff>
      <xdr:row>7</xdr:row>
      <xdr:rowOff>105603</xdr:rowOff>
    </xdr:from>
    <xdr:to>
      <xdr:col>12</xdr:col>
      <xdr:colOff>529262</xdr:colOff>
      <xdr:row>33</xdr:row>
      <xdr:rowOff>8006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0.15792</cdr:y>
    </cdr:from>
    <cdr:to>
      <cdr:x>0</cdr:x>
      <cdr:y>0.15889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659422"/>
          <a:ext cx="1068983" cy="763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400" b="1" u="sng">
              <a:latin typeface="FreesiaUPC" pitchFamily="34" charset="-34"/>
              <a:cs typeface="FreesiaUPC" pitchFamily="34" charset="-34"/>
            </a:rPr>
            <a:t>แผนงานที่</a:t>
          </a:r>
          <a:r>
            <a:rPr lang="th-TH" sz="1400" b="1" u="sng" baseline="0">
              <a:latin typeface="FreesiaUPC" pitchFamily="34" charset="-34"/>
              <a:cs typeface="FreesiaUPC" pitchFamily="34" charset="-34"/>
            </a:rPr>
            <a:t> </a:t>
          </a:r>
          <a:r>
            <a:rPr lang="en-US" sz="1400" b="1" u="sng" baseline="0">
              <a:latin typeface="FreesiaUPC" pitchFamily="34" charset="-34"/>
              <a:cs typeface="FreesiaUPC" pitchFamily="34" charset="-34"/>
            </a:rPr>
            <a:t>1</a:t>
          </a:r>
          <a:r>
            <a:rPr lang="th-TH" sz="1400" baseline="0">
              <a:latin typeface="FreesiaUPC" pitchFamily="34" charset="-34"/>
              <a:cs typeface="FreesiaUPC" pitchFamily="34" charset="-34"/>
            </a:rPr>
            <a:t/>
          </a:r>
          <a:br>
            <a:rPr lang="th-TH" sz="1400" baseline="0">
              <a:latin typeface="FreesiaUPC" pitchFamily="34" charset="-34"/>
              <a:cs typeface="FreesiaUPC" pitchFamily="34" charset="-34"/>
            </a:rPr>
          </a:br>
          <a:r>
            <a:rPr lang="en-US" sz="1400" baseline="0">
              <a:latin typeface="FreesiaUPC" pitchFamily="34" charset="-34"/>
              <a:cs typeface="FreesiaUPC" pitchFamily="34" charset="-34"/>
            </a:rPr>
            <a:t>81.45</a:t>
          </a:r>
          <a:r>
            <a:rPr lang="th-TH" sz="1400" baseline="0">
              <a:latin typeface="FreesiaUPC" pitchFamily="34" charset="-34"/>
              <a:cs typeface="FreesiaUPC" pitchFamily="34" charset="-34"/>
            </a:rPr>
            <a:t> ล้านบาท (</a:t>
          </a:r>
          <a:r>
            <a:rPr lang="en-US" sz="1400" baseline="0">
              <a:latin typeface="FreesiaUPC" pitchFamily="34" charset="-34"/>
              <a:cs typeface="FreesiaUPC" pitchFamily="34" charset="-34"/>
            </a:rPr>
            <a:t>0.95%)</a:t>
          </a:r>
          <a:endParaRPr lang="th-TH" sz="1400">
            <a:latin typeface="FreesiaUPC" pitchFamily="34" charset="-34"/>
            <a:cs typeface="FreesiaUPC" pitchFamily="34" charset="-34"/>
          </a:endParaRPr>
        </a:p>
      </cdr:txBody>
    </cdr:sp>
  </cdr:relSizeAnchor>
  <cdr:relSizeAnchor xmlns:cdr="http://schemas.openxmlformats.org/drawingml/2006/chartDrawing">
    <cdr:from>
      <cdr:x>0.08386</cdr:x>
      <cdr:y>0.00675</cdr:y>
    </cdr:from>
    <cdr:to>
      <cdr:x>0.91657</cdr:x>
      <cdr:y>0.12114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4243" y="27125"/>
          <a:ext cx="3327916" cy="44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th-TH" sz="2000" b="1">
              <a:latin typeface="FreesiaUPC" pitchFamily="34" charset="-34"/>
              <a:cs typeface="FreesiaUPC" pitchFamily="34" charset="-34"/>
            </a:rPr>
            <a:t>จำแนกตามแผนงาน</a:t>
          </a:r>
        </a:p>
      </cdr:txBody>
    </cdr:sp>
  </cdr:relSizeAnchor>
  <cdr:relSizeAnchor xmlns:cdr="http://schemas.openxmlformats.org/drawingml/2006/chartDrawing">
    <cdr:from>
      <cdr:x>0.54515</cdr:x>
      <cdr:y>0.17124</cdr:y>
    </cdr:from>
    <cdr:to>
      <cdr:x>0.77476</cdr:x>
      <cdr:y>0.33517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30438" y="682625"/>
          <a:ext cx="936625" cy="650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</cdr:x>
      <cdr:y>0.47545</cdr:y>
    </cdr:from>
    <cdr:to>
      <cdr:x>0.59466</cdr:x>
      <cdr:y>0.62963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5125" y="1912938"/>
          <a:ext cx="793750" cy="64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0.02321</cdr:x>
      <cdr:y>0.12574</cdr:y>
    </cdr:from>
    <cdr:to>
      <cdr:x>0.31587</cdr:x>
      <cdr:y>0.3355</cdr:y>
    </cdr:to>
    <cdr:sp macro="" textlink="">
      <cdr:nvSpPr>
        <cdr:cNvPr id="15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64" y="518593"/>
          <a:ext cx="1357554" cy="865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spAutoFit/>
        </a:bodyPr>
        <a:lstStyle xmlns:a="http://schemas.openxmlformats.org/drawingml/2006/main"/>
        <a:p xmlns:a="http://schemas.openxmlformats.org/drawingml/2006/main">
          <a:pPr algn="ctr" fontAlgn="base"/>
          <a:r>
            <a:rPr lang="th-TH" sz="18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แผนงานพื้นฐาน</a:t>
          </a:r>
          <a:r>
            <a:rPr lang="th-TH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163.6140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ล้านบาท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(2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17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0.28925</cdr:x>
      <cdr:y>0.16616</cdr:y>
    </cdr:from>
    <cdr:to>
      <cdr:x>0.6452</cdr:x>
      <cdr:y>0.42056</cdr:y>
    </cdr:to>
    <cdr:sp macro="" textlink="">
      <cdr:nvSpPr>
        <cdr:cNvPr id="17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0846" y="685836"/>
          <a:ext cx="1698246" cy="1058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spAutoFit/>
        </a:bodyPr>
        <a:lstStyle xmlns:a="http://schemas.openxmlformats.org/drawingml/2006/main"/>
        <a:p xmlns:a="http://schemas.openxmlformats.org/drawingml/2006/main">
          <a:pPr algn="ctr" fontAlgn="base"/>
          <a:r>
            <a:rPr lang="th-TH" sz="18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แผนงานบูรณาการ</a:t>
          </a:r>
          <a:r>
            <a:rPr lang="en-US" sz="18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 </a:t>
          </a:r>
          <a:r>
            <a:rPr lang="th-TH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16.2157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ล้านบาท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fontAlgn="base">
            <a:lnSpc>
              <a:spcPts val="1400"/>
            </a:lnSpc>
          </a:pP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(0.21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fontAlgn="base">
            <a:lnSpc>
              <a:spcPts val="1800"/>
            </a:lnSpc>
            <a:spcAft>
              <a:spcPts val="0"/>
            </a:spcAft>
          </a:pPr>
          <a:endParaRPr lang="en-US" sz="18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0.34241</cdr:x>
      <cdr:y>0.48093</cdr:y>
    </cdr:from>
    <cdr:to>
      <cdr:x>0.55372</cdr:x>
      <cdr:y>0.81065</cdr:y>
    </cdr:to>
    <cdr:sp macro="" textlink="">
      <cdr:nvSpPr>
        <cdr:cNvPr id="19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8345" y="1983512"/>
          <a:ext cx="980199" cy="1359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fontAlgn="base"/>
          <a:r>
            <a:rPr lang="th-TH" sz="18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แผนงาน</a:t>
          </a:r>
        </a:p>
        <a:p xmlns:a="http://schemas.openxmlformats.org/drawingml/2006/main">
          <a:pPr algn="ctr" fontAlgn="base"/>
          <a:r>
            <a:rPr lang="th-TH" sz="18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ยุทธศาสตร์</a:t>
          </a:r>
        </a:p>
        <a:p xmlns:a="http://schemas.openxmlformats.org/drawingml/2006/main">
          <a:pPr algn="ctr" fontAlgn="base"/>
          <a:r>
            <a:rPr lang="th-TH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en-US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,599</a:t>
          </a:r>
          <a:r>
            <a:rPr lang="th-TH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.5580 </a:t>
          </a: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ล้านบาท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fontAlgn="base">
            <a:lnSpc>
              <a:spcPts val="1500"/>
            </a:lnSpc>
          </a:pP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(47.64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0.06837</cdr:x>
      <cdr:y>0.47113</cdr:y>
    </cdr:from>
    <cdr:to>
      <cdr:x>0.33736</cdr:x>
      <cdr:y>0.81123</cdr:y>
    </cdr:to>
    <cdr:sp macro="" textlink="">
      <cdr:nvSpPr>
        <cdr:cNvPr id="20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127" y="1943101"/>
          <a:ext cx="1247775" cy="1402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fontAlgn="base"/>
          <a:r>
            <a:rPr lang="th-TH" sz="18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แผนงาน</a:t>
          </a:r>
        </a:p>
        <a:p xmlns:a="http://schemas.openxmlformats.org/drawingml/2006/main">
          <a:pPr algn="ctr" fontAlgn="base"/>
          <a:r>
            <a:rPr lang="th-TH" sz="18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บุคลากรภาครัฐ</a:t>
          </a:r>
        </a:p>
        <a:p xmlns:a="http://schemas.openxmlformats.org/drawingml/2006/main">
          <a:pPr algn="ctr" fontAlgn="base"/>
          <a:r>
            <a:rPr lang="th-TH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en-US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th-TH" sz="1400" b="1" kern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777.1022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ล้านบาท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(49.98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0.6205</cdr:x>
      <cdr:y>0.57729</cdr:y>
    </cdr:from>
    <cdr:to>
      <cdr:x>0.96975</cdr:x>
      <cdr:y>0.72664</cdr:y>
    </cdr:to>
    <cdr:sp macro="" textlink="">
      <cdr:nvSpPr>
        <cdr:cNvPr id="22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8707" y="2431376"/>
          <a:ext cx="1659688" cy="629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miter lim="800000"/>
          <a:headEnd/>
          <a:tailEnd/>
        </a:ln>
      </cdr:spPr>
      <cdr:txBody>
        <a:bodyPr xmlns:a="http://schemas.openxmlformats.org/drawingml/2006/main" wrap="square">
          <a:spAutoFit/>
        </a:bodyPr>
        <a:lstStyle xmlns:a="http://schemas.openxmlformats.org/drawingml/2006/main"/>
        <a:p xmlns:a="http://schemas.openxmlformats.org/drawingml/2006/main">
          <a:pPr fontAlgn="base">
            <a:lnSpc>
              <a:spcPts val="1000"/>
            </a:lnSpc>
            <a:spcAft>
              <a:spcPts val="0"/>
            </a:spcAft>
          </a:pPr>
          <a:r>
            <a:rPr lang="th-TH" sz="11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- ด้านส่งเสริมความสัมพันธ์ระหว่าง</a:t>
          </a:r>
          <a:r>
            <a:rPr lang="th-TH" sz="1100" b="1" kern="1200" baseline="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ประเทศ</a:t>
          </a:r>
          <a:r>
            <a:rPr lang="th-TH" sz="11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/>
          </a:r>
          <a:br>
            <a:rPr lang="th-TH" sz="11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</a:br>
          <a:r>
            <a:rPr lang="th-TH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(แบ่งเป็น 5 โครงการ งปม.) </a:t>
          </a:r>
          <a:endParaRPr lang="en-US" sz="11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 xmlns:a="http://schemas.openxmlformats.org/drawingml/2006/main">
          <a:pPr fontAlgn="base">
            <a:lnSpc>
              <a:spcPts val="1100"/>
            </a:lnSpc>
            <a:spcAft>
              <a:spcPts val="0"/>
            </a:spcAft>
          </a:pPr>
          <a:r>
            <a:rPr lang="th-TH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3,</a:t>
          </a:r>
          <a:r>
            <a:rPr lang="en-US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559</a:t>
          </a:r>
          <a:r>
            <a:rPr lang="th-TH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.558</a:t>
          </a:r>
          <a:r>
            <a:rPr lang="en-US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,</a:t>
          </a:r>
          <a:r>
            <a:rPr lang="th-TH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0</a:t>
          </a:r>
          <a:r>
            <a:rPr lang="en-US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00 </a:t>
          </a:r>
          <a:r>
            <a:rPr lang="th-TH" sz="1100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บาท </a:t>
          </a:r>
          <a:endParaRPr lang="en-US" sz="11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0.52326</cdr:x>
      <cdr:y>0.74635</cdr:y>
    </cdr:from>
    <cdr:to>
      <cdr:x>0.62435</cdr:x>
      <cdr:y>0.74635</cdr:y>
    </cdr:to>
    <cdr:cxnSp macro="">
      <cdr:nvCxnSpPr>
        <cdr:cNvPr id="29" name="Straight Connector 28">
          <a:extLst xmlns:a="http://schemas.openxmlformats.org/drawingml/2006/main">
            <a:ext uri="{FF2B5EF4-FFF2-40B4-BE49-F238E27FC236}">
              <a16:creationId xmlns:a16="http://schemas.microsoft.com/office/drawing/2014/main" id="{CD5DC975-5D28-4F69-A2C6-C235C317F716}"/>
            </a:ext>
          </a:extLst>
        </cdr:cNvPr>
        <cdr:cNvCxnSpPr/>
      </cdr:nvCxnSpPr>
      <cdr:spPr>
        <a:xfrm xmlns:a="http://schemas.openxmlformats.org/drawingml/2006/main" flipH="1">
          <a:off x="2282630" y="3062897"/>
          <a:ext cx="440787" cy="0"/>
        </a:xfrm>
        <a:prstGeom xmlns:a="http://schemas.openxmlformats.org/drawingml/2006/main" prst="line">
          <a:avLst/>
        </a:prstGeom>
        <a:ln xmlns:a="http://schemas.openxmlformats.org/drawingml/2006/main" w="6350">
          <a:prstDash val="lgDash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0.32657</cdr:x>
      <cdr:y>0.29551</cdr:y>
    </cdr:from>
    <cdr:to>
      <cdr:x>0.36148</cdr:x>
      <cdr:y>0.37733</cdr:y>
    </cdr:to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4719016C-DC8F-4B51-A7F0-B688CB1BD2AD}"/>
            </a:ext>
          </a:extLst>
        </cdr:cNvPr>
        <cdr:cNvCxnSpPr/>
      </cdr:nvCxnSpPr>
      <cdr:spPr>
        <a:xfrm xmlns:a="http://schemas.openxmlformats.org/drawingml/2006/main" flipH="1">
          <a:off x="1554565" y="1277889"/>
          <a:ext cx="166182" cy="353818"/>
        </a:xfrm>
        <a:prstGeom xmlns:a="http://schemas.openxmlformats.org/drawingml/2006/main" prst="line">
          <a:avLst/>
        </a:prstGeom>
        <a:ln xmlns:a="http://schemas.openxmlformats.org/drawingml/2006/main" w="6350"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0.24978</cdr:x>
      <cdr:y>0.2768</cdr:y>
    </cdr:from>
    <cdr:to>
      <cdr:x>0.31811</cdr:x>
      <cdr:y>0.3837</cdr:y>
    </cdr:to>
    <cdr:cxnSp macro="">
      <cdr:nvCxnSpPr>
        <cdr:cNvPr id="34" name="Straight Connector 33">
          <a:extLst xmlns:a="http://schemas.openxmlformats.org/drawingml/2006/main">
            <a:ext uri="{FF2B5EF4-FFF2-40B4-BE49-F238E27FC236}">
              <a16:creationId xmlns:a16="http://schemas.microsoft.com/office/drawing/2014/main" id="{E855C28A-07F2-4310-8AEE-4AB09D35E809}"/>
            </a:ext>
          </a:extLst>
        </cdr:cNvPr>
        <cdr:cNvCxnSpPr/>
      </cdr:nvCxnSpPr>
      <cdr:spPr>
        <a:xfrm xmlns:a="http://schemas.openxmlformats.org/drawingml/2006/main">
          <a:off x="1189012" y="1196980"/>
          <a:ext cx="325271" cy="462273"/>
        </a:xfrm>
        <a:prstGeom xmlns:a="http://schemas.openxmlformats.org/drawingml/2006/main" prst="line">
          <a:avLst/>
        </a:prstGeom>
        <a:ln xmlns:a="http://schemas.openxmlformats.org/drawingml/2006/main" w="6350"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0.11844</cdr:x>
      <cdr:y>0.00489</cdr:y>
    </cdr:from>
    <cdr:to>
      <cdr:x>0.89347</cdr:x>
      <cdr:y>0.12889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1343" y="19675"/>
          <a:ext cx="3337135" cy="493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2000" b="1">
              <a:latin typeface="FreesiaUPC" pitchFamily="34" charset="-34"/>
              <a:cs typeface="FreesiaUPC" pitchFamily="34" charset="-34"/>
            </a:rPr>
            <a:t>จำแนกตามประเภทงบรายจ่าย</a:t>
          </a:r>
        </a:p>
      </cdr:txBody>
    </cdr:sp>
  </cdr:relSizeAnchor>
  <cdr:relSizeAnchor xmlns:cdr="http://schemas.openxmlformats.org/drawingml/2006/chartDrawing">
    <cdr:from>
      <cdr:x>0.25507</cdr:x>
      <cdr:y>0.56212</cdr:y>
    </cdr:from>
    <cdr:to>
      <cdr:x>0.45448</cdr:x>
      <cdr:y>0.80293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55844" y="2320008"/>
          <a:ext cx="825444" cy="993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งบบุคลากร</a:t>
          </a:r>
        </a:p>
        <a:p xmlns:a="http://schemas.openxmlformats.org/drawingml/2006/main">
          <a:pPr algn="ctr" fontAlgn="base"/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2,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772.1412 </a:t>
          </a: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ล้านบาท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(36.69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0.30863</cdr:x>
      <cdr:y>0.17519</cdr:y>
    </cdr:from>
    <cdr:to>
      <cdr:x>0.60051</cdr:x>
      <cdr:y>0.30019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498354" y="739533"/>
          <a:ext cx="1417034" cy="52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fontAlgn="base" hangingPunct="0"/>
          <a:r>
            <a:rPr lang="th-TH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941.3774 ล้านบาท</a:t>
          </a:r>
          <a:endParaRPr lang="en-US" sz="13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eaLnBrk="0" fontAlgn="base" hangingPunct="0"/>
          <a:r>
            <a:rPr lang="th-TH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(12.46</a:t>
          </a:r>
          <a:r>
            <a:rPr lang="en-US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3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0.63019</cdr:x>
      <cdr:y>0.24099</cdr:y>
    </cdr:from>
    <cdr:to>
      <cdr:x>0.94808</cdr:x>
      <cdr:y>0.35553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608627" y="994620"/>
          <a:ext cx="1315865" cy="472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fontAlgn="base" hangingPunct="0"/>
          <a:r>
            <a:rPr lang="th-TH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th-TH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070.9706 ล้านบาท</a:t>
          </a:r>
          <a:endParaRPr lang="en-US" sz="13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eaLnBrk="0" fontAlgn="base" hangingPunct="0"/>
          <a:r>
            <a:rPr lang="th-TH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(14.17</a:t>
          </a:r>
          <a:r>
            <a:rPr lang="en-US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3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3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0.28327</cdr:x>
      <cdr:y>0.35014</cdr:y>
    </cdr:from>
    <cdr:to>
      <cdr:x>0.34499</cdr:x>
      <cdr:y>0.41648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C341AAF-B185-479D-BADD-85A1C07C0B28}"/>
            </a:ext>
          </a:extLst>
        </cdr:cNvPr>
        <cdr:cNvCxnSpPr/>
      </cdr:nvCxnSpPr>
      <cdr:spPr>
        <a:xfrm xmlns:a="http://schemas.openxmlformats.org/drawingml/2006/main">
          <a:off x="1172569" y="1445098"/>
          <a:ext cx="255486" cy="273800"/>
        </a:xfrm>
        <a:prstGeom xmlns:a="http://schemas.openxmlformats.org/drawingml/2006/main" prst="line">
          <a:avLst/>
        </a:prstGeom>
        <a:ln xmlns:a="http://schemas.openxmlformats.org/drawingml/2006/main" w="6350"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0.48788</cdr:x>
      <cdr:y>0.44658</cdr:y>
    </cdr:from>
    <cdr:to>
      <cdr:x>0.72487</cdr:x>
      <cdr:y>0.50554</cdr:y>
    </cdr:to>
    <cdr:sp macro="" textlink="">
      <cdr:nvSpPr>
        <cdr:cNvPr id="10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9678440">
          <a:off x="2019562" y="1843124"/>
          <a:ext cx="981004" cy="243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noAutofit/>
        </a:bodyPr>
        <a:lstStyle xmlns:a="http://schemas.openxmlformats.org/drawingml/2006/main"/>
        <a:p xmlns:a="http://schemas.openxmlformats.org/drawingml/2006/main">
          <a:pPr algn="ctr" eaLnBrk="0" fontAlgn="base" hangingPunct="0">
            <a:spcAft>
              <a:spcPts val="0"/>
            </a:spcAft>
          </a:pPr>
          <a:r>
            <a:rPr lang="th-TH" sz="14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งบรายจ่ายอื่น</a:t>
          </a:r>
          <a:endParaRPr lang="en-US" sz="14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0.51667</cdr:x>
      <cdr:y>0.58573</cdr:y>
    </cdr:from>
    <cdr:to>
      <cdr:x>0.72821</cdr:x>
      <cdr:y>0.85139</cdr:y>
    </cdr:to>
    <cdr:sp macro="" textlink="">
      <cdr:nvSpPr>
        <cdr:cNvPr id="11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8710" y="2417426"/>
          <a:ext cx="875655" cy="1096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fontAlgn="base"/>
          <a:r>
            <a:rPr lang="th-TH" sz="14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งบดำเนินงาน  </a:t>
          </a:r>
          <a:r>
            <a:rPr lang="en-US" sz="14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/>
          </a:r>
          <a:br>
            <a:rPr lang="en-US" sz="14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</a:b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2,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414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2751 </a:t>
          </a: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ล้านบาท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fontAlgn="base"/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95</a:t>
          </a:r>
          <a:r>
            <a:rPr lang="en-US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%</a:t>
          </a: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 xmlns:a="http://schemas.openxmlformats.org/drawingml/2006/main">
          <a:pPr algn="ctr" eaLnBrk="0" fontAlgn="base" hangingPunct="0">
            <a:spcAft>
              <a:spcPts val="0"/>
            </a:spcAft>
          </a:pPr>
          <a:endParaRPr lang="en-US" sz="14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0.39651</cdr:x>
      <cdr:y>0.3486</cdr:y>
    </cdr:from>
    <cdr:to>
      <cdr:x>0.54079</cdr:x>
      <cdr:y>0.49599</cdr:y>
    </cdr:to>
    <cdr:sp macro="" textlink="">
      <cdr:nvSpPr>
        <cdr:cNvPr id="12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310" y="1438748"/>
          <a:ext cx="597258" cy="608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fontAlgn="base" hangingPunct="0">
            <a:spcAft>
              <a:spcPts val="0"/>
            </a:spcAft>
          </a:pPr>
          <a:r>
            <a:rPr lang="th-TH" sz="14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งบเงิน</a:t>
          </a:r>
        </a:p>
        <a:p xmlns:a="http://schemas.openxmlformats.org/drawingml/2006/main">
          <a:pPr algn="ctr" eaLnBrk="0" fontAlgn="base" hangingPunct="0">
            <a:spcAft>
              <a:spcPts val="0"/>
            </a:spcAft>
          </a:pPr>
          <a:r>
            <a:rPr lang="th-TH" sz="14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อุดหนุน</a:t>
          </a:r>
          <a:endParaRPr lang="en-US" sz="14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0.04847</cdr:x>
      <cdr:y>0.20681</cdr:y>
    </cdr:from>
    <cdr:to>
      <cdr:x>0.31529</cdr:x>
      <cdr:y>0.36842</cdr:y>
    </cdr:to>
    <cdr:sp macro="" textlink="">
      <cdr:nvSpPr>
        <cdr:cNvPr id="13" name="Text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638" y="852466"/>
          <a:ext cx="1104479" cy="666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>
          <a:noAutofit/>
        </a:bodyPr>
        <a:lstStyle xmlns:a="http://schemas.openxmlformats.org/drawingml/2006/main"/>
        <a:p xmlns:a="http://schemas.openxmlformats.org/drawingml/2006/main">
          <a:pPr marL="0" marR="0" indent="0" algn="ctr" defTabSz="914400" eaLnBrk="1" fontAlgn="base" latinLnBrk="0" hangingPunct="1">
            <a:lnSpc>
              <a:spcPts val="17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งบลงทุน   </a:t>
          </a:r>
          <a:r>
            <a:rPr lang="en-US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th-TH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57</a:t>
          </a:r>
          <a:r>
            <a:rPr lang="en-US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7256</a:t>
          </a:r>
          <a:r>
            <a:rPr lang="th-TH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 ล้านบาท</a:t>
          </a:r>
          <a:endParaRPr lang="en-US" sz="13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  <a:p xmlns:a="http://schemas.openxmlformats.org/drawingml/2006/main">
          <a:pPr algn="ctr" fontAlgn="base">
            <a:lnSpc>
              <a:spcPts val="1700"/>
            </a:lnSpc>
            <a:spcAft>
              <a:spcPts val="0"/>
            </a:spcAft>
          </a:pPr>
          <a:r>
            <a:rPr lang="th-TH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(</a:t>
          </a:r>
          <a:r>
            <a:rPr lang="en-US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4.</a:t>
          </a:r>
          <a:r>
            <a:rPr lang="th-TH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73</a:t>
          </a:r>
          <a:r>
            <a:rPr lang="en-US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%</a:t>
          </a:r>
          <a:r>
            <a:rPr lang="th-TH" sz="1300" b="1" kern="1200">
              <a:solidFill>
                <a:srgbClr val="000000"/>
              </a:solidFill>
              <a:effectLst/>
              <a:latin typeface="TH SarabunPSK" panose="020B0500040200020003" pitchFamily="34" charset="-34"/>
              <a:ea typeface="Times New Roman" panose="02020603050405020304" pitchFamily="18" charset="0"/>
              <a:cs typeface="TH SarabunPSK" panose="020B0500040200020003" pitchFamily="34" charset="-34"/>
            </a:rPr>
            <a:t>)</a:t>
          </a:r>
          <a:endParaRPr lang="en-US" sz="1300">
            <a:effectLst/>
            <a:latin typeface="TH SarabunPSK" panose="020B0500040200020003" pitchFamily="34" charset="-34"/>
            <a:ea typeface="Times New Roman" panose="02020603050405020304" pitchFamily="18" charset="0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0.44286</cdr:x>
      <cdr:y>0.30135</cdr:y>
    </cdr:from>
    <cdr:to>
      <cdr:x>0.45274</cdr:x>
      <cdr:y>0.36058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2FEC17C-9869-439E-8A54-CE44BC70A1AF}"/>
            </a:ext>
          </a:extLst>
        </cdr:cNvPr>
        <cdr:cNvCxnSpPr/>
      </cdr:nvCxnSpPr>
      <cdr:spPr>
        <a:xfrm xmlns:a="http://schemas.openxmlformats.org/drawingml/2006/main">
          <a:off x="1882183" y="1304032"/>
          <a:ext cx="41990" cy="256303"/>
        </a:xfrm>
        <a:prstGeom xmlns:a="http://schemas.openxmlformats.org/drawingml/2006/main" prst="line">
          <a:avLst/>
        </a:prstGeom>
        <a:ln xmlns:a="http://schemas.openxmlformats.org/drawingml/2006/main" w="6350"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0.64637</cdr:x>
      <cdr:y>0.35487</cdr:y>
    </cdr:from>
    <cdr:to>
      <cdr:x>0.71135</cdr:x>
      <cdr:y>0.40456</cdr:y>
    </cdr:to>
    <cdr:cxnSp macro="">
      <cdr:nvCxnSpPr>
        <cdr:cNvPr id="14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11F452FD-2290-4E17-8D7D-5F07DA70F536}"/>
            </a:ext>
          </a:extLst>
        </cdr:cNvPr>
        <cdr:cNvCxnSpPr/>
      </cdr:nvCxnSpPr>
      <cdr:spPr>
        <a:xfrm xmlns:a="http://schemas.openxmlformats.org/drawingml/2006/main" flipV="1">
          <a:off x="2747108" y="1535629"/>
          <a:ext cx="276172" cy="215017"/>
        </a:xfrm>
        <a:prstGeom xmlns:a="http://schemas.openxmlformats.org/drawingml/2006/main" prst="line">
          <a:avLst/>
        </a:prstGeom>
        <a:ln xmlns:a="http://schemas.openxmlformats.org/drawingml/2006/main" w="6350">
          <a:prstDash val="soli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84137</xdr:rowOff>
    </xdr:from>
    <xdr:to>
      <xdr:col>12</xdr:col>
      <xdr:colOff>19050</xdr:colOff>
      <xdr:row>9</xdr:row>
      <xdr:rowOff>144853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379537"/>
          <a:ext cx="9201150" cy="71794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indent="0" algn="ctr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แผนภูมิแท่งแสดง</a:t>
          </a:r>
          <a:r>
            <a:rPr lang="en-US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ข้อมูลคำของ</a:t>
          </a: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</a:t>
          </a:r>
          <a:r>
            <a:rPr lang="en-US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ประมาณ งบประมาณที่ได้รับจัดสรรและผลการเบิกจ่าย</a:t>
          </a: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ระหว่างปีงบประมาณ 256</a:t>
          </a: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– 256</a:t>
          </a: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  <a:r>
            <a:rPr lang="en-US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(ภาพรวมงบประมาณ)</a:t>
          </a:r>
        </a:p>
      </xdr:txBody>
    </xdr:sp>
    <xdr:clientData/>
  </xdr:twoCellAnchor>
  <xdr:twoCellAnchor>
    <xdr:from>
      <xdr:col>0</xdr:col>
      <xdr:colOff>66675</xdr:colOff>
      <xdr:row>9</xdr:row>
      <xdr:rowOff>38100</xdr:rowOff>
    </xdr:from>
    <xdr:to>
      <xdr:col>11</xdr:col>
      <xdr:colOff>200025</xdr:colOff>
      <xdr:row>25</xdr:row>
      <xdr:rowOff>0</xdr:rowOff>
    </xdr:to>
    <xdr:graphicFrame macro="">
      <xdr:nvGraphicFramePr>
        <xdr:cNvPr id="3" name="Chart 2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524174</xdr:colOff>
      <xdr:row>15</xdr:row>
      <xdr:rowOff>37540</xdr:rowOff>
    </xdr:from>
    <xdr:to>
      <xdr:col>2</xdr:col>
      <xdr:colOff>211767</xdr:colOff>
      <xdr:row>16</xdr:row>
      <xdr:rowOff>153795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324274" y="3533215"/>
          <a:ext cx="640093" cy="373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คำขอ</a:t>
          </a:r>
        </a:p>
      </xdr:txBody>
    </xdr:sp>
    <xdr:clientData/>
  </xdr:twoCellAnchor>
  <xdr:twoCellAnchor>
    <xdr:from>
      <xdr:col>2</xdr:col>
      <xdr:colOff>227442</xdr:colOff>
      <xdr:row>18</xdr:row>
      <xdr:rowOff>206076</xdr:rowOff>
    </xdr:from>
    <xdr:to>
      <xdr:col>2</xdr:col>
      <xdr:colOff>852305</xdr:colOff>
      <xdr:row>20</xdr:row>
      <xdr:rowOff>70290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980042" y="4473276"/>
          <a:ext cx="624863" cy="37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จัดสรร</a:t>
          </a:r>
        </a:p>
      </xdr:txBody>
    </xdr:sp>
    <xdr:clientData/>
  </xdr:twoCellAnchor>
  <xdr:twoCellAnchor>
    <xdr:from>
      <xdr:col>2</xdr:col>
      <xdr:colOff>912756</xdr:colOff>
      <xdr:row>19</xdr:row>
      <xdr:rowOff>5043</xdr:rowOff>
    </xdr:from>
    <xdr:to>
      <xdr:col>3</xdr:col>
      <xdr:colOff>659524</xdr:colOff>
      <xdr:row>20</xdr:row>
      <xdr:rowOff>121298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665356" y="4529418"/>
          <a:ext cx="699268" cy="373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เบิกจ่าย</a:t>
          </a:r>
        </a:p>
      </xdr:txBody>
    </xdr:sp>
    <xdr:clientData/>
  </xdr:twoCellAnchor>
  <xdr:twoCellAnchor>
    <xdr:from>
      <xdr:col>4</xdr:col>
      <xdr:colOff>45944</xdr:colOff>
      <xdr:row>14</xdr:row>
      <xdr:rowOff>150943</xdr:rowOff>
    </xdr:from>
    <xdr:to>
      <xdr:col>4</xdr:col>
      <xdr:colOff>673338</xdr:colOff>
      <xdr:row>16</xdr:row>
      <xdr:rowOff>6252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703544" y="3389443"/>
          <a:ext cx="627394" cy="36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คำขอ</a:t>
          </a:r>
        </a:p>
      </xdr:txBody>
    </xdr:sp>
    <xdr:clientData/>
  </xdr:twoCellAnchor>
  <xdr:twoCellAnchor>
    <xdr:from>
      <xdr:col>4</xdr:col>
      <xdr:colOff>701787</xdr:colOff>
      <xdr:row>18</xdr:row>
      <xdr:rowOff>144780</xdr:rowOff>
    </xdr:from>
    <xdr:to>
      <xdr:col>5</xdr:col>
      <xdr:colOff>472831</xdr:colOff>
      <xdr:row>20</xdr:row>
      <xdr:rowOff>89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4359387" y="4411980"/>
          <a:ext cx="637819" cy="36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จัดสรร</a:t>
          </a:r>
        </a:p>
      </xdr:txBody>
    </xdr:sp>
    <xdr:clientData/>
  </xdr:twoCellAnchor>
  <xdr:twoCellAnchor>
    <xdr:from>
      <xdr:col>7</xdr:col>
      <xdr:colOff>17836</xdr:colOff>
      <xdr:row>16</xdr:row>
      <xdr:rowOff>117605</xdr:rowOff>
    </xdr:from>
    <xdr:to>
      <xdr:col>8</xdr:col>
      <xdr:colOff>40156</xdr:colOff>
      <xdr:row>17</xdr:row>
      <xdr:rowOff>231905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6104311" y="3870455"/>
          <a:ext cx="62239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คำขอ</a:t>
          </a:r>
        </a:p>
      </xdr:txBody>
    </xdr:sp>
    <xdr:clientData/>
  </xdr:twoCellAnchor>
  <xdr:twoCellAnchor>
    <xdr:from>
      <xdr:col>8</xdr:col>
      <xdr:colOff>75826</xdr:colOff>
      <xdr:row>18</xdr:row>
      <xdr:rowOff>214481</xdr:rowOff>
    </xdr:from>
    <xdr:to>
      <xdr:col>9</xdr:col>
      <xdr:colOff>104401</xdr:colOff>
      <xdr:row>20</xdr:row>
      <xdr:rowOff>77261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762376" y="4481681"/>
          <a:ext cx="628650" cy="377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จัดสรร</a:t>
          </a:r>
        </a:p>
      </xdr:txBody>
    </xdr:sp>
    <xdr:clientData/>
  </xdr:twoCellAnchor>
  <xdr:twoCellAnchor>
    <xdr:from>
      <xdr:col>0</xdr:col>
      <xdr:colOff>353658</xdr:colOff>
      <xdr:row>9</xdr:row>
      <xdr:rowOff>93793</xdr:rowOff>
    </xdr:from>
    <xdr:to>
      <xdr:col>1</xdr:col>
      <xdr:colOff>472491</xdr:colOff>
      <xdr:row>10</xdr:row>
      <xdr:rowOff>233668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353658" y="2046418"/>
          <a:ext cx="918933" cy="397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ล้านบาท</a:t>
          </a:r>
        </a:p>
      </xdr:txBody>
    </xdr:sp>
    <xdr:clientData/>
  </xdr:twoCellAnchor>
  <xdr:twoCellAnchor>
    <xdr:from>
      <xdr:col>5</xdr:col>
      <xdr:colOff>449281</xdr:colOff>
      <xdr:row>18</xdr:row>
      <xdr:rowOff>82364</xdr:rowOff>
    </xdr:from>
    <xdr:to>
      <xdr:col>6</xdr:col>
      <xdr:colOff>308205</xdr:colOff>
      <xdr:row>21</xdr:row>
      <xdr:rowOff>8688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973656" y="4349564"/>
          <a:ext cx="820949" cy="697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0">
              <a:latin typeface="FreesiaUPC" panose="020B0604020202020204" pitchFamily="34" charset="-34"/>
              <a:cs typeface="FreesiaUPC" panose="020B0604020202020204" pitchFamily="34" charset="-34"/>
            </a:rPr>
            <a:t>เบิกจ่าย </a:t>
          </a:r>
        </a:p>
      </xdr:txBody>
    </xdr:sp>
    <xdr:clientData/>
  </xdr:twoCellAnchor>
  <xdr:twoCellAnchor>
    <xdr:from>
      <xdr:col>2</xdr:col>
      <xdr:colOff>209550</xdr:colOff>
      <xdr:row>12</xdr:row>
      <xdr:rowOff>128905</xdr:rowOff>
    </xdr:from>
    <xdr:to>
      <xdr:col>3</xdr:col>
      <xdr:colOff>889733</xdr:colOff>
      <xdr:row>14</xdr:row>
      <xdr:rowOff>113031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962150" y="2853055"/>
          <a:ext cx="1632683" cy="498476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เป้าหมายการเบิกจ่ายของ </a:t>
          </a:r>
        </a:p>
        <a:p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รบ. 100% หรือ 8,156.36 ลบ.</a:t>
          </a:r>
        </a:p>
      </xdr:txBody>
    </xdr:sp>
    <xdr:clientData/>
  </xdr:twoCellAnchor>
  <xdr:twoCellAnchor>
    <xdr:from>
      <xdr:col>2</xdr:col>
      <xdr:colOff>217170</xdr:colOff>
      <xdr:row>16</xdr:row>
      <xdr:rowOff>72390</xdr:rowOff>
    </xdr:from>
    <xdr:to>
      <xdr:col>3</xdr:col>
      <xdr:colOff>693420</xdr:colOff>
      <xdr:row>16</xdr:row>
      <xdr:rowOff>72390</xdr:rowOff>
    </xdr:to>
    <xdr:sp macro="" textlink="">
      <xdr:nvSpPr>
        <xdr:cNvPr id="14" name="Straight Connector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1969770" y="3825240"/>
          <a:ext cx="1428750" cy="0"/>
        </a:xfrm>
        <a:prstGeom prst="line">
          <a:avLst/>
        </a:prstGeom>
        <a:noFill/>
        <a:ln w="6350" algn="ctr">
          <a:solidFill>
            <a:srgbClr val="BE4B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5</xdr:col>
      <xdr:colOff>448160</xdr:colOff>
      <xdr:row>19</xdr:row>
      <xdr:rowOff>50089</xdr:rowOff>
    </xdr:from>
    <xdr:to>
      <xdr:col>6</xdr:col>
      <xdr:colOff>307084</xdr:colOff>
      <xdr:row>21</xdr:row>
      <xdr:rowOff>242521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972535" y="4574464"/>
          <a:ext cx="820949" cy="706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2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689611</xdr:colOff>
      <xdr:row>12</xdr:row>
      <xdr:rowOff>229386</xdr:rowOff>
    </xdr:from>
    <xdr:to>
      <xdr:col>6</xdr:col>
      <xdr:colOff>396243</xdr:colOff>
      <xdr:row>14</xdr:row>
      <xdr:rowOff>203878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4347211" y="2953536"/>
          <a:ext cx="1535432" cy="4888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เป้าหมายการเบิกจ่ายของ </a:t>
          </a:r>
          <a:endParaRPr lang="en-US" sz="1400" b="0" i="0" u="none" strike="noStrike" baseline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รบ. 10</a:t>
          </a:r>
          <a:r>
            <a:rPr lang="en-US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0%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 7</a:t>
          </a:r>
          <a:r>
            <a:rPr lang="en-US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406</a:t>
          </a:r>
          <a:r>
            <a:rPr lang="en-US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49</a:t>
          </a:r>
          <a:r>
            <a:rPr lang="en-US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0" i="0" u="none" strike="noStrik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ลบ.</a:t>
          </a:r>
          <a:endParaRPr lang="en-US" sz="1400" b="0" i="0" u="none" strike="noStrike" baseline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8</xdr:col>
      <xdr:colOff>510540</xdr:colOff>
      <xdr:row>8</xdr:row>
      <xdr:rowOff>28575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719709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4</xdr:col>
      <xdr:colOff>702945</xdr:colOff>
      <xdr:row>16</xdr:row>
      <xdr:rowOff>234315</xdr:rowOff>
    </xdr:from>
    <xdr:to>
      <xdr:col>6</xdr:col>
      <xdr:colOff>302895</xdr:colOff>
      <xdr:row>16</xdr:row>
      <xdr:rowOff>234315</xdr:rowOff>
    </xdr:to>
    <xdr:sp macro="" textlink="">
      <xdr:nvSpPr>
        <xdr:cNvPr id="19" name="Straight Connector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4360545" y="4139565"/>
          <a:ext cx="1428750" cy="0"/>
        </a:xfrm>
        <a:prstGeom prst="line">
          <a:avLst/>
        </a:prstGeom>
        <a:noFill/>
        <a:ln w="6350" algn="ctr">
          <a:solidFill>
            <a:srgbClr val="BE4B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2</xdr:col>
      <xdr:colOff>200026</xdr:colOff>
      <xdr:row>5</xdr:row>
      <xdr:rowOff>224155</xdr:rowOff>
    </xdr:from>
    <xdr:to>
      <xdr:col>3</xdr:col>
      <xdr:colOff>66676</xdr:colOff>
      <xdr:row>6</xdr:row>
      <xdr:rowOff>38100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952626" y="1395730"/>
          <a:ext cx="819150" cy="290195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th-TH" sz="12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31 ก.ค. 65)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76200</xdr:rowOff>
    </xdr:from>
    <xdr:to>
      <xdr:col>11</xdr:col>
      <xdr:colOff>152400</xdr:colOff>
      <xdr:row>25</xdr:row>
      <xdr:rowOff>114300</xdr:rowOff>
    </xdr:to>
    <xdr:graphicFrame macro="">
      <xdr:nvGraphicFramePr>
        <xdr:cNvPr id="2" name="Chart 3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233321</xdr:colOff>
      <xdr:row>16</xdr:row>
      <xdr:rowOff>170788</xdr:rowOff>
    </xdr:from>
    <xdr:to>
      <xdr:col>1</xdr:col>
      <xdr:colOff>856160</xdr:colOff>
      <xdr:row>18</xdr:row>
      <xdr:rowOff>26270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861971" y="3752188"/>
          <a:ext cx="622839" cy="369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คำขอ</a:t>
          </a:r>
        </a:p>
      </xdr:txBody>
    </xdr:sp>
    <xdr:clientData/>
  </xdr:twoCellAnchor>
  <xdr:twoCellAnchor>
    <xdr:from>
      <xdr:col>1</xdr:col>
      <xdr:colOff>946326</xdr:colOff>
      <xdr:row>17</xdr:row>
      <xdr:rowOff>215733</xdr:rowOff>
    </xdr:from>
    <xdr:to>
      <xdr:col>2</xdr:col>
      <xdr:colOff>624756</xdr:colOff>
      <xdr:row>20</xdr:row>
      <xdr:rowOff>88079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94026" y="3926673"/>
          <a:ext cx="729990" cy="603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จัดสรร</a:t>
          </a:r>
        </a:p>
      </xdr:txBody>
    </xdr:sp>
    <xdr:clientData/>
  </xdr:twoCellAnchor>
  <xdr:twoCellAnchor>
    <xdr:from>
      <xdr:col>2</xdr:col>
      <xdr:colOff>575406</xdr:colOff>
      <xdr:row>20</xdr:row>
      <xdr:rowOff>242204</xdr:rowOff>
    </xdr:from>
    <xdr:to>
      <xdr:col>3</xdr:col>
      <xdr:colOff>327756</xdr:colOff>
      <xdr:row>23</xdr:row>
      <xdr:rowOff>101379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223231" y="4852304"/>
          <a:ext cx="762000" cy="63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เบิกจ่าย</a:t>
          </a:r>
        </a:p>
      </xdr:txBody>
    </xdr:sp>
    <xdr:clientData/>
  </xdr:twoCellAnchor>
  <xdr:twoCellAnchor>
    <xdr:from>
      <xdr:col>3</xdr:col>
      <xdr:colOff>846349</xdr:colOff>
      <xdr:row>16</xdr:row>
      <xdr:rowOff>195746</xdr:rowOff>
    </xdr:from>
    <xdr:to>
      <xdr:col>4</xdr:col>
      <xdr:colOff>509244</xdr:colOff>
      <xdr:row>18</xdr:row>
      <xdr:rowOff>57559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503824" y="3777146"/>
          <a:ext cx="615395" cy="376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คำขอ</a:t>
          </a:r>
        </a:p>
      </xdr:txBody>
    </xdr:sp>
    <xdr:clientData/>
  </xdr:twoCellAnchor>
  <xdr:twoCellAnchor>
    <xdr:from>
      <xdr:col>4</xdr:col>
      <xdr:colOff>620051</xdr:colOff>
      <xdr:row>19</xdr:row>
      <xdr:rowOff>67643</xdr:rowOff>
    </xdr:from>
    <xdr:to>
      <xdr:col>5</xdr:col>
      <xdr:colOff>374293</xdr:colOff>
      <xdr:row>20</xdr:row>
      <xdr:rowOff>185226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4338611" y="4266263"/>
          <a:ext cx="645782" cy="361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จัดสรร</a:t>
          </a:r>
        </a:p>
      </xdr:txBody>
    </xdr:sp>
    <xdr:clientData/>
  </xdr:twoCellAnchor>
  <xdr:twoCellAnchor>
    <xdr:from>
      <xdr:col>5</xdr:col>
      <xdr:colOff>411480</xdr:colOff>
      <xdr:row>21</xdr:row>
      <xdr:rowOff>229722</xdr:rowOff>
    </xdr:from>
    <xdr:to>
      <xdr:col>6</xdr:col>
      <xdr:colOff>155366</xdr:colOff>
      <xdr:row>24</xdr:row>
      <xdr:rowOff>30480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888230" y="5096997"/>
          <a:ext cx="705911" cy="572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เบิกจ่าย </a:t>
          </a:r>
          <a:b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th-TH" sz="11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58112</xdr:colOff>
      <xdr:row>17</xdr:row>
      <xdr:rowOff>1686</xdr:rowOff>
    </xdr:from>
    <xdr:to>
      <xdr:col>8</xdr:col>
      <xdr:colOff>96301</xdr:colOff>
      <xdr:row>18</xdr:row>
      <xdr:rowOff>106159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096962" y="3840261"/>
          <a:ext cx="638264" cy="361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คำขอ</a:t>
          </a:r>
        </a:p>
      </xdr:txBody>
    </xdr:sp>
    <xdr:clientData/>
  </xdr:twoCellAnchor>
  <xdr:twoCellAnchor>
    <xdr:from>
      <xdr:col>8</xdr:col>
      <xdr:colOff>189606</xdr:colOff>
      <xdr:row>19</xdr:row>
      <xdr:rowOff>160676</xdr:rowOff>
    </xdr:from>
    <xdr:to>
      <xdr:col>9</xdr:col>
      <xdr:colOff>208712</xdr:colOff>
      <xdr:row>21</xdr:row>
      <xdr:rowOff>18349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6828531" y="4513601"/>
          <a:ext cx="619181" cy="372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0">
              <a:latin typeface="TH SarabunPSK" panose="020B0500040200020003" pitchFamily="34" charset="-34"/>
              <a:cs typeface="TH SarabunPSK" panose="020B0500040200020003" pitchFamily="34" charset="-34"/>
            </a:rPr>
            <a:t>จัดสรร</a:t>
          </a:r>
        </a:p>
      </xdr:txBody>
    </xdr:sp>
    <xdr:clientData/>
  </xdr:twoCellAnchor>
  <xdr:twoCellAnchor>
    <xdr:from>
      <xdr:col>4</xdr:col>
      <xdr:colOff>666750</xdr:colOff>
      <xdr:row>19</xdr:row>
      <xdr:rowOff>66675</xdr:rowOff>
    </xdr:from>
    <xdr:to>
      <xdr:col>7</xdr:col>
      <xdr:colOff>238125</xdr:colOff>
      <xdr:row>20</xdr:row>
      <xdr:rowOff>57150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4276725" y="4505325"/>
          <a:ext cx="2000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372745</xdr:colOff>
      <xdr:row>64</xdr:row>
      <xdr:rowOff>245745</xdr:rowOff>
    </xdr:from>
    <xdr:to>
      <xdr:col>21</xdr:col>
      <xdr:colOff>363837</xdr:colOff>
      <xdr:row>64</xdr:row>
      <xdr:rowOff>245745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13602970" y="16352520"/>
          <a:ext cx="1791317" cy="0"/>
        </a:xfrm>
        <a:prstGeom prst="line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591303</xdr:colOff>
      <xdr:row>19</xdr:row>
      <xdr:rowOff>22834</xdr:rowOff>
    </xdr:from>
    <xdr:to>
      <xdr:col>6</xdr:col>
      <xdr:colOff>68185</xdr:colOff>
      <xdr:row>19</xdr:row>
      <xdr:rowOff>24739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4201278" y="4699609"/>
          <a:ext cx="1305682" cy="1905"/>
        </a:xfrm>
        <a:prstGeom prst="line">
          <a:avLst/>
        </a:prstGeom>
        <a:ln w="63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936808</xdr:colOff>
      <xdr:row>17</xdr:row>
      <xdr:rowOff>156889</xdr:rowOff>
    </xdr:from>
    <xdr:to>
      <xdr:col>3</xdr:col>
      <xdr:colOff>280049</xdr:colOff>
      <xdr:row>17</xdr:row>
      <xdr:rowOff>156889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1565458" y="3995464"/>
          <a:ext cx="1372066" cy="0"/>
        </a:xfrm>
        <a:prstGeom prst="line">
          <a:avLst/>
        </a:prstGeom>
        <a:ln w="63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39342</xdr:colOff>
      <xdr:row>7</xdr:row>
      <xdr:rowOff>6361</xdr:rowOff>
    </xdr:from>
    <xdr:to>
      <xdr:col>12</xdr:col>
      <xdr:colOff>39342</xdr:colOff>
      <xdr:row>9</xdr:row>
      <xdr:rowOff>140782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39342" y="1387486"/>
          <a:ext cx="9258300" cy="60114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indent="0" algn="ctr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แผนภูมิแท่งแสดง</a:t>
          </a:r>
          <a: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ข้อมูลคำขอประมาณ งบประมาณที่ได้รับจัดสรรและผลการเบิกจ่าย</a:t>
          </a:r>
          <a:b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ระหว่างปีงบประมาณ 25</a:t>
          </a:r>
          <a:r>
            <a:rPr lang="en-US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– 2566</a:t>
          </a:r>
          <a:r>
            <a:rPr lang="th-TH" sz="1800" b="1" baseline="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(รายจ่ายลงทุน)</a:t>
          </a:r>
          <a:endParaRPr lang="en-US" sz="1800" b="1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algn="ctr" rtl="0">
            <a:defRPr sz="1000"/>
          </a:pPr>
          <a:endParaRPr lang="en-US" sz="2400" b="1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8</xdr:col>
      <xdr:colOff>474345</xdr:colOff>
      <xdr:row>8</xdr:row>
      <xdr:rowOff>19050</xdr:rowOff>
    </xdr:from>
    <xdr:ext cx="184731" cy="27229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7113270" y="1657350"/>
          <a:ext cx="184731" cy="2722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257176</xdr:colOff>
      <xdr:row>5</xdr:row>
      <xdr:rowOff>219075</xdr:rowOff>
    </xdr:from>
    <xdr:to>
      <xdr:col>3</xdr:col>
      <xdr:colOff>66676</xdr:colOff>
      <xdr:row>6</xdr:row>
      <xdr:rowOff>33020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905001" y="1419225"/>
          <a:ext cx="819150" cy="290195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th-TH" sz="12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31 ก.ค. 65)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0.19719</cdr:x>
      <cdr:y>0.79036</cdr:y>
    </cdr:from>
    <cdr:to>
      <cdr:x>0.4323</cdr:x>
      <cdr:y>0.86905</cdr:y>
    </cdr:to>
    <cdr:sp macro="" textlink="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6037" y="3295328"/>
          <a:ext cx="1995080" cy="329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 upright="1"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0.49132</cdr:x>
      <cdr:y>0.43892</cdr:y>
    </cdr:from>
    <cdr:to>
      <cdr:x>0.67122</cdr:x>
      <cdr:y>0.56701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0375" y="1831133"/>
          <a:ext cx="1523344" cy="534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400"/>
            </a:lnSpc>
          </a:pPr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เป้าหมายการเบิกจ่ายของ </a:t>
          </a:r>
        </a:p>
        <a:p xmlns:a="http://schemas.openxmlformats.org/drawingml/2006/main">
          <a:pPr>
            <a:lnSpc>
              <a:spcPts val="1400"/>
            </a:lnSpc>
          </a:pPr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รบ.</a:t>
          </a:r>
          <a:r>
            <a:rPr lang="th-TH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100%</a:t>
          </a:r>
          <a:r>
            <a:rPr lang="th-TH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 </a:t>
          </a:r>
          <a:r>
            <a:rPr lang="en-US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304.1</a:t>
          </a:r>
          <a:r>
            <a:rPr lang="th-TH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ลบ.</a:t>
          </a:r>
          <a:endParaRPr lang="en-US" sz="14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  <cdr:relSizeAnchor xmlns:cdr="http://schemas.openxmlformats.org/drawingml/2006/chartDrawing">
    <cdr:from>
      <cdr:x>0.1714</cdr:x>
      <cdr:y>0.32936</cdr:y>
    </cdr:from>
    <cdr:to>
      <cdr:x>0.40513</cdr:x>
      <cdr:y>0.45745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370" y="1374080"/>
          <a:ext cx="1979161" cy="534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เป้าหมายการเบิกจ่ายของ </a:t>
          </a:r>
        </a:p>
        <a:p xmlns:a="http://schemas.openxmlformats.org/drawingml/2006/main">
          <a:r>
            <a:rPr lang="th-TH" sz="14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รบ.</a:t>
          </a:r>
          <a:r>
            <a:rPr lang="th-TH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100%</a:t>
          </a:r>
          <a:r>
            <a:rPr lang="th-TH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 </a:t>
          </a:r>
          <a:r>
            <a:rPr lang="en-US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397.48 </a:t>
          </a:r>
          <a:r>
            <a:rPr lang="th-TH" sz="14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ลบ.</a:t>
          </a:r>
          <a:endParaRPr lang="en-US" sz="1400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uoffice365-my.sharepoint.com/10.10.92.23/&#3648;&#3619;&#3656;&#3591;&#3619;&#3633;&#3604;&#3648;&#3610;&#3636;&#3585;&#3592;&#3656;&#3634;&#3618;55/koy/&#3648;&#3619;&#3656;&#3591;&#3619;&#3633;&#3604;%2050/&#3588;&#3603;&#3632;&#3585;&#3619;&#3619;&#3617;&#3585;&#3634;&#3619;&#3605;&#3636;&#3604;&#3605;&#3634;&#3617;&#3648;&#3619;&#3656;&#3591;&#3619;&#3633;&#3604;/meeting%202_2550/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A_acloud%2022.02.66/&#3611;&#3637;&#3591;&#3610;&#3611;&#3619;&#3632;&#3617;&#3634;&#3603;%202566%20&#3614;&#3621;&#3634;&#3591;&#3585;&#3656;&#3629;&#3609;/&#3626;&#3606;&#3634;&#3609;&#3632;&#3648;&#3610;&#3636;&#3585;&#3592;&#3656;&#3634;&#3618;%20GFMIS%202566%20&#3614;&#3621;&#3634;&#3591;&#3585;&#3656;&#3629;&#3609;/&#3626;&#3606;&#3634;&#3609;&#3632;&#3648;&#3610;&#3636;&#3585;&#3592;&#3656;&#3634;&#3618;%20&#3614;&#3618;.66/&#3649;&#3610;&#3610;&#3619;&#3623;&#3617;&#3626;&#3606;&#3634;&#3609;&#3632;&#3648;&#3610;&#3636;&#3585;&#3592;&#3656;&#3634;&#3618;%20&#3614;.&#3618;.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ลการเบิกจ่าย พ.ย. 66"/>
      <sheetName val="ผลการเบิกจ่ายสะสม พ.ย. 66"/>
      <sheetName val="เบิกจ่ายตามรหัสกิจกรรมหลัก"/>
      <sheetName val="Cost Centre"/>
    </sheetNames>
    <sheetDataSet>
      <sheetData sheetId="0"/>
      <sheetData sheetId="1">
        <row r="1"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วันที่ออกเอกสาร  :  30/11/2566 เวลา :  13:55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str">
            <v xml:space="preserve">หน่วย : บาท 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 t="str">
            <v>รหัสงบประมาณ</v>
          </cell>
          <cell r="D7" t="str">
            <v>ชื่อรหัสงบประมาณ</v>
          </cell>
          <cell r="E7" t="str">
            <v>รหัสพื้นที่</v>
          </cell>
          <cell r="F7" t="str">
            <v>ชื่อรหัสพื้นที่</v>
          </cell>
          <cell r="G7" t="str">
            <v>รหัสแหล่ง
ของเงิน</v>
          </cell>
          <cell r="H7" t="str">
            <v>ชื่อแหล่งของเงิน</v>
          </cell>
          <cell r="I7">
            <v>0</v>
          </cell>
          <cell r="J7" t="str">
            <v>งบสุทธิ</v>
          </cell>
          <cell r="K7">
            <v>0</v>
          </cell>
          <cell r="L7" t="str">
            <v>การสำรองเงิน</v>
          </cell>
          <cell r="M7" t="str">
            <v>ใบสั่งซื้อ/สัญญา</v>
          </cell>
          <cell r="N7" t="str">
            <v>เบิกจ่าย</v>
          </cell>
        </row>
        <row r="8">
          <cell r="C8" t="str">
            <v>รวมงบประมาณ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4,098,546,596.45</v>
          </cell>
          <cell r="K8">
            <v>0</v>
          </cell>
          <cell r="L8" t="str">
            <v>0.00</v>
          </cell>
          <cell r="M8" t="str">
            <v>77,129,158.53</v>
          </cell>
          <cell r="N8">
            <v>2267653044.1100001</v>
          </cell>
        </row>
        <row r="9">
          <cell r="C9" t="str">
            <v>04002040014705000001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7,663,600.00</v>
          </cell>
          <cell r="K9">
            <v>0</v>
          </cell>
          <cell r="L9" t="str">
            <v>0.00</v>
          </cell>
          <cell r="M9" t="str">
            <v>0.00</v>
          </cell>
          <cell r="N9">
            <v>3102419.81</v>
          </cell>
        </row>
        <row r="10">
          <cell r="C10" t="str">
            <v>04002040014705000001</v>
          </cell>
          <cell r="D10">
            <v>0</v>
          </cell>
          <cell r="E10" t="str">
            <v>P1000</v>
          </cell>
          <cell r="F10" t="str">
            <v>ส่วนกลาง</v>
          </cell>
          <cell r="G10">
            <v>0</v>
          </cell>
          <cell r="H10">
            <v>0</v>
          </cell>
          <cell r="I10">
            <v>0</v>
          </cell>
          <cell r="J10" t="str">
            <v>7,663,600.00</v>
          </cell>
          <cell r="K10">
            <v>0</v>
          </cell>
          <cell r="L10" t="str">
            <v>0.00</v>
          </cell>
          <cell r="M10" t="str">
            <v>0.00</v>
          </cell>
          <cell r="N10">
            <v>3102419.81</v>
          </cell>
        </row>
        <row r="11">
          <cell r="C11" t="str">
            <v>04002040014705000001</v>
          </cell>
          <cell r="D11" t="str">
            <v>ค่าใช้จ่ายในการจัดกิจกรรมสนับสนุนนักศึกษาไทยในต่างประเทศ</v>
          </cell>
          <cell r="E11" t="str">
            <v>P1000</v>
          </cell>
          <cell r="F11" t="str">
            <v>ส่วนกลาง</v>
          </cell>
          <cell r="G11" t="str">
            <v>6711500</v>
          </cell>
          <cell r="H11" t="str">
            <v>งบรายจ่ายอื่น /งบส่วนราชการ</v>
          </cell>
          <cell r="I11">
            <v>0</v>
          </cell>
          <cell r="J11" t="str">
            <v>7,663,600.00</v>
          </cell>
          <cell r="K11">
            <v>0</v>
          </cell>
          <cell r="L11" t="str">
            <v>0.00</v>
          </cell>
          <cell r="M11" t="str">
            <v>0.00</v>
          </cell>
          <cell r="N11">
            <v>3102419.81</v>
          </cell>
        </row>
        <row r="12">
          <cell r="C12" t="str">
            <v>04002040015705000001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929,100.00</v>
          </cell>
          <cell r="K12">
            <v>0</v>
          </cell>
          <cell r="L12" t="str">
            <v>0.00</v>
          </cell>
          <cell r="M12" t="str">
            <v>0.00</v>
          </cell>
          <cell r="N12">
            <v>32251.29</v>
          </cell>
        </row>
        <row r="13">
          <cell r="C13" t="str">
            <v>04002040015705000001</v>
          </cell>
          <cell r="D13">
            <v>0</v>
          </cell>
          <cell r="E13" t="str">
            <v>P1000</v>
          </cell>
          <cell r="F13" t="str">
            <v>ส่วนกลาง</v>
          </cell>
          <cell r="G13">
            <v>0</v>
          </cell>
          <cell r="H13">
            <v>0</v>
          </cell>
          <cell r="I13">
            <v>0</v>
          </cell>
          <cell r="J13" t="str">
            <v>929,100.00</v>
          </cell>
          <cell r="K13">
            <v>0</v>
          </cell>
          <cell r="L13" t="str">
            <v>0.00</v>
          </cell>
          <cell r="M13" t="str">
            <v>0.00</v>
          </cell>
          <cell r="N13">
            <v>32251.29</v>
          </cell>
        </row>
        <row r="14">
          <cell r="C14" t="str">
            <v>04002040015705000001</v>
          </cell>
          <cell r="D14" t="str">
            <v>ค่าใช้จ่ายในการส่งเสริมความเข้าใจทั้งในและต่างประเทศเกี่ยวกับประเด</v>
          </cell>
          <cell r="E14" t="str">
            <v>P1000</v>
          </cell>
          <cell r="F14" t="str">
            <v>ส่วนกลาง</v>
          </cell>
          <cell r="G14" t="str">
            <v>6711500</v>
          </cell>
          <cell r="H14" t="str">
            <v>งบรายจ่ายอื่น /งบส่วนราชการ</v>
          </cell>
          <cell r="I14">
            <v>0</v>
          </cell>
          <cell r="J14" t="str">
            <v>929,100.00</v>
          </cell>
          <cell r="K14">
            <v>0</v>
          </cell>
          <cell r="L14" t="str">
            <v>0.00</v>
          </cell>
          <cell r="M14" t="str">
            <v>0.00</v>
          </cell>
          <cell r="N14">
            <v>32251.29</v>
          </cell>
        </row>
        <row r="15">
          <cell r="C15" t="str">
            <v>04002040015705000002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165,300.00</v>
          </cell>
          <cell r="K15">
            <v>0</v>
          </cell>
          <cell r="L15" t="str">
            <v>0.00</v>
          </cell>
          <cell r="M15" t="str">
            <v>0.00</v>
          </cell>
          <cell r="N15">
            <v>0</v>
          </cell>
        </row>
        <row r="16">
          <cell r="C16" t="str">
            <v>04002040015705000002</v>
          </cell>
          <cell r="D16">
            <v>0</v>
          </cell>
          <cell r="E16" t="str">
            <v>P1000</v>
          </cell>
          <cell r="F16" t="str">
            <v>ส่วนกลาง</v>
          </cell>
          <cell r="G16">
            <v>0</v>
          </cell>
          <cell r="H16">
            <v>0</v>
          </cell>
          <cell r="I16">
            <v>0</v>
          </cell>
          <cell r="J16" t="str">
            <v>165,300.00</v>
          </cell>
          <cell r="K16">
            <v>0</v>
          </cell>
          <cell r="L16" t="str">
            <v>0.00</v>
          </cell>
          <cell r="M16" t="str">
            <v>0.00</v>
          </cell>
          <cell r="N16">
            <v>0</v>
          </cell>
        </row>
        <row r="17">
          <cell r="C17" t="str">
            <v>04002040015705000002</v>
          </cell>
          <cell r="D17" t="str">
            <v>ค่าใช้จ่ายในการเสริมสร้างความเข้าใจและถ่ายทอดองค์ความรู้เพื่อการอย</v>
          </cell>
          <cell r="E17" t="str">
            <v>P1000</v>
          </cell>
          <cell r="F17" t="str">
            <v>ส่วนกลาง</v>
          </cell>
          <cell r="G17" t="str">
            <v>6711500</v>
          </cell>
          <cell r="H17" t="str">
            <v>งบรายจ่ายอื่น /งบส่วนราชการ</v>
          </cell>
          <cell r="I17">
            <v>0</v>
          </cell>
          <cell r="J17" t="str">
            <v>165,300.00</v>
          </cell>
          <cell r="K17">
            <v>0</v>
          </cell>
          <cell r="L17" t="str">
            <v>0.00</v>
          </cell>
          <cell r="M17" t="str">
            <v>0.00</v>
          </cell>
          <cell r="N17">
            <v>0</v>
          </cell>
        </row>
        <row r="18">
          <cell r="C18" t="str">
            <v>04002110003704100001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84,500.00</v>
          </cell>
          <cell r="K18">
            <v>0</v>
          </cell>
          <cell r="L18" t="str">
            <v>0.00</v>
          </cell>
          <cell r="M18" t="str">
            <v>0.00</v>
          </cell>
          <cell r="N18">
            <v>12965</v>
          </cell>
        </row>
        <row r="19">
          <cell r="C19" t="str">
            <v>04002110003704100001</v>
          </cell>
          <cell r="D19">
            <v>0</v>
          </cell>
          <cell r="E19" t="str">
            <v>P1000</v>
          </cell>
          <cell r="F19" t="str">
            <v>ส่วนกลาง</v>
          </cell>
          <cell r="G19">
            <v>0</v>
          </cell>
          <cell r="H19">
            <v>0</v>
          </cell>
          <cell r="I19">
            <v>0</v>
          </cell>
          <cell r="J19" t="str">
            <v>84,500.00</v>
          </cell>
          <cell r="K19">
            <v>0</v>
          </cell>
          <cell r="L19" t="str">
            <v>0.00</v>
          </cell>
          <cell r="M19" t="str">
            <v>0.00</v>
          </cell>
          <cell r="N19">
            <v>12965</v>
          </cell>
        </row>
        <row r="20">
          <cell r="C20" t="str">
            <v>04002110003704100001</v>
          </cell>
          <cell r="D20" t="str">
            <v>เงินอุดหนุนค่าใช้จ่ายในการเดินทางสำหรับผู้รับทุนรัฐบาลต่างประเทศ</v>
          </cell>
          <cell r="E20" t="str">
            <v>P1000</v>
          </cell>
          <cell r="F20" t="str">
            <v>ส่วนกลาง</v>
          </cell>
          <cell r="G20" t="str">
            <v>6711410</v>
          </cell>
          <cell r="H20" t="str">
            <v>อุดหนุนทั่วไป /งบสรก</v>
          </cell>
          <cell r="I20">
            <v>0</v>
          </cell>
          <cell r="J20" t="str">
            <v>84,500.00</v>
          </cell>
          <cell r="K20">
            <v>0</v>
          </cell>
          <cell r="L20" t="str">
            <v>0.00</v>
          </cell>
          <cell r="M20" t="str">
            <v>0.00</v>
          </cell>
          <cell r="N20">
            <v>12965</v>
          </cell>
        </row>
        <row r="21">
          <cell r="C21" t="str">
            <v>04002110003704100002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8,750,000.00</v>
          </cell>
          <cell r="K21">
            <v>0</v>
          </cell>
          <cell r="L21" t="str">
            <v>0.00</v>
          </cell>
          <cell r="M21" t="str">
            <v>0.00</v>
          </cell>
          <cell r="N21">
            <v>8750000</v>
          </cell>
        </row>
        <row r="22">
          <cell r="C22" t="str">
            <v>04002110003704100002</v>
          </cell>
          <cell r="D22">
            <v>0</v>
          </cell>
          <cell r="E22" t="str">
            <v>P1000</v>
          </cell>
          <cell r="F22" t="str">
            <v>ส่วนกลาง</v>
          </cell>
          <cell r="G22">
            <v>0</v>
          </cell>
          <cell r="H22">
            <v>0</v>
          </cell>
          <cell r="I22">
            <v>0</v>
          </cell>
          <cell r="J22" t="str">
            <v>8,750,000.00</v>
          </cell>
          <cell r="K22">
            <v>0</v>
          </cell>
          <cell r="L22" t="str">
            <v>0.00</v>
          </cell>
          <cell r="M22" t="str">
            <v>0.00</v>
          </cell>
          <cell r="N22">
            <v>8750000</v>
          </cell>
        </row>
        <row r="23">
          <cell r="C23" t="str">
            <v>04002110003704100002</v>
          </cell>
          <cell r="D23" t="str">
            <v>เงินอุดหนุนโครงการความร่วมมือกับแหล่งความช่วยเหลือต่าง ๆ ที่ให้กับปร</v>
          </cell>
          <cell r="E23" t="str">
            <v>P1000</v>
          </cell>
          <cell r="F23" t="str">
            <v>ส่วนกลาง</v>
          </cell>
          <cell r="G23" t="str">
            <v>6711410</v>
          </cell>
          <cell r="H23" t="str">
            <v>อุดหนุนทั่วไป /งบสรก</v>
          </cell>
          <cell r="I23">
            <v>0</v>
          </cell>
          <cell r="J23" t="str">
            <v>8,750,000.00</v>
          </cell>
          <cell r="K23">
            <v>0</v>
          </cell>
          <cell r="L23" t="str">
            <v>0.00</v>
          </cell>
          <cell r="M23" t="str">
            <v>0.00</v>
          </cell>
          <cell r="N23">
            <v>8750000</v>
          </cell>
        </row>
        <row r="24">
          <cell r="C24" t="str">
            <v>04002110003704100003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>29,424,000.00</v>
          </cell>
          <cell r="K24">
            <v>0</v>
          </cell>
          <cell r="L24" t="str">
            <v>0.00</v>
          </cell>
          <cell r="M24" t="str">
            <v>0.00</v>
          </cell>
          <cell r="N24">
            <v>15000000</v>
          </cell>
        </row>
        <row r="25">
          <cell r="C25" t="str">
            <v>04002110003704100003</v>
          </cell>
          <cell r="D25">
            <v>0</v>
          </cell>
          <cell r="E25" t="str">
            <v>P1000</v>
          </cell>
          <cell r="F25" t="str">
            <v>ส่วนกลาง</v>
          </cell>
          <cell r="G25">
            <v>0</v>
          </cell>
          <cell r="H25">
            <v>0</v>
          </cell>
          <cell r="I25">
            <v>0</v>
          </cell>
          <cell r="J25" t="str">
            <v>29,424,000.00</v>
          </cell>
          <cell r="K25">
            <v>0</v>
          </cell>
          <cell r="L25" t="str">
            <v>0.00</v>
          </cell>
          <cell r="M25" t="str">
            <v>0.00</v>
          </cell>
          <cell r="N25">
            <v>15000000</v>
          </cell>
        </row>
        <row r="26">
          <cell r="C26" t="str">
            <v>04002110003704100003</v>
          </cell>
          <cell r="D26" t="str">
            <v>เงินอุดหนุนองค์การระหว่างประเทศที่ประเทศไทยเข้าร่วมเป็นสมาชิก</v>
          </cell>
          <cell r="E26" t="str">
            <v>P1000</v>
          </cell>
          <cell r="F26" t="str">
            <v>ส่วนกลาง</v>
          </cell>
          <cell r="G26" t="str">
            <v>6711410</v>
          </cell>
          <cell r="H26" t="str">
            <v>อุดหนุนทั่วไป /งบสรก</v>
          </cell>
          <cell r="I26">
            <v>0</v>
          </cell>
          <cell r="J26" t="str">
            <v>29,424,000.00</v>
          </cell>
          <cell r="K26">
            <v>0</v>
          </cell>
          <cell r="L26" t="str">
            <v>0.00</v>
          </cell>
          <cell r="M26" t="str">
            <v>0.00</v>
          </cell>
          <cell r="N26">
            <v>15000000</v>
          </cell>
        </row>
        <row r="27">
          <cell r="C27" t="str">
            <v>04002110003704100004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800,000.00</v>
          </cell>
          <cell r="K27">
            <v>0</v>
          </cell>
          <cell r="L27" t="str">
            <v>0.00</v>
          </cell>
          <cell r="M27" t="str">
            <v>0.00</v>
          </cell>
          <cell r="N27">
            <v>800000</v>
          </cell>
        </row>
        <row r="28">
          <cell r="C28" t="str">
            <v>04002110003704100004</v>
          </cell>
          <cell r="D28">
            <v>0</v>
          </cell>
          <cell r="E28" t="str">
            <v>P1000</v>
          </cell>
          <cell r="F28" t="str">
            <v>ส่วนกลาง</v>
          </cell>
          <cell r="G28">
            <v>0</v>
          </cell>
          <cell r="H28">
            <v>0</v>
          </cell>
          <cell r="I28">
            <v>0</v>
          </cell>
          <cell r="J28" t="str">
            <v>800,000.00</v>
          </cell>
          <cell r="K28">
            <v>0</v>
          </cell>
          <cell r="L28" t="str">
            <v>0.00</v>
          </cell>
          <cell r="M28" t="str">
            <v>0.00</v>
          </cell>
          <cell r="N28">
            <v>800000</v>
          </cell>
        </row>
        <row r="29">
          <cell r="C29" t="str">
            <v>04002110003704100004</v>
          </cell>
          <cell r="D29" t="str">
            <v>เงินอุดหนุนในการสร้างความตระหนักและเตรียมความพร้อมสำหรับโรคติดต่อแ</v>
          </cell>
          <cell r="E29" t="str">
            <v>P1000</v>
          </cell>
          <cell r="F29" t="str">
            <v>ส่วนกลาง</v>
          </cell>
          <cell r="G29" t="str">
            <v>6711410</v>
          </cell>
          <cell r="H29" t="str">
            <v>อุดหนุนทั่วไป /งบสรก</v>
          </cell>
          <cell r="I29">
            <v>0</v>
          </cell>
          <cell r="J29" t="str">
            <v>800,000.00</v>
          </cell>
          <cell r="K29">
            <v>0</v>
          </cell>
          <cell r="L29" t="str">
            <v>0.00</v>
          </cell>
          <cell r="M29" t="str">
            <v>0.00</v>
          </cell>
          <cell r="N29">
            <v>800000</v>
          </cell>
        </row>
        <row r="30">
          <cell r="C30" t="str">
            <v>04002110003704100005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 t="str">
            <v>1,000,000.00</v>
          </cell>
          <cell r="K30">
            <v>0</v>
          </cell>
          <cell r="L30" t="str">
            <v>0.00</v>
          </cell>
          <cell r="M30" t="str">
            <v>0.00</v>
          </cell>
          <cell r="N30">
            <v>1000000</v>
          </cell>
        </row>
        <row r="31">
          <cell r="C31" t="str">
            <v>04002110003704100005</v>
          </cell>
          <cell r="D31">
            <v>0</v>
          </cell>
          <cell r="E31" t="str">
            <v>P1000</v>
          </cell>
          <cell r="F31" t="str">
            <v>ส่วนกลาง</v>
          </cell>
          <cell r="G31">
            <v>0</v>
          </cell>
          <cell r="H31">
            <v>0</v>
          </cell>
          <cell r="I31">
            <v>0</v>
          </cell>
          <cell r="J31" t="str">
            <v>1,000,000.00</v>
          </cell>
          <cell r="K31">
            <v>0</v>
          </cell>
          <cell r="L31" t="str">
            <v>0.00</v>
          </cell>
          <cell r="M31" t="str">
            <v>0.00</v>
          </cell>
          <cell r="N31">
            <v>1000000</v>
          </cell>
        </row>
        <row r="32">
          <cell r="C32" t="str">
            <v>04002110003704100005</v>
          </cell>
          <cell r="D32" t="str">
            <v>เงินอุดหนุนการพัฒนาฝีมือแรงงานตามแนวชายแดนไทย - เพื่อนบ้าน</v>
          </cell>
          <cell r="E32" t="str">
            <v>P1000</v>
          </cell>
          <cell r="F32" t="str">
            <v>ส่วนกลาง</v>
          </cell>
          <cell r="G32" t="str">
            <v>6711410</v>
          </cell>
          <cell r="H32" t="str">
            <v>อุดหนุนทั่วไป /งบสรก</v>
          </cell>
          <cell r="I32">
            <v>0</v>
          </cell>
          <cell r="J32" t="str">
            <v>1,000,000.00</v>
          </cell>
          <cell r="K32">
            <v>0</v>
          </cell>
          <cell r="L32" t="str">
            <v>0.00</v>
          </cell>
          <cell r="M32" t="str">
            <v>0.00</v>
          </cell>
          <cell r="N32">
            <v>1000000</v>
          </cell>
        </row>
        <row r="33">
          <cell r="C33" t="str">
            <v>04002110003704100006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12,000,000.00</v>
          </cell>
          <cell r="K33">
            <v>0</v>
          </cell>
          <cell r="L33" t="str">
            <v>0.00</v>
          </cell>
          <cell r="M33" t="str">
            <v>0.00</v>
          </cell>
          <cell r="N33">
            <v>12000000</v>
          </cell>
        </row>
        <row r="34">
          <cell r="C34" t="str">
            <v>04002110003704100006</v>
          </cell>
          <cell r="D34">
            <v>0</v>
          </cell>
          <cell r="E34" t="str">
            <v>P1000</v>
          </cell>
          <cell r="F34" t="str">
            <v>ส่วนกลาง</v>
          </cell>
          <cell r="G34">
            <v>0</v>
          </cell>
          <cell r="H34">
            <v>0</v>
          </cell>
          <cell r="I34">
            <v>0</v>
          </cell>
          <cell r="J34" t="str">
            <v>12,000,000.00</v>
          </cell>
          <cell r="K34">
            <v>0</v>
          </cell>
          <cell r="L34" t="str">
            <v>0.00</v>
          </cell>
          <cell r="M34" t="str">
            <v>0.00</v>
          </cell>
          <cell r="N34">
            <v>12000000</v>
          </cell>
        </row>
        <row r="35">
          <cell r="C35" t="str">
            <v>04002110003704100006</v>
          </cell>
          <cell r="D35" t="str">
            <v>โครงการพระราชดำริเพื่อร่วมมือและแลกเปลี่ยนประสบการณ์ด้านวิชาการกับ</v>
          </cell>
          <cell r="E35" t="str">
            <v>P1000</v>
          </cell>
          <cell r="F35" t="str">
            <v>ส่วนกลาง</v>
          </cell>
          <cell r="G35" t="str">
            <v>6711410</v>
          </cell>
          <cell r="H35" t="str">
            <v>อุดหนุนทั่วไป /งบสรก</v>
          </cell>
          <cell r="I35">
            <v>0</v>
          </cell>
          <cell r="J35" t="str">
            <v>12,000,000.00</v>
          </cell>
          <cell r="K35">
            <v>0</v>
          </cell>
          <cell r="L35" t="str">
            <v>0.00</v>
          </cell>
          <cell r="M35" t="str">
            <v>0.00</v>
          </cell>
          <cell r="N35">
            <v>12000000</v>
          </cell>
        </row>
        <row r="36">
          <cell r="C36" t="str">
            <v>04002110003704100007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53,070,000.00</v>
          </cell>
          <cell r="K36">
            <v>0</v>
          </cell>
          <cell r="L36" t="str">
            <v>0.00</v>
          </cell>
          <cell r="M36" t="str">
            <v>0.00</v>
          </cell>
          <cell r="N36">
            <v>53070000</v>
          </cell>
        </row>
        <row r="37">
          <cell r="C37" t="str">
            <v>04002110003704100007</v>
          </cell>
          <cell r="D37">
            <v>0</v>
          </cell>
          <cell r="E37" t="str">
            <v>P1000</v>
          </cell>
          <cell r="F37" t="str">
            <v>ส่วนกลาง</v>
          </cell>
          <cell r="G37">
            <v>0</v>
          </cell>
          <cell r="H37">
            <v>0</v>
          </cell>
          <cell r="I37">
            <v>0</v>
          </cell>
          <cell r="J37" t="str">
            <v>53,070,000.00</v>
          </cell>
          <cell r="K37">
            <v>0</v>
          </cell>
          <cell r="L37" t="str">
            <v>0.00</v>
          </cell>
          <cell r="M37" t="str">
            <v>0.00</v>
          </cell>
          <cell r="N37">
            <v>53070000</v>
          </cell>
        </row>
        <row r="38">
          <cell r="C38" t="str">
            <v>04002110003704100007</v>
          </cell>
          <cell r="D38" t="str">
            <v>โครงการพระราชดำริในสมเด็จพระกนิษฐาธิราชเจ้า กรมสมเด็จพระเทพรัตนราชส</v>
          </cell>
          <cell r="E38" t="str">
            <v>P1000</v>
          </cell>
          <cell r="F38" t="str">
            <v>ส่วนกลาง</v>
          </cell>
          <cell r="G38" t="str">
            <v>6711410</v>
          </cell>
          <cell r="H38" t="str">
            <v>อุดหนุนทั่วไป /งบสรก</v>
          </cell>
          <cell r="I38">
            <v>0</v>
          </cell>
          <cell r="J38" t="str">
            <v>53,070,000.00</v>
          </cell>
          <cell r="K38">
            <v>0</v>
          </cell>
          <cell r="L38" t="str">
            <v>0.00</v>
          </cell>
          <cell r="M38" t="str">
            <v>0.00</v>
          </cell>
          <cell r="N38">
            <v>53070000</v>
          </cell>
        </row>
        <row r="39">
          <cell r="C39" t="str">
            <v>04002110003704100008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 t="str">
            <v>52,890,400.00</v>
          </cell>
          <cell r="K39">
            <v>0</v>
          </cell>
          <cell r="L39" t="str">
            <v>0.00</v>
          </cell>
          <cell r="M39" t="str">
            <v>0.00</v>
          </cell>
          <cell r="N39">
            <v>52890400</v>
          </cell>
        </row>
        <row r="40">
          <cell r="C40" t="str">
            <v>04002110003704100008</v>
          </cell>
          <cell r="D40">
            <v>0</v>
          </cell>
          <cell r="E40" t="str">
            <v>P1000</v>
          </cell>
          <cell r="F40" t="str">
            <v>ส่วนกลาง</v>
          </cell>
          <cell r="G40">
            <v>0</v>
          </cell>
          <cell r="H40">
            <v>0</v>
          </cell>
          <cell r="I40">
            <v>0</v>
          </cell>
          <cell r="J40" t="str">
            <v>52,890,400.00</v>
          </cell>
          <cell r="K40">
            <v>0</v>
          </cell>
          <cell r="L40" t="str">
            <v>0.00</v>
          </cell>
          <cell r="M40" t="str">
            <v>0.00</v>
          </cell>
          <cell r="N40">
            <v>52890400</v>
          </cell>
        </row>
        <row r="41">
          <cell r="C41" t="str">
            <v>04002110003704100008</v>
          </cell>
          <cell r="D41" t="str">
            <v>เงินอุดหนุนความร่วมมือเพื่อการพัฒนาระหว่างประเทศ</v>
          </cell>
          <cell r="E41" t="str">
            <v>P1000</v>
          </cell>
          <cell r="F41" t="str">
            <v>ส่วนกลาง</v>
          </cell>
          <cell r="G41" t="str">
            <v>6711410</v>
          </cell>
          <cell r="H41" t="str">
            <v>อุดหนุนทั่วไป /งบสรก</v>
          </cell>
          <cell r="I41">
            <v>0</v>
          </cell>
          <cell r="J41" t="str">
            <v>52,890,400.00</v>
          </cell>
          <cell r="K41">
            <v>0</v>
          </cell>
          <cell r="L41" t="str">
            <v>0.00</v>
          </cell>
          <cell r="M41" t="str">
            <v>0.00</v>
          </cell>
          <cell r="N41">
            <v>52890400</v>
          </cell>
        </row>
        <row r="42">
          <cell r="C42" t="str">
            <v>04002110003704100010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11,250,000.00</v>
          </cell>
          <cell r="K42">
            <v>0</v>
          </cell>
          <cell r="L42" t="str">
            <v>0.00</v>
          </cell>
          <cell r="M42" t="str">
            <v>0.00</v>
          </cell>
          <cell r="N42">
            <v>11250000</v>
          </cell>
        </row>
        <row r="43">
          <cell r="C43" t="str">
            <v>04002110003704100010</v>
          </cell>
          <cell r="D43">
            <v>0</v>
          </cell>
          <cell r="E43" t="str">
            <v>P1000</v>
          </cell>
          <cell r="F43" t="str">
            <v>ส่วนกลาง</v>
          </cell>
          <cell r="G43">
            <v>0</v>
          </cell>
          <cell r="H43">
            <v>0</v>
          </cell>
          <cell r="I43">
            <v>0</v>
          </cell>
          <cell r="J43" t="str">
            <v>11,250,000.00</v>
          </cell>
          <cell r="K43">
            <v>0</v>
          </cell>
          <cell r="L43" t="str">
            <v>0.00</v>
          </cell>
          <cell r="M43" t="str">
            <v>0.00</v>
          </cell>
          <cell r="N43">
            <v>11250000</v>
          </cell>
        </row>
        <row r="44">
          <cell r="C44" t="str">
            <v>04002110003704100010</v>
          </cell>
          <cell r="D44" t="str">
            <v>เงินอุดหนุนเพื่อความร่วมมือเพื่อการพัฒนาระหว่างประเทศด้านเศรษฐกิจพ</v>
          </cell>
          <cell r="E44" t="str">
            <v>P1000</v>
          </cell>
          <cell r="F44" t="str">
            <v>ส่วนกลาง</v>
          </cell>
          <cell r="G44" t="str">
            <v>6711410</v>
          </cell>
          <cell r="H44" t="str">
            <v>อุดหนุนทั่วไป /งบสรก</v>
          </cell>
          <cell r="I44">
            <v>0</v>
          </cell>
          <cell r="J44" t="str">
            <v>11,250,000.00</v>
          </cell>
          <cell r="K44">
            <v>0</v>
          </cell>
          <cell r="L44" t="str">
            <v>0.00</v>
          </cell>
          <cell r="M44" t="str">
            <v>0.00</v>
          </cell>
          <cell r="N44">
            <v>11250000</v>
          </cell>
        </row>
        <row r="45">
          <cell r="C45" t="str">
            <v>04002110003704100011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1,080,000.00</v>
          </cell>
          <cell r="K45">
            <v>0</v>
          </cell>
          <cell r="L45" t="str">
            <v>0.00</v>
          </cell>
          <cell r="M45" t="str">
            <v>0.00</v>
          </cell>
          <cell r="N45">
            <v>1080000</v>
          </cell>
        </row>
        <row r="46">
          <cell r="C46" t="str">
            <v>04002110003704100011</v>
          </cell>
          <cell r="D46">
            <v>0</v>
          </cell>
          <cell r="E46" t="str">
            <v>P1000</v>
          </cell>
          <cell r="F46" t="str">
            <v>ส่วนกลาง</v>
          </cell>
          <cell r="G46">
            <v>0</v>
          </cell>
          <cell r="H46">
            <v>0</v>
          </cell>
          <cell r="I46">
            <v>0</v>
          </cell>
          <cell r="J46" t="str">
            <v>1,080,000.00</v>
          </cell>
          <cell r="K46">
            <v>0</v>
          </cell>
          <cell r="L46" t="str">
            <v>0.00</v>
          </cell>
          <cell r="M46" t="str">
            <v>0.00</v>
          </cell>
          <cell r="N46">
            <v>1080000</v>
          </cell>
        </row>
        <row r="47">
          <cell r="C47" t="str">
            <v>04002110003704100011</v>
          </cell>
          <cell r="D47" t="str">
            <v>โครงการจัดตั้งศูนย์เรียนรู้เพื่อการพัฒนาเกษตรแบบยั่งยืนตามแนวทางปร</v>
          </cell>
          <cell r="E47" t="str">
            <v>P1000</v>
          </cell>
          <cell r="F47" t="str">
            <v>ส่วนกลาง</v>
          </cell>
          <cell r="G47" t="str">
            <v>6711410</v>
          </cell>
          <cell r="H47" t="str">
            <v>อุดหนุนทั่วไป /งบสรก</v>
          </cell>
          <cell r="I47">
            <v>0</v>
          </cell>
          <cell r="J47" t="str">
            <v>1,080,000.00</v>
          </cell>
          <cell r="K47">
            <v>0</v>
          </cell>
          <cell r="L47" t="str">
            <v>0.00</v>
          </cell>
          <cell r="M47" t="str">
            <v>0.00</v>
          </cell>
          <cell r="N47">
            <v>1080000</v>
          </cell>
        </row>
        <row r="48">
          <cell r="C48" t="str">
            <v>04002110003705000001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146,468,700.00</v>
          </cell>
          <cell r="K48">
            <v>0</v>
          </cell>
          <cell r="L48" t="str">
            <v>0.00</v>
          </cell>
          <cell r="M48" t="str">
            <v>0.00</v>
          </cell>
          <cell r="N48">
            <v>23542965.77</v>
          </cell>
        </row>
        <row r="49">
          <cell r="C49" t="str">
            <v>04002110003705000001</v>
          </cell>
          <cell r="D49">
            <v>0</v>
          </cell>
          <cell r="E49" t="str">
            <v>P1000</v>
          </cell>
          <cell r="F49" t="str">
            <v>ส่วนกลาง</v>
          </cell>
          <cell r="G49">
            <v>0</v>
          </cell>
          <cell r="H49">
            <v>0</v>
          </cell>
          <cell r="I49">
            <v>0</v>
          </cell>
          <cell r="J49" t="str">
            <v>146,468,700.00</v>
          </cell>
          <cell r="K49">
            <v>0</v>
          </cell>
          <cell r="L49" t="str">
            <v>0.00</v>
          </cell>
          <cell r="M49" t="str">
            <v>0.00</v>
          </cell>
          <cell r="N49">
            <v>23542965.77</v>
          </cell>
        </row>
        <row r="50">
          <cell r="C50" t="str">
            <v>04002110003705000001</v>
          </cell>
          <cell r="D50" t="str">
            <v>ค่าใช้จ่ายในการดำเนินภารกิจทีมประเทศไทย</v>
          </cell>
          <cell r="E50" t="str">
            <v>P1000</v>
          </cell>
          <cell r="F50" t="str">
            <v>ส่วนกลาง</v>
          </cell>
          <cell r="G50" t="str">
            <v>6711500</v>
          </cell>
          <cell r="H50" t="str">
            <v>งบรายจ่ายอื่น /งบส่วนราชการ</v>
          </cell>
          <cell r="I50">
            <v>0</v>
          </cell>
          <cell r="J50" t="str">
            <v>146,468,700.00</v>
          </cell>
          <cell r="K50">
            <v>0</v>
          </cell>
          <cell r="L50" t="str">
            <v>0.00</v>
          </cell>
          <cell r="M50" t="str">
            <v>0.00</v>
          </cell>
          <cell r="N50">
            <v>23542965.77</v>
          </cell>
        </row>
        <row r="51">
          <cell r="C51" t="str">
            <v>04002110003705000002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1,244,000.00</v>
          </cell>
          <cell r="K51">
            <v>0</v>
          </cell>
          <cell r="L51" t="str">
            <v>0.00</v>
          </cell>
          <cell r="M51" t="str">
            <v>0.00</v>
          </cell>
          <cell r="N51">
            <v>129611.2</v>
          </cell>
        </row>
        <row r="52">
          <cell r="C52" t="str">
            <v>04002110003705000002</v>
          </cell>
          <cell r="D52">
            <v>0</v>
          </cell>
          <cell r="E52" t="str">
            <v>P1000</v>
          </cell>
          <cell r="F52" t="str">
            <v>ส่วนกลาง</v>
          </cell>
          <cell r="G52">
            <v>0</v>
          </cell>
          <cell r="H52">
            <v>0</v>
          </cell>
          <cell r="I52">
            <v>0</v>
          </cell>
          <cell r="J52" t="str">
            <v>1,244,000.00</v>
          </cell>
          <cell r="K52">
            <v>0</v>
          </cell>
          <cell r="L52" t="str">
            <v>0.00</v>
          </cell>
          <cell r="M52" t="str">
            <v>0.00</v>
          </cell>
          <cell r="N52">
            <v>129611.2</v>
          </cell>
        </row>
        <row r="53">
          <cell r="C53" t="str">
            <v>04002110003705000002</v>
          </cell>
          <cell r="D53" t="str">
            <v>ค่าใช้จ่ายในการดำเนินการรักษาพัฒนาและส่งเสริมผลประโยชน์ทางเศรษฐกิจ</v>
          </cell>
          <cell r="E53" t="str">
            <v>P1000</v>
          </cell>
          <cell r="F53" t="str">
            <v>ส่วนกลาง</v>
          </cell>
          <cell r="G53" t="str">
            <v>6711500</v>
          </cell>
          <cell r="H53" t="str">
            <v>งบรายจ่ายอื่น /งบส่วนราชการ</v>
          </cell>
          <cell r="I53">
            <v>0</v>
          </cell>
          <cell r="J53" t="str">
            <v>1,244,000.00</v>
          </cell>
          <cell r="K53">
            <v>0</v>
          </cell>
          <cell r="L53" t="str">
            <v>0.00</v>
          </cell>
          <cell r="M53" t="str">
            <v>0.00</v>
          </cell>
          <cell r="N53">
            <v>129611.2</v>
          </cell>
        </row>
        <row r="54">
          <cell r="C54" t="str">
            <v>04002110003705000003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1,485,000.00</v>
          </cell>
          <cell r="K54">
            <v>0</v>
          </cell>
          <cell r="L54" t="str">
            <v>0.00</v>
          </cell>
          <cell r="M54" t="str">
            <v>0.00</v>
          </cell>
          <cell r="N54">
            <v>273192.81</v>
          </cell>
        </row>
        <row r="55">
          <cell r="C55" t="str">
            <v>04002110003705000003</v>
          </cell>
          <cell r="D55">
            <v>0</v>
          </cell>
          <cell r="E55" t="str">
            <v>P1000</v>
          </cell>
          <cell r="F55" t="str">
            <v>ส่วนกลาง</v>
          </cell>
          <cell r="G55">
            <v>0</v>
          </cell>
          <cell r="H55">
            <v>0</v>
          </cell>
          <cell r="I55">
            <v>0</v>
          </cell>
          <cell r="J55" t="str">
            <v>1,485,000.00</v>
          </cell>
          <cell r="K55">
            <v>0</v>
          </cell>
          <cell r="L55" t="str">
            <v>0.00</v>
          </cell>
          <cell r="M55" t="str">
            <v>0.00</v>
          </cell>
          <cell r="N55">
            <v>273192.81</v>
          </cell>
        </row>
        <row r="56">
          <cell r="C56" t="str">
            <v>04002110003705000003</v>
          </cell>
          <cell r="D56" t="str">
            <v>ค่าใช้จ่ายในการส่งเสริมพัฒนาความร่วมมือในกรอบภูมิภาคและอนุภูมิภาค</v>
          </cell>
          <cell r="E56" t="str">
            <v>P1000</v>
          </cell>
          <cell r="F56" t="str">
            <v>ส่วนกลาง</v>
          </cell>
          <cell r="G56" t="str">
            <v>6711500</v>
          </cell>
          <cell r="H56" t="str">
            <v>งบรายจ่ายอื่น /งบส่วนราชการ</v>
          </cell>
          <cell r="I56">
            <v>0</v>
          </cell>
          <cell r="J56" t="str">
            <v>1,485,000.00</v>
          </cell>
          <cell r="K56">
            <v>0</v>
          </cell>
          <cell r="L56" t="str">
            <v>0.00</v>
          </cell>
          <cell r="M56" t="str">
            <v>0.00</v>
          </cell>
          <cell r="N56">
            <v>273192.81</v>
          </cell>
        </row>
        <row r="57">
          <cell r="C57" t="str">
            <v>04002110003705000004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3,300,000.00</v>
          </cell>
          <cell r="K57">
            <v>0</v>
          </cell>
          <cell r="L57" t="str">
            <v>0.00</v>
          </cell>
          <cell r="M57" t="str">
            <v>0.00</v>
          </cell>
          <cell r="N57">
            <v>1120125.32</v>
          </cell>
        </row>
        <row r="58">
          <cell r="C58" t="str">
            <v>04002110003705000004</v>
          </cell>
          <cell r="D58">
            <v>0</v>
          </cell>
          <cell r="E58" t="str">
            <v>P1000</v>
          </cell>
          <cell r="F58" t="str">
            <v>ส่วนกลาง</v>
          </cell>
          <cell r="G58">
            <v>0</v>
          </cell>
          <cell r="H58">
            <v>0</v>
          </cell>
          <cell r="I58">
            <v>0</v>
          </cell>
          <cell r="J58" t="str">
            <v>3,300,000.00</v>
          </cell>
          <cell r="K58">
            <v>0</v>
          </cell>
          <cell r="L58" t="str">
            <v>0.00</v>
          </cell>
          <cell r="M58" t="str">
            <v>0.00</v>
          </cell>
          <cell r="N58">
            <v>1120125.32</v>
          </cell>
        </row>
        <row r="59">
          <cell r="C59" t="str">
            <v>04002110003705000004</v>
          </cell>
          <cell r="D59" t="str">
            <v>ค่าใช้จ่ายในการเสริมสร้างศักยภาพในการแข่งขันของภาคเอกชนไทยกับนานาป</v>
          </cell>
          <cell r="E59" t="str">
            <v>P1000</v>
          </cell>
          <cell r="F59" t="str">
            <v>ส่วนกลาง</v>
          </cell>
          <cell r="G59" t="str">
            <v>6711500</v>
          </cell>
          <cell r="H59" t="str">
            <v>งบรายจ่ายอื่น /งบส่วนราชการ</v>
          </cell>
          <cell r="I59">
            <v>0</v>
          </cell>
          <cell r="J59" t="str">
            <v>3,300,000.00</v>
          </cell>
          <cell r="K59">
            <v>0</v>
          </cell>
          <cell r="L59" t="str">
            <v>0.00</v>
          </cell>
          <cell r="M59" t="str">
            <v>0.00</v>
          </cell>
          <cell r="N59">
            <v>1120125.32</v>
          </cell>
        </row>
        <row r="60">
          <cell r="C60" t="str">
            <v>04002110003705000005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 t="str">
            <v>333,000.00</v>
          </cell>
          <cell r="K60">
            <v>0</v>
          </cell>
          <cell r="L60" t="str">
            <v>0.00</v>
          </cell>
          <cell r="M60" t="str">
            <v>0.00</v>
          </cell>
          <cell r="N60">
            <v>53536.800000000003</v>
          </cell>
        </row>
        <row r="61">
          <cell r="C61" t="str">
            <v>04002110003705000005</v>
          </cell>
          <cell r="D61">
            <v>0</v>
          </cell>
          <cell r="E61" t="str">
            <v>P1000</v>
          </cell>
          <cell r="F61" t="str">
            <v>ส่วนกลาง</v>
          </cell>
          <cell r="G61">
            <v>0</v>
          </cell>
          <cell r="H61">
            <v>0</v>
          </cell>
          <cell r="I61">
            <v>0</v>
          </cell>
          <cell r="J61" t="str">
            <v>333,000.00</v>
          </cell>
          <cell r="K61">
            <v>0</v>
          </cell>
          <cell r="L61" t="str">
            <v>0.00</v>
          </cell>
          <cell r="M61" t="str">
            <v>0.00</v>
          </cell>
          <cell r="N61">
            <v>53536.800000000003</v>
          </cell>
        </row>
        <row r="62">
          <cell r="C62" t="str">
            <v>04002110003705000005</v>
          </cell>
          <cell r="D62" t="str">
            <v>ค่าใช้จ่ายในการผลักดันการคุ้มครองการลงทุนระหว่างประเทศของไทย</v>
          </cell>
          <cell r="E62" t="str">
            <v>P1000</v>
          </cell>
          <cell r="F62" t="str">
            <v>ส่วนกลาง</v>
          </cell>
          <cell r="G62" t="str">
            <v>6711500</v>
          </cell>
          <cell r="H62" t="str">
            <v>งบรายจ่ายอื่น /งบส่วนราชการ</v>
          </cell>
          <cell r="I62">
            <v>0</v>
          </cell>
          <cell r="J62" t="str">
            <v>333,000.00</v>
          </cell>
          <cell r="K62">
            <v>0</v>
          </cell>
          <cell r="L62" t="str">
            <v>0.00</v>
          </cell>
          <cell r="M62" t="str">
            <v>0.00</v>
          </cell>
          <cell r="N62">
            <v>53536.800000000003</v>
          </cell>
        </row>
        <row r="63">
          <cell r="C63" t="str">
            <v>04002110003705000006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>3,990,000.00</v>
          </cell>
          <cell r="K63">
            <v>0</v>
          </cell>
          <cell r="L63" t="str">
            <v>0.00</v>
          </cell>
          <cell r="M63" t="str">
            <v>0.00</v>
          </cell>
          <cell r="N63">
            <v>2239999.67</v>
          </cell>
        </row>
        <row r="64">
          <cell r="C64" t="str">
            <v>04002110003705000006</v>
          </cell>
          <cell r="D64">
            <v>0</v>
          </cell>
          <cell r="E64" t="str">
            <v>P1000</v>
          </cell>
          <cell r="F64" t="str">
            <v>ส่วนกลาง</v>
          </cell>
          <cell r="G64">
            <v>0</v>
          </cell>
          <cell r="H64">
            <v>0</v>
          </cell>
          <cell r="I64">
            <v>0</v>
          </cell>
          <cell r="J64" t="str">
            <v>3,990,000.00</v>
          </cell>
          <cell r="K64">
            <v>0</v>
          </cell>
          <cell r="L64" t="str">
            <v>0.00</v>
          </cell>
          <cell r="M64" t="str">
            <v>0.00</v>
          </cell>
          <cell r="N64">
            <v>2239999.67</v>
          </cell>
        </row>
        <row r="65">
          <cell r="C65" t="str">
            <v>04002110003705000006</v>
          </cell>
          <cell r="D65" t="str">
            <v>ค่าใช้จ่ายในการดำเนินโครงการยกระดับความสามารถในการแข่งขันและความนิ</v>
          </cell>
          <cell r="E65" t="str">
            <v>P1000</v>
          </cell>
          <cell r="F65" t="str">
            <v>ส่วนกลาง</v>
          </cell>
          <cell r="G65" t="str">
            <v>6711500</v>
          </cell>
          <cell r="H65" t="str">
            <v>งบรายจ่ายอื่น /งบส่วนราชการ</v>
          </cell>
          <cell r="I65">
            <v>0</v>
          </cell>
          <cell r="J65" t="str">
            <v>3,990,000.00</v>
          </cell>
          <cell r="K65">
            <v>0</v>
          </cell>
          <cell r="L65" t="str">
            <v>0.00</v>
          </cell>
          <cell r="M65" t="str">
            <v>0.00</v>
          </cell>
          <cell r="N65">
            <v>2239999.67</v>
          </cell>
        </row>
        <row r="66">
          <cell r="C66" t="str">
            <v>04002110003705000007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1,056,000.00</v>
          </cell>
          <cell r="K66">
            <v>0</v>
          </cell>
          <cell r="L66" t="str">
            <v>0.00</v>
          </cell>
          <cell r="M66" t="str">
            <v>0.00</v>
          </cell>
          <cell r="N66">
            <v>600000</v>
          </cell>
        </row>
        <row r="67">
          <cell r="C67" t="str">
            <v>04002110003705000007</v>
          </cell>
          <cell r="D67">
            <v>0</v>
          </cell>
          <cell r="E67" t="str">
            <v>P1000</v>
          </cell>
          <cell r="F67" t="str">
            <v>ส่วนกลาง</v>
          </cell>
          <cell r="G67">
            <v>0</v>
          </cell>
          <cell r="H67">
            <v>0</v>
          </cell>
          <cell r="I67">
            <v>0</v>
          </cell>
          <cell r="J67" t="str">
            <v>1,056,000.00</v>
          </cell>
          <cell r="K67">
            <v>0</v>
          </cell>
          <cell r="L67" t="str">
            <v>0.00</v>
          </cell>
          <cell r="M67" t="str">
            <v>0.00</v>
          </cell>
          <cell r="N67">
            <v>600000</v>
          </cell>
        </row>
        <row r="68">
          <cell r="C68" t="str">
            <v>04002110003705000007</v>
          </cell>
          <cell r="D68" t="str">
            <v>ค่าใช้จ่ายในการดำเนินโครงการยกระดับความเชื่อมั่นมาตรฐานสินค้าอาหาร</v>
          </cell>
          <cell r="E68" t="str">
            <v>P1000</v>
          </cell>
          <cell r="F68" t="str">
            <v>ส่วนกลาง</v>
          </cell>
          <cell r="G68" t="str">
            <v>6711500</v>
          </cell>
          <cell r="H68" t="str">
            <v>งบรายจ่ายอื่น /งบส่วนราชการ</v>
          </cell>
          <cell r="I68">
            <v>0</v>
          </cell>
          <cell r="J68" t="str">
            <v>1,056,000.00</v>
          </cell>
          <cell r="K68">
            <v>0</v>
          </cell>
          <cell r="L68" t="str">
            <v>0.00</v>
          </cell>
          <cell r="M68" t="str">
            <v>0.00</v>
          </cell>
          <cell r="N68">
            <v>600000</v>
          </cell>
        </row>
        <row r="69">
          <cell r="C69" t="str">
            <v>04002110003705000008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47,096,100.00</v>
          </cell>
          <cell r="K69">
            <v>0</v>
          </cell>
          <cell r="L69" t="str">
            <v>0.00</v>
          </cell>
          <cell r="M69" t="str">
            <v>13,528.96</v>
          </cell>
          <cell r="N69">
            <v>923748.55</v>
          </cell>
        </row>
        <row r="70">
          <cell r="C70" t="str">
            <v>04002110003705000008</v>
          </cell>
          <cell r="D70">
            <v>0</v>
          </cell>
          <cell r="E70" t="str">
            <v>P1000</v>
          </cell>
          <cell r="F70" t="str">
            <v>ส่วนกลาง</v>
          </cell>
          <cell r="G70">
            <v>0</v>
          </cell>
          <cell r="H70">
            <v>0</v>
          </cell>
          <cell r="I70">
            <v>0</v>
          </cell>
          <cell r="J70" t="str">
            <v>47,096,100.00</v>
          </cell>
          <cell r="K70">
            <v>0</v>
          </cell>
          <cell r="L70" t="str">
            <v>0.00</v>
          </cell>
          <cell r="M70" t="str">
            <v>13,528.96</v>
          </cell>
          <cell r="N70">
            <v>923748.55</v>
          </cell>
        </row>
        <row r="71">
          <cell r="C71" t="str">
            <v>04002110003705000008</v>
          </cell>
          <cell r="D71" t="str">
            <v>ค่าใช้จ่ายในการเป็นเจ้าภาพการประชุมผู้นำกรอบความร่วมมือความริเริ่ม</v>
          </cell>
          <cell r="E71" t="str">
            <v>P1000</v>
          </cell>
          <cell r="F71" t="str">
            <v>ส่วนกลาง</v>
          </cell>
          <cell r="G71" t="str">
            <v>6711500</v>
          </cell>
          <cell r="H71" t="str">
            <v>งบรายจ่ายอื่น /งบส่วนราชการ</v>
          </cell>
          <cell r="I71">
            <v>0</v>
          </cell>
          <cell r="J71" t="str">
            <v>47,096,100.00</v>
          </cell>
          <cell r="K71">
            <v>0</v>
          </cell>
          <cell r="L71" t="str">
            <v>0.00</v>
          </cell>
          <cell r="M71" t="str">
            <v>13,528.96</v>
          </cell>
          <cell r="N71">
            <v>923748.55</v>
          </cell>
        </row>
        <row r="72">
          <cell r="C72" t="str">
            <v>04002110003705000010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 t="str">
            <v>6,471,200.00</v>
          </cell>
          <cell r="K72">
            <v>0</v>
          </cell>
          <cell r="L72" t="str">
            <v>0.00</v>
          </cell>
          <cell r="M72" t="str">
            <v>0.00</v>
          </cell>
          <cell r="N72">
            <v>214042</v>
          </cell>
        </row>
        <row r="73">
          <cell r="C73" t="str">
            <v>04002110003705000010</v>
          </cell>
          <cell r="D73">
            <v>0</v>
          </cell>
          <cell r="E73" t="str">
            <v>P1000</v>
          </cell>
          <cell r="F73" t="str">
            <v>ส่วนกลาง</v>
          </cell>
          <cell r="G73">
            <v>0</v>
          </cell>
          <cell r="H73">
            <v>0</v>
          </cell>
          <cell r="I73">
            <v>0</v>
          </cell>
          <cell r="J73" t="str">
            <v>6,471,200.00</v>
          </cell>
          <cell r="K73">
            <v>0</v>
          </cell>
          <cell r="L73" t="str">
            <v>0.00</v>
          </cell>
          <cell r="M73" t="str">
            <v>0.00</v>
          </cell>
          <cell r="N73">
            <v>214042</v>
          </cell>
        </row>
        <row r="74">
          <cell r="C74" t="str">
            <v>04002110003705000010</v>
          </cell>
          <cell r="D74" t="str">
            <v>ค่าใช้จ่ายในการสนับสนุนความร่วมมือทางวิชาการกับต่างประเทศ</v>
          </cell>
          <cell r="E74" t="str">
            <v>P1000</v>
          </cell>
          <cell r="F74" t="str">
            <v>ส่วนกลาง</v>
          </cell>
          <cell r="G74" t="str">
            <v>6711500</v>
          </cell>
          <cell r="H74" t="str">
            <v>งบรายจ่ายอื่น /งบส่วนราชการ</v>
          </cell>
          <cell r="I74">
            <v>0</v>
          </cell>
          <cell r="J74" t="str">
            <v>6,471,200.00</v>
          </cell>
          <cell r="K74">
            <v>0</v>
          </cell>
          <cell r="L74" t="str">
            <v>0.00</v>
          </cell>
          <cell r="M74" t="str">
            <v>0.00</v>
          </cell>
          <cell r="N74">
            <v>214042</v>
          </cell>
        </row>
        <row r="75">
          <cell r="C75" t="str">
            <v>04002110004704100001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>5,000,000.00</v>
          </cell>
          <cell r="K75">
            <v>0</v>
          </cell>
          <cell r="L75" t="str">
            <v>0.00</v>
          </cell>
          <cell r="M75" t="str">
            <v>0.00</v>
          </cell>
          <cell r="N75">
            <v>0</v>
          </cell>
        </row>
        <row r="76">
          <cell r="C76" t="str">
            <v>04002110004704100001</v>
          </cell>
          <cell r="D76">
            <v>0</v>
          </cell>
          <cell r="E76" t="str">
            <v>P1000</v>
          </cell>
          <cell r="F76" t="str">
            <v>ส่วนกลาง</v>
          </cell>
          <cell r="G76">
            <v>0</v>
          </cell>
          <cell r="H76">
            <v>0</v>
          </cell>
          <cell r="I76">
            <v>0</v>
          </cell>
          <cell r="J76" t="str">
            <v>5,000,000.00</v>
          </cell>
          <cell r="K76">
            <v>0</v>
          </cell>
          <cell r="L76" t="str">
            <v>0.00</v>
          </cell>
          <cell r="M76" t="str">
            <v>0.00</v>
          </cell>
          <cell r="N76">
            <v>0</v>
          </cell>
        </row>
        <row r="77">
          <cell r="C77" t="str">
            <v>04002110004704100001</v>
          </cell>
          <cell r="D77" t="str">
            <v>เงินอุดหนุนสมาคมอาเซียนประเทศไทย</v>
          </cell>
          <cell r="E77" t="str">
            <v>P1000</v>
          </cell>
          <cell r="F77" t="str">
            <v>ส่วนกลาง</v>
          </cell>
          <cell r="G77" t="str">
            <v>6711410</v>
          </cell>
          <cell r="H77" t="str">
            <v>อุดหนุนทั่วไป /งบสรก</v>
          </cell>
          <cell r="I77">
            <v>0</v>
          </cell>
          <cell r="J77" t="str">
            <v>5,000,000.00</v>
          </cell>
          <cell r="K77">
            <v>0</v>
          </cell>
          <cell r="L77" t="str">
            <v>0.00</v>
          </cell>
          <cell r="M77" t="str">
            <v>0.00</v>
          </cell>
          <cell r="N77">
            <v>0</v>
          </cell>
        </row>
        <row r="78">
          <cell r="C78" t="str">
            <v>04002110004704100002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11,000,000.00</v>
          </cell>
          <cell r="K78">
            <v>0</v>
          </cell>
          <cell r="L78" t="str">
            <v>0.00</v>
          </cell>
          <cell r="M78" t="str">
            <v>0.00</v>
          </cell>
          <cell r="N78">
            <v>0</v>
          </cell>
        </row>
        <row r="79">
          <cell r="C79" t="str">
            <v>04002110004704100002</v>
          </cell>
          <cell r="D79">
            <v>0</v>
          </cell>
          <cell r="E79" t="str">
            <v>P1000</v>
          </cell>
          <cell r="F79" t="str">
            <v>ส่วนกลาง</v>
          </cell>
          <cell r="G79">
            <v>0</v>
          </cell>
          <cell r="H79">
            <v>0</v>
          </cell>
          <cell r="I79">
            <v>0</v>
          </cell>
          <cell r="J79" t="str">
            <v>11,000,000.00</v>
          </cell>
          <cell r="K79">
            <v>0</v>
          </cell>
          <cell r="L79" t="str">
            <v>0.00</v>
          </cell>
          <cell r="M79" t="str">
            <v>0.00</v>
          </cell>
          <cell r="N79">
            <v>0</v>
          </cell>
        </row>
        <row r="80">
          <cell r="C80" t="str">
            <v>04002110004704100002</v>
          </cell>
          <cell r="D80" t="str">
            <v>เงินสนับสนุนการดำเนินงานของศูนย์อาเซียนเพื่อการศึกษาและการหารือด้า</v>
          </cell>
          <cell r="E80" t="str">
            <v>P1000</v>
          </cell>
          <cell r="F80" t="str">
            <v>ส่วนกลาง</v>
          </cell>
          <cell r="G80" t="str">
            <v>6711410</v>
          </cell>
          <cell r="H80" t="str">
            <v>อุดหนุนทั่วไป /งบสรก</v>
          </cell>
          <cell r="I80">
            <v>0</v>
          </cell>
          <cell r="J80" t="str">
            <v>11,000,000.00</v>
          </cell>
          <cell r="K80">
            <v>0</v>
          </cell>
          <cell r="L80" t="str">
            <v>0.00</v>
          </cell>
          <cell r="M80" t="str">
            <v>0.00</v>
          </cell>
          <cell r="N80">
            <v>0</v>
          </cell>
        </row>
        <row r="81">
          <cell r="C81" t="str">
            <v>04002110004705000001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285,000.00</v>
          </cell>
          <cell r="K81">
            <v>0</v>
          </cell>
          <cell r="L81" t="str">
            <v>0.00</v>
          </cell>
          <cell r="M81" t="str">
            <v>0.00</v>
          </cell>
          <cell r="N81">
            <v>0</v>
          </cell>
        </row>
        <row r="82">
          <cell r="C82" t="str">
            <v>04002110004705000001</v>
          </cell>
          <cell r="D82">
            <v>0</v>
          </cell>
          <cell r="E82" t="str">
            <v>P1000</v>
          </cell>
          <cell r="F82" t="str">
            <v>ส่วนกลาง</v>
          </cell>
          <cell r="G82">
            <v>0</v>
          </cell>
          <cell r="H82">
            <v>0</v>
          </cell>
          <cell r="I82">
            <v>0</v>
          </cell>
          <cell r="J82" t="str">
            <v>285,000.00</v>
          </cell>
          <cell r="K82">
            <v>0</v>
          </cell>
          <cell r="L82" t="str">
            <v>0.00</v>
          </cell>
          <cell r="M82" t="str">
            <v>0.00</v>
          </cell>
          <cell r="N82">
            <v>0</v>
          </cell>
        </row>
        <row r="83">
          <cell r="C83" t="str">
            <v>04002110004705000001</v>
          </cell>
          <cell r="D83" t="str">
            <v>ค่าตอบแทนในการปฏิบัติงาน</v>
          </cell>
          <cell r="E83" t="str">
            <v>P1000</v>
          </cell>
          <cell r="F83" t="str">
            <v>ส่วนกลาง</v>
          </cell>
          <cell r="G83" t="str">
            <v>6711500</v>
          </cell>
          <cell r="H83" t="str">
            <v>งบรายจ่ายอื่น /งบส่วนราชการ</v>
          </cell>
          <cell r="I83">
            <v>0</v>
          </cell>
          <cell r="J83" t="str">
            <v>285,000.00</v>
          </cell>
          <cell r="K83">
            <v>0</v>
          </cell>
          <cell r="L83" t="str">
            <v>0.00</v>
          </cell>
          <cell r="M83" t="str">
            <v>0.00</v>
          </cell>
          <cell r="N83">
            <v>0</v>
          </cell>
        </row>
        <row r="84">
          <cell r="C84" t="str">
            <v>04002110004705000002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30,000.00</v>
          </cell>
          <cell r="K84">
            <v>0</v>
          </cell>
          <cell r="L84" t="str">
            <v>0.00</v>
          </cell>
          <cell r="M84" t="str">
            <v>0.00</v>
          </cell>
          <cell r="N84">
            <v>9400</v>
          </cell>
        </row>
        <row r="85">
          <cell r="C85" t="str">
            <v>04002110004705000002</v>
          </cell>
          <cell r="D85">
            <v>0</v>
          </cell>
          <cell r="E85" t="str">
            <v>P1000</v>
          </cell>
          <cell r="F85" t="str">
            <v>ส่วนกลาง</v>
          </cell>
          <cell r="G85">
            <v>0</v>
          </cell>
          <cell r="H85">
            <v>0</v>
          </cell>
          <cell r="I85">
            <v>0</v>
          </cell>
          <cell r="J85" t="str">
            <v>30,000.00</v>
          </cell>
          <cell r="K85">
            <v>0</v>
          </cell>
          <cell r="L85" t="str">
            <v>0.00</v>
          </cell>
          <cell r="M85" t="str">
            <v>0.00</v>
          </cell>
          <cell r="N85">
            <v>9400</v>
          </cell>
        </row>
        <row r="86">
          <cell r="C86" t="str">
            <v>04002110004705000002</v>
          </cell>
          <cell r="D86" t="str">
            <v>ค่าใช้จ่ายในการเข้าร่วมประชุมและจัดการประชุมด้านป้องกันและปราบปราม</v>
          </cell>
          <cell r="E86" t="str">
            <v>P1000</v>
          </cell>
          <cell r="F86" t="str">
            <v>ส่วนกลาง</v>
          </cell>
          <cell r="G86" t="str">
            <v>6711500</v>
          </cell>
          <cell r="H86" t="str">
            <v>งบรายจ่ายอื่น /งบส่วนราชการ</v>
          </cell>
          <cell r="I86">
            <v>0</v>
          </cell>
          <cell r="J86" t="str">
            <v>30,000.00</v>
          </cell>
          <cell r="K86">
            <v>0</v>
          </cell>
          <cell r="L86" t="str">
            <v>0.00</v>
          </cell>
          <cell r="M86" t="str">
            <v>0.00</v>
          </cell>
          <cell r="N86">
            <v>9400</v>
          </cell>
        </row>
        <row r="87">
          <cell r="C87" t="str">
            <v>04002110004705000003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 t="str">
            <v>11,900,000.00</v>
          </cell>
          <cell r="K87">
            <v>0</v>
          </cell>
          <cell r="L87" t="str">
            <v>0.00</v>
          </cell>
          <cell r="M87" t="str">
            <v>0.00</v>
          </cell>
          <cell r="N87">
            <v>589733.06999999995</v>
          </cell>
        </row>
        <row r="88">
          <cell r="C88" t="str">
            <v>04002110004705000003</v>
          </cell>
          <cell r="D88">
            <v>0</v>
          </cell>
          <cell r="E88" t="str">
            <v>P1000</v>
          </cell>
          <cell r="F88" t="str">
            <v>ส่วนกลาง</v>
          </cell>
          <cell r="G88">
            <v>0</v>
          </cell>
          <cell r="H88">
            <v>0</v>
          </cell>
          <cell r="I88">
            <v>0</v>
          </cell>
          <cell r="J88" t="str">
            <v>11,900,000.00</v>
          </cell>
          <cell r="K88">
            <v>0</v>
          </cell>
          <cell r="L88" t="str">
            <v>0.00</v>
          </cell>
          <cell r="M88" t="str">
            <v>0.00</v>
          </cell>
          <cell r="N88">
            <v>589733.06999999995</v>
          </cell>
        </row>
        <row r="89">
          <cell r="C89" t="str">
            <v>04002110004705000003</v>
          </cell>
          <cell r="D89" t="str">
            <v>ค่าใช้จ่ายในการดำเนินงานสันถวไมตรี</v>
          </cell>
          <cell r="E89" t="str">
            <v>P1000</v>
          </cell>
          <cell r="F89" t="str">
            <v>ส่วนกลาง</v>
          </cell>
          <cell r="G89" t="str">
            <v>6711500</v>
          </cell>
          <cell r="H89" t="str">
            <v>งบรายจ่ายอื่น /งบส่วนราชการ</v>
          </cell>
          <cell r="I89">
            <v>0</v>
          </cell>
          <cell r="J89" t="str">
            <v>11,900,000.00</v>
          </cell>
          <cell r="K89">
            <v>0</v>
          </cell>
          <cell r="L89" t="str">
            <v>0.00</v>
          </cell>
          <cell r="M89" t="str">
            <v>0.00</v>
          </cell>
          <cell r="N89">
            <v>589733.06999999995</v>
          </cell>
        </row>
        <row r="90">
          <cell r="C90" t="str">
            <v>04002110004705000004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 t="str">
            <v>786,000.00</v>
          </cell>
          <cell r="K90">
            <v>0</v>
          </cell>
          <cell r="L90" t="str">
            <v>0.00</v>
          </cell>
          <cell r="M90" t="str">
            <v>0.00</v>
          </cell>
          <cell r="N90">
            <v>118064</v>
          </cell>
        </row>
        <row r="91">
          <cell r="C91" t="str">
            <v>04002110004705000004</v>
          </cell>
          <cell r="D91">
            <v>0</v>
          </cell>
          <cell r="E91" t="str">
            <v>P1000</v>
          </cell>
          <cell r="F91" t="str">
            <v>ส่วนกลาง</v>
          </cell>
          <cell r="G91">
            <v>0</v>
          </cell>
          <cell r="H91">
            <v>0</v>
          </cell>
          <cell r="I91">
            <v>0</v>
          </cell>
          <cell r="J91" t="str">
            <v>786,000.00</v>
          </cell>
          <cell r="K91">
            <v>0</v>
          </cell>
          <cell r="L91" t="str">
            <v>0.00</v>
          </cell>
          <cell r="M91" t="str">
            <v>0.00</v>
          </cell>
          <cell r="N91">
            <v>118064</v>
          </cell>
        </row>
        <row r="92">
          <cell r="C92" t="str">
            <v>04002110004705000004</v>
          </cell>
          <cell r="D92" t="str">
            <v>ค่าใช้จ่ายในการเฉลิมฉลองความสัมพันธ์กับประเทศต่าง ๆ</v>
          </cell>
          <cell r="E92" t="str">
            <v>P1000</v>
          </cell>
          <cell r="F92" t="str">
            <v>ส่วนกลาง</v>
          </cell>
          <cell r="G92" t="str">
            <v>6711500</v>
          </cell>
          <cell r="H92" t="str">
            <v>งบรายจ่ายอื่น /งบส่วนราชการ</v>
          </cell>
          <cell r="I92">
            <v>0</v>
          </cell>
          <cell r="J92" t="str">
            <v>786,000.00</v>
          </cell>
          <cell r="K92">
            <v>0</v>
          </cell>
          <cell r="L92" t="str">
            <v>0.00</v>
          </cell>
          <cell r="M92" t="str">
            <v>0.00</v>
          </cell>
          <cell r="N92">
            <v>118064</v>
          </cell>
        </row>
        <row r="93">
          <cell r="C93" t="str">
            <v>04002110004705000005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 t="str">
            <v>13,440,000.00</v>
          </cell>
          <cell r="K93">
            <v>0</v>
          </cell>
          <cell r="L93" t="str">
            <v>0.00</v>
          </cell>
          <cell r="M93" t="str">
            <v>0.00</v>
          </cell>
          <cell r="N93">
            <v>978764.68</v>
          </cell>
        </row>
        <row r="94">
          <cell r="C94" t="str">
            <v>04002110004705000005</v>
          </cell>
          <cell r="D94">
            <v>0</v>
          </cell>
          <cell r="E94" t="str">
            <v>P1000</v>
          </cell>
          <cell r="F94" t="str">
            <v>ส่วนกลาง</v>
          </cell>
          <cell r="G94">
            <v>0</v>
          </cell>
          <cell r="H94">
            <v>0</v>
          </cell>
          <cell r="I94">
            <v>0</v>
          </cell>
          <cell r="J94" t="str">
            <v>13,440,000.00</v>
          </cell>
          <cell r="K94">
            <v>0</v>
          </cell>
          <cell r="L94" t="str">
            <v>0.00</v>
          </cell>
          <cell r="M94" t="str">
            <v>0.00</v>
          </cell>
          <cell r="N94">
            <v>978764.68</v>
          </cell>
        </row>
        <row r="95">
          <cell r="C95" t="str">
            <v>04002110004705000005</v>
          </cell>
          <cell r="D95" t="str">
            <v>ค่าใช้จ่ายในการดำเนินงานด้านเขตแดนระหว่างไทยกับประเทศเพื่อนบ้าน</v>
          </cell>
          <cell r="E95" t="str">
            <v>P1000</v>
          </cell>
          <cell r="F95" t="str">
            <v>ส่วนกลาง</v>
          </cell>
          <cell r="G95" t="str">
            <v>6711500</v>
          </cell>
          <cell r="H95" t="str">
            <v>งบรายจ่ายอื่น /งบส่วนราชการ</v>
          </cell>
          <cell r="I95">
            <v>0</v>
          </cell>
          <cell r="J95" t="str">
            <v>13,440,000.00</v>
          </cell>
          <cell r="K95">
            <v>0</v>
          </cell>
          <cell r="L95" t="str">
            <v>0.00</v>
          </cell>
          <cell r="M95" t="str">
            <v>0.00</v>
          </cell>
          <cell r="N95">
            <v>978764.68</v>
          </cell>
        </row>
        <row r="96">
          <cell r="C96" t="str">
            <v>04002110004705000006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>9,620,000.00</v>
          </cell>
          <cell r="K96">
            <v>0</v>
          </cell>
          <cell r="L96" t="str">
            <v>0.00</v>
          </cell>
          <cell r="M96" t="str">
            <v>0.00</v>
          </cell>
          <cell r="N96">
            <v>5398361.7699999996</v>
          </cell>
        </row>
        <row r="97">
          <cell r="C97" t="str">
            <v>04002110004705000006</v>
          </cell>
          <cell r="D97">
            <v>0</v>
          </cell>
          <cell r="E97" t="str">
            <v>P1000</v>
          </cell>
          <cell r="F97" t="str">
            <v>ส่วนกลาง</v>
          </cell>
          <cell r="G97">
            <v>0</v>
          </cell>
          <cell r="H97">
            <v>0</v>
          </cell>
          <cell r="I97">
            <v>0</v>
          </cell>
          <cell r="J97" t="str">
            <v>9,620,000.00</v>
          </cell>
          <cell r="K97">
            <v>0</v>
          </cell>
          <cell r="L97" t="str">
            <v>0.00</v>
          </cell>
          <cell r="M97" t="str">
            <v>0.00</v>
          </cell>
          <cell r="N97">
            <v>5398361.7699999996</v>
          </cell>
        </row>
        <row r="98">
          <cell r="C98" t="str">
            <v>04002110004705000006</v>
          </cell>
          <cell r="D98" t="str">
            <v>ค่าใช้จ่ายในการส่งเสริมความสัมพันธ์และขยายความร่วมมือกับประเทศเพื่</v>
          </cell>
          <cell r="E98" t="str">
            <v>P1000</v>
          </cell>
          <cell r="F98" t="str">
            <v>ส่วนกลาง</v>
          </cell>
          <cell r="G98" t="str">
            <v>6711500</v>
          </cell>
          <cell r="H98" t="str">
            <v>งบรายจ่ายอื่น /งบส่วนราชการ</v>
          </cell>
          <cell r="I98">
            <v>0</v>
          </cell>
          <cell r="J98" t="str">
            <v>9,620,000.00</v>
          </cell>
          <cell r="K98">
            <v>0</v>
          </cell>
          <cell r="L98" t="str">
            <v>0.00</v>
          </cell>
          <cell r="M98" t="str">
            <v>0.00</v>
          </cell>
          <cell r="N98">
            <v>5398361.7699999996</v>
          </cell>
        </row>
        <row r="99">
          <cell r="C99" t="str">
            <v>04002110004705000007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 t="str">
            <v>89,279,700.00</v>
          </cell>
          <cell r="K99">
            <v>0</v>
          </cell>
          <cell r="L99" t="str">
            <v>0.00</v>
          </cell>
          <cell r="M99" t="str">
            <v>237,920.00</v>
          </cell>
          <cell r="N99">
            <v>3780850.39</v>
          </cell>
        </row>
        <row r="100">
          <cell r="C100" t="str">
            <v>04002110004705000007</v>
          </cell>
          <cell r="D100">
            <v>0</v>
          </cell>
          <cell r="E100" t="str">
            <v>P1000</v>
          </cell>
          <cell r="F100" t="str">
            <v>ส่วนกลาง</v>
          </cell>
          <cell r="G100">
            <v>0</v>
          </cell>
          <cell r="H100">
            <v>0</v>
          </cell>
          <cell r="I100">
            <v>0</v>
          </cell>
          <cell r="J100" t="str">
            <v>89,279,700.00</v>
          </cell>
          <cell r="K100">
            <v>0</v>
          </cell>
          <cell r="L100" t="str">
            <v>0.00</v>
          </cell>
          <cell r="M100" t="str">
            <v>237,920.00</v>
          </cell>
          <cell r="N100">
            <v>3780850.39</v>
          </cell>
        </row>
        <row r="101">
          <cell r="C101" t="str">
            <v>04002110004705000007</v>
          </cell>
          <cell r="D101" t="str">
            <v>ค่าใช้จ่ายในการดำเนินภารกิจเร่งด่วนตามสถานการณ์ความเปลี่ยนแปลงด้าน</v>
          </cell>
          <cell r="E101" t="str">
            <v>P1000</v>
          </cell>
          <cell r="F101" t="str">
            <v>ส่วนกลาง</v>
          </cell>
          <cell r="G101" t="str">
            <v>6711500</v>
          </cell>
          <cell r="H101" t="str">
            <v>งบรายจ่ายอื่น /งบส่วนราชการ</v>
          </cell>
          <cell r="I101">
            <v>0</v>
          </cell>
          <cell r="J101" t="str">
            <v>89,279,700.00</v>
          </cell>
          <cell r="K101">
            <v>0</v>
          </cell>
          <cell r="L101" t="str">
            <v>0.00</v>
          </cell>
          <cell r="M101" t="str">
            <v>237,920.00</v>
          </cell>
          <cell r="N101">
            <v>3780850.39</v>
          </cell>
        </row>
        <row r="102">
          <cell r="C102" t="str">
            <v>04002110004705000008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2,836,484.00</v>
          </cell>
          <cell r="K102">
            <v>0</v>
          </cell>
          <cell r="L102" t="str">
            <v>0.00</v>
          </cell>
          <cell r="M102" t="str">
            <v>0.00</v>
          </cell>
          <cell r="N102">
            <v>609531.04</v>
          </cell>
        </row>
        <row r="103">
          <cell r="C103" t="str">
            <v>04002110004705000008</v>
          </cell>
          <cell r="D103">
            <v>0</v>
          </cell>
          <cell r="E103" t="str">
            <v>P1000</v>
          </cell>
          <cell r="F103" t="str">
            <v>ส่วนกลาง</v>
          </cell>
          <cell r="G103">
            <v>0</v>
          </cell>
          <cell r="H103">
            <v>0</v>
          </cell>
          <cell r="I103">
            <v>0</v>
          </cell>
          <cell r="J103" t="str">
            <v>2,836,484.00</v>
          </cell>
          <cell r="K103">
            <v>0</v>
          </cell>
          <cell r="L103" t="str">
            <v>0.00</v>
          </cell>
          <cell r="M103" t="str">
            <v>0.00</v>
          </cell>
          <cell r="N103">
            <v>609531.04</v>
          </cell>
        </row>
        <row r="104">
          <cell r="C104" t="str">
            <v>04002110004705000008</v>
          </cell>
          <cell r="D104" t="str">
            <v>ค่าใช้จ่ายในการพัฒนาฐานข้อมูลและองค์ความรู้ด้านการต่างประเทศ</v>
          </cell>
          <cell r="E104" t="str">
            <v>P1000</v>
          </cell>
          <cell r="F104" t="str">
            <v>ส่วนกลาง</v>
          </cell>
          <cell r="G104" t="str">
            <v>6711500</v>
          </cell>
          <cell r="H104" t="str">
            <v>งบรายจ่ายอื่น /งบส่วนราชการ</v>
          </cell>
          <cell r="I104">
            <v>0</v>
          </cell>
          <cell r="J104" t="str">
            <v>2,836,484.00</v>
          </cell>
          <cell r="K104">
            <v>0</v>
          </cell>
          <cell r="L104" t="str">
            <v>0.00</v>
          </cell>
          <cell r="M104" t="str">
            <v>0.00</v>
          </cell>
          <cell r="N104">
            <v>609531.04</v>
          </cell>
        </row>
        <row r="105">
          <cell r="C105" t="str">
            <v>04002110004705000009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 t="str">
            <v>2,824,000.00</v>
          </cell>
          <cell r="K105">
            <v>0</v>
          </cell>
          <cell r="L105" t="str">
            <v>0.00</v>
          </cell>
          <cell r="M105" t="str">
            <v>0.00</v>
          </cell>
          <cell r="N105">
            <v>193427</v>
          </cell>
        </row>
        <row r="106">
          <cell r="C106" t="str">
            <v>04002110004705000009</v>
          </cell>
          <cell r="D106">
            <v>0</v>
          </cell>
          <cell r="E106" t="str">
            <v>P1000</v>
          </cell>
          <cell r="F106" t="str">
            <v>ส่วนกลาง</v>
          </cell>
          <cell r="G106">
            <v>0</v>
          </cell>
          <cell r="H106">
            <v>0</v>
          </cell>
          <cell r="I106">
            <v>0</v>
          </cell>
          <cell r="J106" t="str">
            <v>2,824,000.00</v>
          </cell>
          <cell r="K106">
            <v>0</v>
          </cell>
          <cell r="L106" t="str">
            <v>0.00</v>
          </cell>
          <cell r="M106" t="str">
            <v>0.00</v>
          </cell>
          <cell r="N106">
            <v>193427</v>
          </cell>
        </row>
        <row r="107">
          <cell r="C107" t="str">
            <v>04002110004705000009</v>
          </cell>
          <cell r="D107" t="str">
            <v>ค่าใช้จ่ายในการดำเนินภารกิจตามยุทธศาสตร์ไทยต่อโลกมุสลิม</v>
          </cell>
          <cell r="E107" t="str">
            <v>P1000</v>
          </cell>
          <cell r="F107" t="str">
            <v>ส่วนกลาง</v>
          </cell>
          <cell r="G107" t="str">
            <v>6711500</v>
          </cell>
          <cell r="H107" t="str">
            <v>งบรายจ่ายอื่น /งบส่วนราชการ</v>
          </cell>
          <cell r="I107">
            <v>0</v>
          </cell>
          <cell r="J107" t="str">
            <v>2,824,000.00</v>
          </cell>
          <cell r="K107">
            <v>0</v>
          </cell>
          <cell r="L107" t="str">
            <v>0.00</v>
          </cell>
          <cell r="M107" t="str">
            <v>0.00</v>
          </cell>
          <cell r="N107">
            <v>193427</v>
          </cell>
        </row>
        <row r="108">
          <cell r="C108" t="str">
            <v>04002110004705000010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>333,400.00</v>
          </cell>
          <cell r="K108">
            <v>0</v>
          </cell>
          <cell r="L108" t="str">
            <v>0.00</v>
          </cell>
          <cell r="M108" t="str">
            <v>0.00</v>
          </cell>
          <cell r="N108">
            <v>0</v>
          </cell>
        </row>
        <row r="109">
          <cell r="C109" t="str">
            <v>04002110004705000010</v>
          </cell>
          <cell r="D109">
            <v>0</v>
          </cell>
          <cell r="E109" t="str">
            <v>P1000</v>
          </cell>
          <cell r="F109" t="str">
            <v>ส่วนกลาง</v>
          </cell>
          <cell r="G109">
            <v>0</v>
          </cell>
          <cell r="H109">
            <v>0</v>
          </cell>
          <cell r="I109">
            <v>0</v>
          </cell>
          <cell r="J109" t="str">
            <v>333,400.00</v>
          </cell>
          <cell r="K109">
            <v>0</v>
          </cell>
          <cell r="L109" t="str">
            <v>0.00</v>
          </cell>
          <cell r="M109" t="str">
            <v>0.00</v>
          </cell>
          <cell r="N109">
            <v>0</v>
          </cell>
        </row>
        <row r="110">
          <cell r="C110" t="str">
            <v>04002110004705000010</v>
          </cell>
          <cell r="D110" t="str">
            <v>ค่าใช้จ่ายในการดำเนินการหลังคำพิพากษาคดีปราสาทเขาพระวิหาร</v>
          </cell>
          <cell r="E110" t="str">
            <v>P1000</v>
          </cell>
          <cell r="F110" t="str">
            <v>ส่วนกลาง</v>
          </cell>
          <cell r="G110" t="str">
            <v>6711500</v>
          </cell>
          <cell r="H110" t="str">
            <v>งบรายจ่ายอื่น /งบส่วนราชการ</v>
          </cell>
          <cell r="I110">
            <v>0</v>
          </cell>
          <cell r="J110" t="str">
            <v>333,400.00</v>
          </cell>
          <cell r="K110">
            <v>0</v>
          </cell>
          <cell r="L110" t="str">
            <v>0.00</v>
          </cell>
          <cell r="M110" t="str">
            <v>0.00</v>
          </cell>
          <cell r="N110">
            <v>0</v>
          </cell>
        </row>
        <row r="111">
          <cell r="C111" t="str">
            <v>04002110004705000012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>344,400.00</v>
          </cell>
          <cell r="K111">
            <v>0</v>
          </cell>
          <cell r="L111" t="str">
            <v>0.00</v>
          </cell>
          <cell r="M111" t="str">
            <v>0.00</v>
          </cell>
          <cell r="N111">
            <v>98614.77</v>
          </cell>
        </row>
        <row r="112">
          <cell r="C112" t="str">
            <v>04002110004705000012</v>
          </cell>
          <cell r="D112">
            <v>0</v>
          </cell>
          <cell r="E112" t="str">
            <v>P1000</v>
          </cell>
          <cell r="F112" t="str">
            <v>ส่วนกลาง</v>
          </cell>
          <cell r="G112">
            <v>0</v>
          </cell>
          <cell r="H112">
            <v>0</v>
          </cell>
          <cell r="I112">
            <v>0</v>
          </cell>
          <cell r="J112" t="str">
            <v>344,400.00</v>
          </cell>
          <cell r="K112">
            <v>0</v>
          </cell>
          <cell r="L112" t="str">
            <v>0.00</v>
          </cell>
          <cell r="M112" t="str">
            <v>0.00</v>
          </cell>
          <cell r="N112">
            <v>98614.77</v>
          </cell>
        </row>
        <row r="113">
          <cell r="C113" t="str">
            <v>04002110004705000012</v>
          </cell>
          <cell r="D113" t="str">
            <v>ค่าใช้จ่ายในการสร้างความเข้าใจกับสหรัฐฯ เกี่ยวกับการแก้ไขปัญหาการค้</v>
          </cell>
          <cell r="E113" t="str">
            <v>P1000</v>
          </cell>
          <cell r="F113" t="str">
            <v>ส่วนกลาง</v>
          </cell>
          <cell r="G113" t="str">
            <v>6711500</v>
          </cell>
          <cell r="H113" t="str">
            <v>งบรายจ่ายอื่น /งบส่วนราชการ</v>
          </cell>
          <cell r="I113">
            <v>0</v>
          </cell>
          <cell r="J113" t="str">
            <v>344,400.00</v>
          </cell>
          <cell r="K113">
            <v>0</v>
          </cell>
          <cell r="L113" t="str">
            <v>0.00</v>
          </cell>
          <cell r="M113" t="str">
            <v>0.00</v>
          </cell>
          <cell r="N113">
            <v>98614.77</v>
          </cell>
        </row>
        <row r="114">
          <cell r="C114" t="str">
            <v>04002110004705000013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 t="str">
            <v>6,696,600.00</v>
          </cell>
          <cell r="K114">
            <v>0</v>
          </cell>
          <cell r="L114" t="str">
            <v>0.00</v>
          </cell>
          <cell r="M114" t="str">
            <v>0.00</v>
          </cell>
          <cell r="N114">
            <v>5910400</v>
          </cell>
        </row>
        <row r="115">
          <cell r="C115" t="str">
            <v>04002110004705000013</v>
          </cell>
          <cell r="D115">
            <v>0</v>
          </cell>
          <cell r="E115" t="str">
            <v>P1000</v>
          </cell>
          <cell r="F115" t="str">
            <v>ส่วนกลาง</v>
          </cell>
          <cell r="G115">
            <v>0</v>
          </cell>
          <cell r="H115">
            <v>0</v>
          </cell>
          <cell r="I115">
            <v>0</v>
          </cell>
          <cell r="J115" t="str">
            <v>6,696,600.00</v>
          </cell>
          <cell r="K115">
            <v>0</v>
          </cell>
          <cell r="L115" t="str">
            <v>0.00</v>
          </cell>
          <cell r="M115" t="str">
            <v>0.00</v>
          </cell>
          <cell r="N115">
            <v>5910400</v>
          </cell>
        </row>
        <row r="116">
          <cell r="C116" t="str">
            <v>04002110004705000013</v>
          </cell>
          <cell r="D116" t="str">
            <v>ค่าใช้จ่ายในการให้ความช่วยเหลือแก่มิตรประเทศที่ประสบภัยพิบัติ</v>
          </cell>
          <cell r="E116" t="str">
            <v>P1000</v>
          </cell>
          <cell r="F116" t="str">
            <v>ส่วนกลาง</v>
          </cell>
          <cell r="G116" t="str">
            <v>6711500</v>
          </cell>
          <cell r="H116" t="str">
            <v>งบรายจ่ายอื่น /งบส่วนราชการ</v>
          </cell>
          <cell r="I116">
            <v>0</v>
          </cell>
          <cell r="J116" t="str">
            <v>6,696,600.00</v>
          </cell>
          <cell r="K116">
            <v>0</v>
          </cell>
          <cell r="L116" t="str">
            <v>0.00</v>
          </cell>
          <cell r="M116" t="str">
            <v>0.00</v>
          </cell>
          <cell r="N116">
            <v>5910400</v>
          </cell>
        </row>
        <row r="117">
          <cell r="C117" t="str">
            <v>04002110004705000014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>757,000.00</v>
          </cell>
          <cell r="K117">
            <v>0</v>
          </cell>
          <cell r="L117" t="str">
            <v>0.00</v>
          </cell>
          <cell r="M117" t="str">
            <v>0.00</v>
          </cell>
          <cell r="N117">
            <v>146538.93</v>
          </cell>
        </row>
        <row r="118">
          <cell r="C118" t="str">
            <v>04002110004705000014</v>
          </cell>
          <cell r="D118">
            <v>0</v>
          </cell>
          <cell r="E118" t="str">
            <v>P1000</v>
          </cell>
          <cell r="F118" t="str">
            <v>ส่วนกลาง</v>
          </cell>
          <cell r="G118">
            <v>0</v>
          </cell>
          <cell r="H118">
            <v>0</v>
          </cell>
          <cell r="I118">
            <v>0</v>
          </cell>
          <cell r="J118" t="str">
            <v>757,000.00</v>
          </cell>
          <cell r="K118">
            <v>0</v>
          </cell>
          <cell r="L118" t="str">
            <v>0.00</v>
          </cell>
          <cell r="M118" t="str">
            <v>0.00</v>
          </cell>
          <cell r="N118">
            <v>146538.93</v>
          </cell>
        </row>
        <row r="119">
          <cell r="C119" t="str">
            <v>04002110004705000014</v>
          </cell>
          <cell r="D119" t="str">
            <v>ค่าใช้จ่ายในการสนับสนุนการดำเนินการส่งกลับผู้หนีภัยการสู้รบจากเมีย</v>
          </cell>
          <cell r="E119" t="str">
            <v>P1000</v>
          </cell>
          <cell r="F119" t="str">
            <v>ส่วนกลาง</v>
          </cell>
          <cell r="G119" t="str">
            <v>6711500</v>
          </cell>
          <cell r="H119" t="str">
            <v>งบรายจ่ายอื่น /งบส่วนราชการ</v>
          </cell>
          <cell r="I119">
            <v>0</v>
          </cell>
          <cell r="J119" t="str">
            <v>757,000.00</v>
          </cell>
          <cell r="K119">
            <v>0</v>
          </cell>
          <cell r="L119" t="str">
            <v>0.00</v>
          </cell>
          <cell r="M119" t="str">
            <v>0.00</v>
          </cell>
          <cell r="N119">
            <v>146538.93</v>
          </cell>
        </row>
        <row r="120">
          <cell r="C120" t="str">
            <v>04002110004705000015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 t="str">
            <v>540,000.00</v>
          </cell>
          <cell r="K120">
            <v>0</v>
          </cell>
          <cell r="L120" t="str">
            <v>0.00</v>
          </cell>
          <cell r="M120" t="str">
            <v>0.00</v>
          </cell>
          <cell r="N120">
            <v>88548.24</v>
          </cell>
        </row>
        <row r="121">
          <cell r="C121" t="str">
            <v>04002110004705000015</v>
          </cell>
          <cell r="D121">
            <v>0</v>
          </cell>
          <cell r="E121" t="str">
            <v>P1000</v>
          </cell>
          <cell r="F121" t="str">
            <v>ส่วนกลาง</v>
          </cell>
          <cell r="G121">
            <v>0</v>
          </cell>
          <cell r="H121">
            <v>0</v>
          </cell>
          <cell r="I121">
            <v>0</v>
          </cell>
          <cell r="J121" t="str">
            <v>540,000.00</v>
          </cell>
          <cell r="K121">
            <v>0</v>
          </cell>
          <cell r="L121" t="str">
            <v>0.00</v>
          </cell>
          <cell r="M121" t="str">
            <v>0.00</v>
          </cell>
          <cell r="N121">
            <v>88548.24</v>
          </cell>
        </row>
        <row r="122">
          <cell r="C122" t="str">
            <v>04002110004705000015</v>
          </cell>
          <cell r="D122" t="str">
            <v>ค่าใช้จ่ายในการผลักดันยุทธศาสตร์ความร่วมมือกับประเทศพันธมิตรที่สำค</v>
          </cell>
          <cell r="E122" t="str">
            <v>P1000</v>
          </cell>
          <cell r="F122" t="str">
            <v>ส่วนกลาง</v>
          </cell>
          <cell r="G122" t="str">
            <v>6711500</v>
          </cell>
          <cell r="H122" t="str">
            <v>งบรายจ่ายอื่น /งบส่วนราชการ</v>
          </cell>
          <cell r="I122">
            <v>0</v>
          </cell>
          <cell r="J122" t="str">
            <v>540,000.00</v>
          </cell>
          <cell r="K122">
            <v>0</v>
          </cell>
          <cell r="L122" t="str">
            <v>0.00</v>
          </cell>
          <cell r="M122" t="str">
            <v>0.00</v>
          </cell>
          <cell r="N122">
            <v>88548.24</v>
          </cell>
        </row>
        <row r="123">
          <cell r="C123" t="str">
            <v>04002110004705000016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>26,601,016.00</v>
          </cell>
          <cell r="K123">
            <v>0</v>
          </cell>
          <cell r="L123" t="str">
            <v>0.00</v>
          </cell>
          <cell r="M123" t="str">
            <v>15,360.00</v>
          </cell>
          <cell r="N123">
            <v>8804645.6199999992</v>
          </cell>
        </row>
        <row r="124">
          <cell r="C124" t="str">
            <v>04002110004705000016</v>
          </cell>
          <cell r="D124">
            <v>0</v>
          </cell>
          <cell r="E124" t="str">
            <v>P1000</v>
          </cell>
          <cell r="F124" t="str">
            <v>ส่วนกลาง</v>
          </cell>
          <cell r="G124">
            <v>0</v>
          </cell>
          <cell r="H124">
            <v>0</v>
          </cell>
          <cell r="I124">
            <v>0</v>
          </cell>
          <cell r="J124" t="str">
            <v>26,601,016.00</v>
          </cell>
          <cell r="K124">
            <v>0</v>
          </cell>
          <cell r="L124" t="str">
            <v>0.00</v>
          </cell>
          <cell r="M124" t="str">
            <v>15,360.00</v>
          </cell>
          <cell r="N124">
            <v>8804645.6199999992</v>
          </cell>
        </row>
        <row r="125">
          <cell r="C125" t="str">
            <v>04002110004705000016</v>
          </cell>
          <cell r="D125" t="str">
            <v>ค่าใช้จ่ายในการเจรจาและการจัดประชุมนานาชาติ</v>
          </cell>
          <cell r="E125" t="str">
            <v>P1000</v>
          </cell>
          <cell r="F125" t="str">
            <v>ส่วนกลาง</v>
          </cell>
          <cell r="G125" t="str">
            <v>6711500</v>
          </cell>
          <cell r="H125" t="str">
            <v>งบรายจ่ายอื่น /งบส่วนราชการ</v>
          </cell>
          <cell r="I125">
            <v>0</v>
          </cell>
          <cell r="J125" t="str">
            <v>26,601,016.00</v>
          </cell>
          <cell r="K125">
            <v>0</v>
          </cell>
          <cell r="L125" t="str">
            <v>0.00</v>
          </cell>
          <cell r="M125" t="str">
            <v>15,360.00</v>
          </cell>
          <cell r="N125">
            <v>8804645.6199999992</v>
          </cell>
        </row>
        <row r="126">
          <cell r="C126" t="str">
            <v>04002110004705000017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 t="str">
            <v>495,000.00</v>
          </cell>
          <cell r="K126">
            <v>0</v>
          </cell>
          <cell r="L126" t="str">
            <v>0.00</v>
          </cell>
          <cell r="M126" t="str">
            <v>0.00</v>
          </cell>
          <cell r="N126">
            <v>259533.24</v>
          </cell>
        </row>
        <row r="127">
          <cell r="C127" t="str">
            <v>04002110004705000017</v>
          </cell>
          <cell r="D127">
            <v>0</v>
          </cell>
          <cell r="E127" t="str">
            <v>P1000</v>
          </cell>
          <cell r="F127" t="str">
            <v>ส่วนกลาง</v>
          </cell>
          <cell r="G127">
            <v>0</v>
          </cell>
          <cell r="H127">
            <v>0</v>
          </cell>
          <cell r="I127">
            <v>0</v>
          </cell>
          <cell r="J127" t="str">
            <v>495,000.00</v>
          </cell>
          <cell r="K127">
            <v>0</v>
          </cell>
          <cell r="L127" t="str">
            <v>0.00</v>
          </cell>
          <cell r="M127" t="str">
            <v>0.00</v>
          </cell>
          <cell r="N127">
            <v>259533.24</v>
          </cell>
        </row>
        <row r="128">
          <cell r="C128" t="str">
            <v>04002110004705000017</v>
          </cell>
          <cell r="D128" t="str">
            <v>ค่าใช้จ่ายในการดำเนินกิจกรรมประจำปีอาเซียน</v>
          </cell>
          <cell r="E128" t="str">
            <v>P1000</v>
          </cell>
          <cell r="F128" t="str">
            <v>ส่วนกลาง</v>
          </cell>
          <cell r="G128" t="str">
            <v>6711500</v>
          </cell>
          <cell r="H128" t="str">
            <v>งบรายจ่ายอื่น /งบส่วนราชการ</v>
          </cell>
          <cell r="I128">
            <v>0</v>
          </cell>
          <cell r="J128" t="str">
            <v>495,000.00</v>
          </cell>
          <cell r="K128">
            <v>0</v>
          </cell>
          <cell r="L128" t="str">
            <v>0.00</v>
          </cell>
          <cell r="M128" t="str">
            <v>0.00</v>
          </cell>
          <cell r="N128">
            <v>259533.24</v>
          </cell>
        </row>
        <row r="129">
          <cell r="C129" t="str">
            <v>04002110004705000018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 t="str">
            <v>548,900.00</v>
          </cell>
          <cell r="K129">
            <v>0</v>
          </cell>
          <cell r="L129" t="str">
            <v>0.00</v>
          </cell>
          <cell r="M129" t="str">
            <v>0.00</v>
          </cell>
          <cell r="N129">
            <v>174125.4</v>
          </cell>
        </row>
        <row r="130">
          <cell r="C130" t="str">
            <v>04002110004705000018</v>
          </cell>
          <cell r="D130">
            <v>0</v>
          </cell>
          <cell r="E130" t="str">
            <v>P1000</v>
          </cell>
          <cell r="F130" t="str">
            <v>ส่วนกลาง</v>
          </cell>
          <cell r="G130">
            <v>0</v>
          </cell>
          <cell r="H130">
            <v>0</v>
          </cell>
          <cell r="I130">
            <v>0</v>
          </cell>
          <cell r="J130" t="str">
            <v>548,900.00</v>
          </cell>
          <cell r="K130">
            <v>0</v>
          </cell>
          <cell r="L130" t="str">
            <v>0.00</v>
          </cell>
          <cell r="M130" t="str">
            <v>0.00</v>
          </cell>
          <cell r="N130">
            <v>174125.4</v>
          </cell>
        </row>
        <row r="131">
          <cell r="C131" t="str">
            <v>04002110004705000018</v>
          </cell>
          <cell r="D131" t="str">
            <v>ค่าใช้จ่ายในการส่งเสริมความร่วมมือด้านการเมืองและความมั่นคงในกรอบอ</v>
          </cell>
          <cell r="E131" t="str">
            <v>P1000</v>
          </cell>
          <cell r="F131" t="str">
            <v>ส่วนกลาง</v>
          </cell>
          <cell r="G131" t="str">
            <v>6711500</v>
          </cell>
          <cell r="H131" t="str">
            <v>งบรายจ่ายอื่น /งบส่วนราชการ</v>
          </cell>
          <cell r="I131">
            <v>0</v>
          </cell>
          <cell r="J131" t="str">
            <v>548,900.00</v>
          </cell>
          <cell r="K131">
            <v>0</v>
          </cell>
          <cell r="L131" t="str">
            <v>0.00</v>
          </cell>
          <cell r="M131" t="str">
            <v>0.00</v>
          </cell>
          <cell r="N131">
            <v>174125.4</v>
          </cell>
        </row>
        <row r="132">
          <cell r="C132" t="str">
            <v>04002110004705000019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6,221,600.00</v>
          </cell>
          <cell r="K132">
            <v>0</v>
          </cell>
          <cell r="L132" t="str">
            <v>0.00</v>
          </cell>
          <cell r="M132" t="str">
            <v>0.00</v>
          </cell>
          <cell r="N132">
            <v>748781.44</v>
          </cell>
        </row>
        <row r="133">
          <cell r="C133" t="str">
            <v>04002110004705000019</v>
          </cell>
          <cell r="D133">
            <v>0</v>
          </cell>
          <cell r="E133" t="str">
            <v>P1000</v>
          </cell>
          <cell r="F133" t="str">
            <v>ส่วนกลาง</v>
          </cell>
          <cell r="G133">
            <v>0</v>
          </cell>
          <cell r="H133">
            <v>0</v>
          </cell>
          <cell r="I133">
            <v>0</v>
          </cell>
          <cell r="J133" t="str">
            <v>6,221,600.00</v>
          </cell>
          <cell r="K133">
            <v>0</v>
          </cell>
          <cell r="L133" t="str">
            <v>0.00</v>
          </cell>
          <cell r="M133" t="str">
            <v>0.00</v>
          </cell>
          <cell r="N133">
            <v>748781.44</v>
          </cell>
        </row>
        <row r="134">
          <cell r="C134" t="str">
            <v>04002110004705000019</v>
          </cell>
          <cell r="D134" t="str">
            <v>ค่าใช้จ่ายในการดำเนินการตามกรอบข้อตกลงของประชาคมอาเซียน</v>
          </cell>
          <cell r="E134" t="str">
            <v>P1000</v>
          </cell>
          <cell r="F134" t="str">
            <v>ส่วนกลาง</v>
          </cell>
          <cell r="G134" t="str">
            <v>6711500</v>
          </cell>
          <cell r="H134" t="str">
            <v>งบรายจ่ายอื่น /งบส่วนราชการ</v>
          </cell>
          <cell r="I134">
            <v>0</v>
          </cell>
          <cell r="J134" t="str">
            <v>6,221,600.00</v>
          </cell>
          <cell r="K134">
            <v>0</v>
          </cell>
          <cell r="L134" t="str">
            <v>0.00</v>
          </cell>
          <cell r="M134" t="str">
            <v>0.00</v>
          </cell>
          <cell r="N134">
            <v>748781.44</v>
          </cell>
        </row>
        <row r="135">
          <cell r="C135" t="str">
            <v>04002110009704100001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str">
            <v>10,000,000.00</v>
          </cell>
          <cell r="K135">
            <v>0</v>
          </cell>
          <cell r="L135" t="str">
            <v>0.00</v>
          </cell>
          <cell r="M135" t="str">
            <v>0.00</v>
          </cell>
          <cell r="N135">
            <v>0</v>
          </cell>
        </row>
        <row r="136">
          <cell r="C136" t="str">
            <v>04002110009704100001</v>
          </cell>
          <cell r="D136">
            <v>0</v>
          </cell>
          <cell r="E136" t="str">
            <v>P1000</v>
          </cell>
          <cell r="F136" t="str">
            <v>ส่วนกลาง</v>
          </cell>
          <cell r="G136">
            <v>0</v>
          </cell>
          <cell r="H136">
            <v>0</v>
          </cell>
          <cell r="I136">
            <v>0</v>
          </cell>
          <cell r="J136" t="str">
            <v>10,000,000.00</v>
          </cell>
          <cell r="K136">
            <v>0</v>
          </cell>
          <cell r="L136" t="str">
            <v>0.00</v>
          </cell>
          <cell r="M136" t="str">
            <v>0.00</v>
          </cell>
          <cell r="N136">
            <v>0</v>
          </cell>
        </row>
        <row r="137">
          <cell r="C137" t="str">
            <v>04002110009704100001</v>
          </cell>
          <cell r="D137" t="str">
            <v>โครงการประชาสัมพันธ์การต่างประเทศผ่านมูลนิธิยุวทูตความดี ในพระราชูป</v>
          </cell>
          <cell r="E137" t="str">
            <v>P1000</v>
          </cell>
          <cell r="F137" t="str">
            <v>ส่วนกลาง</v>
          </cell>
          <cell r="G137" t="str">
            <v>6711410</v>
          </cell>
          <cell r="H137" t="str">
            <v>อุดหนุนทั่วไป /งบสรก</v>
          </cell>
          <cell r="I137">
            <v>0</v>
          </cell>
          <cell r="J137" t="str">
            <v>10,000,000.00</v>
          </cell>
          <cell r="K137">
            <v>0</v>
          </cell>
          <cell r="L137" t="str">
            <v>0.00</v>
          </cell>
          <cell r="M137" t="str">
            <v>0.00</v>
          </cell>
          <cell r="N137">
            <v>0</v>
          </cell>
        </row>
        <row r="138">
          <cell r="C138" t="str">
            <v>04002110009705000001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 t="str">
            <v>7,956,700.00</v>
          </cell>
          <cell r="K138">
            <v>0</v>
          </cell>
          <cell r="L138" t="str">
            <v>0.00</v>
          </cell>
          <cell r="M138" t="str">
            <v>279,912.00</v>
          </cell>
          <cell r="N138">
            <v>886600</v>
          </cell>
        </row>
        <row r="139">
          <cell r="C139" t="str">
            <v>04002110009705000001</v>
          </cell>
          <cell r="D139">
            <v>0</v>
          </cell>
          <cell r="E139" t="str">
            <v>P1000</v>
          </cell>
          <cell r="F139" t="str">
            <v>ส่วนกลาง</v>
          </cell>
          <cell r="G139">
            <v>0</v>
          </cell>
          <cell r="H139">
            <v>0</v>
          </cell>
          <cell r="I139">
            <v>0</v>
          </cell>
          <cell r="J139" t="str">
            <v>7,956,700.00</v>
          </cell>
          <cell r="K139">
            <v>0</v>
          </cell>
          <cell r="L139" t="str">
            <v>0.00</v>
          </cell>
          <cell r="M139" t="str">
            <v>279,912.00</v>
          </cell>
          <cell r="N139">
            <v>886600</v>
          </cell>
        </row>
        <row r="140">
          <cell r="C140" t="str">
            <v>04002110009705000001</v>
          </cell>
          <cell r="D140" t="str">
            <v>ค่าใช้จ่ายในการเสริมสร้างความเชื่อมั่นต่อประเทศไทย</v>
          </cell>
          <cell r="E140" t="str">
            <v>P1000</v>
          </cell>
          <cell r="F140" t="str">
            <v>ส่วนกลาง</v>
          </cell>
          <cell r="G140" t="str">
            <v>6711500</v>
          </cell>
          <cell r="H140" t="str">
            <v>งบรายจ่ายอื่น /งบส่วนราชการ</v>
          </cell>
          <cell r="I140">
            <v>0</v>
          </cell>
          <cell r="J140" t="str">
            <v>7,956,700.00</v>
          </cell>
          <cell r="K140">
            <v>0</v>
          </cell>
          <cell r="L140" t="str">
            <v>0.00</v>
          </cell>
          <cell r="M140" t="str">
            <v>279,912.00</v>
          </cell>
          <cell r="N140">
            <v>886600</v>
          </cell>
        </row>
        <row r="141">
          <cell r="C141" t="str">
            <v>04002110009705000002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>2,105,400.00</v>
          </cell>
          <cell r="K141">
            <v>0</v>
          </cell>
          <cell r="L141" t="str">
            <v>0.00</v>
          </cell>
          <cell r="M141" t="str">
            <v>0.00</v>
          </cell>
          <cell r="N141">
            <v>109483</v>
          </cell>
        </row>
        <row r="142">
          <cell r="C142" t="str">
            <v>04002110009705000002</v>
          </cell>
          <cell r="D142">
            <v>0</v>
          </cell>
          <cell r="E142" t="str">
            <v>P1000</v>
          </cell>
          <cell r="F142" t="str">
            <v>ส่วนกลาง</v>
          </cell>
          <cell r="G142">
            <v>0</v>
          </cell>
          <cell r="H142">
            <v>0</v>
          </cell>
          <cell r="I142">
            <v>0</v>
          </cell>
          <cell r="J142" t="str">
            <v>2,105,400.00</v>
          </cell>
          <cell r="K142">
            <v>0</v>
          </cell>
          <cell r="L142" t="str">
            <v>0.00</v>
          </cell>
          <cell r="M142" t="str">
            <v>0.00</v>
          </cell>
          <cell r="N142">
            <v>109483</v>
          </cell>
        </row>
        <row r="143">
          <cell r="C143" t="str">
            <v>04002110009705000002</v>
          </cell>
          <cell r="D143" t="str">
            <v>ค่าใช้จ่ายในการส่งเสริมความเข้าใจด้านการต่างประเทศต่อสาธารณชน</v>
          </cell>
          <cell r="E143" t="str">
            <v>P1000</v>
          </cell>
          <cell r="F143" t="str">
            <v>ส่วนกลาง</v>
          </cell>
          <cell r="G143" t="str">
            <v>6711500</v>
          </cell>
          <cell r="H143" t="str">
            <v>งบรายจ่ายอื่น /งบส่วนราชการ</v>
          </cell>
          <cell r="I143">
            <v>0</v>
          </cell>
          <cell r="J143" t="str">
            <v>2,105,400.00</v>
          </cell>
          <cell r="K143">
            <v>0</v>
          </cell>
          <cell r="L143" t="str">
            <v>0.00</v>
          </cell>
          <cell r="M143" t="str">
            <v>0.00</v>
          </cell>
          <cell r="N143">
            <v>109483</v>
          </cell>
        </row>
        <row r="144">
          <cell r="C144" t="str">
            <v>04002110009705000004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>7,900,000.00</v>
          </cell>
          <cell r="K144">
            <v>0</v>
          </cell>
          <cell r="L144" t="str">
            <v>0.00</v>
          </cell>
          <cell r="M144" t="str">
            <v>0.00</v>
          </cell>
          <cell r="N144">
            <v>0</v>
          </cell>
        </row>
        <row r="145">
          <cell r="C145" t="str">
            <v>04002110009705000004</v>
          </cell>
          <cell r="D145">
            <v>0</v>
          </cell>
          <cell r="E145" t="str">
            <v>P1000</v>
          </cell>
          <cell r="F145" t="str">
            <v>ส่วนกลาง</v>
          </cell>
          <cell r="G145">
            <v>0</v>
          </cell>
          <cell r="H145">
            <v>0</v>
          </cell>
          <cell r="I145">
            <v>0</v>
          </cell>
          <cell r="J145" t="str">
            <v>7,900,000.00</v>
          </cell>
          <cell r="K145">
            <v>0</v>
          </cell>
          <cell r="L145" t="str">
            <v>0.00</v>
          </cell>
          <cell r="M145" t="str">
            <v>0.00</v>
          </cell>
          <cell r="N145">
            <v>0</v>
          </cell>
        </row>
        <row r="146">
          <cell r="C146" t="str">
            <v>04002110009705000004</v>
          </cell>
          <cell r="D146" t="str">
            <v>ค่าใช้จ่ายในการเสริมสร้างความเข้าใจเกี่ยวกับบทบาทของสถาบันพระมหากษ</v>
          </cell>
          <cell r="E146" t="str">
            <v>P1000</v>
          </cell>
          <cell r="F146" t="str">
            <v>ส่วนกลาง</v>
          </cell>
          <cell r="G146" t="str">
            <v>6711500</v>
          </cell>
          <cell r="H146" t="str">
            <v>งบรายจ่ายอื่น /งบส่วนราชการ</v>
          </cell>
          <cell r="I146">
            <v>0</v>
          </cell>
          <cell r="J146" t="str">
            <v>7,900,000.00</v>
          </cell>
          <cell r="K146">
            <v>0</v>
          </cell>
          <cell r="L146" t="str">
            <v>0.00</v>
          </cell>
          <cell r="M146" t="str">
            <v>0.00</v>
          </cell>
          <cell r="N146">
            <v>0</v>
          </cell>
        </row>
        <row r="147">
          <cell r="C147" t="str">
            <v>04002110010704100001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str">
            <v>325,832,600.00</v>
          </cell>
          <cell r="K147">
            <v>0</v>
          </cell>
          <cell r="L147" t="str">
            <v>0.00</v>
          </cell>
          <cell r="M147" t="str">
            <v>0.00</v>
          </cell>
          <cell r="N147">
            <v>558600</v>
          </cell>
        </row>
        <row r="148">
          <cell r="C148" t="str">
            <v>04002110010704100001</v>
          </cell>
          <cell r="D148">
            <v>0</v>
          </cell>
          <cell r="E148" t="str">
            <v>P1000</v>
          </cell>
          <cell r="F148" t="str">
            <v>ส่วนกลาง</v>
          </cell>
          <cell r="G148">
            <v>0</v>
          </cell>
          <cell r="H148">
            <v>0</v>
          </cell>
          <cell r="I148">
            <v>0</v>
          </cell>
          <cell r="J148" t="str">
            <v>325,832,600.00</v>
          </cell>
          <cell r="K148">
            <v>0</v>
          </cell>
          <cell r="L148" t="str">
            <v>0.00</v>
          </cell>
          <cell r="M148" t="str">
            <v>0.00</v>
          </cell>
          <cell r="N148">
            <v>558600</v>
          </cell>
        </row>
        <row r="149">
          <cell r="C149" t="str">
            <v>04002110010704100001</v>
          </cell>
          <cell r="D149" t="str">
            <v>เงินอุดหนุนองค์การระหว่างประเทศที่ประเทศไทยเข้าร่วมเป็นสมาชิก</v>
          </cell>
          <cell r="E149" t="str">
            <v>P1000</v>
          </cell>
          <cell r="F149" t="str">
            <v>ส่วนกลาง</v>
          </cell>
          <cell r="G149" t="str">
            <v>6711410</v>
          </cell>
          <cell r="H149" t="str">
            <v>อุดหนุนทั่วไป /งบสรก</v>
          </cell>
          <cell r="I149">
            <v>0</v>
          </cell>
          <cell r="J149" t="str">
            <v>325,832,600.00</v>
          </cell>
          <cell r="K149">
            <v>0</v>
          </cell>
          <cell r="L149" t="str">
            <v>0.00</v>
          </cell>
          <cell r="M149" t="str">
            <v>0.00</v>
          </cell>
          <cell r="N149">
            <v>558600</v>
          </cell>
        </row>
        <row r="150">
          <cell r="C150" t="str">
            <v>04002110010705000001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3,406,900.00</v>
          </cell>
          <cell r="K150">
            <v>0</v>
          </cell>
          <cell r="L150" t="str">
            <v>0.00</v>
          </cell>
          <cell r="M150" t="str">
            <v>0.00</v>
          </cell>
          <cell r="N150">
            <v>565272.11</v>
          </cell>
        </row>
        <row r="151">
          <cell r="C151" t="str">
            <v>04002110010705000001</v>
          </cell>
          <cell r="D151">
            <v>0</v>
          </cell>
          <cell r="E151" t="str">
            <v>P1000</v>
          </cell>
          <cell r="F151" t="str">
            <v>ส่วนกลาง</v>
          </cell>
          <cell r="G151">
            <v>0</v>
          </cell>
          <cell r="H151">
            <v>0</v>
          </cell>
          <cell r="I151">
            <v>0</v>
          </cell>
          <cell r="J151" t="str">
            <v>3,406,900.00</v>
          </cell>
          <cell r="K151">
            <v>0</v>
          </cell>
          <cell r="L151" t="str">
            <v>0.00</v>
          </cell>
          <cell r="M151" t="str">
            <v>0.00</v>
          </cell>
          <cell r="N151">
            <v>565272.11</v>
          </cell>
        </row>
        <row r="152">
          <cell r="C152" t="str">
            <v>04002110010705000001</v>
          </cell>
          <cell r="D152" t="str">
            <v>ค่าใช้จ่ายในการดำเนินภารกิจยุทธศาสตร์พหุภาคีและประเด็นระหว่างประเท</v>
          </cell>
          <cell r="E152" t="str">
            <v>P1000</v>
          </cell>
          <cell r="F152" t="str">
            <v>ส่วนกลาง</v>
          </cell>
          <cell r="G152" t="str">
            <v>6711500</v>
          </cell>
          <cell r="H152" t="str">
            <v>งบรายจ่ายอื่น /งบส่วนราชการ</v>
          </cell>
          <cell r="I152">
            <v>0</v>
          </cell>
          <cell r="J152" t="str">
            <v>3,406,900.00</v>
          </cell>
          <cell r="K152">
            <v>0</v>
          </cell>
          <cell r="L152" t="str">
            <v>0.00</v>
          </cell>
          <cell r="M152" t="str">
            <v>0.00</v>
          </cell>
          <cell r="N152">
            <v>565272.11</v>
          </cell>
        </row>
        <row r="153">
          <cell r="C153" t="str">
            <v>04002110010705000002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str">
            <v>981,600.00</v>
          </cell>
          <cell r="K153">
            <v>0</v>
          </cell>
          <cell r="L153" t="str">
            <v>0.00</v>
          </cell>
          <cell r="M153" t="str">
            <v>0.00</v>
          </cell>
          <cell r="N153">
            <v>157902</v>
          </cell>
        </row>
        <row r="154">
          <cell r="C154" t="str">
            <v>04002110010705000002</v>
          </cell>
          <cell r="D154">
            <v>0</v>
          </cell>
          <cell r="E154" t="str">
            <v>P1000</v>
          </cell>
          <cell r="F154" t="str">
            <v>ส่วนกลาง</v>
          </cell>
          <cell r="G154">
            <v>0</v>
          </cell>
          <cell r="H154">
            <v>0</v>
          </cell>
          <cell r="I154">
            <v>0</v>
          </cell>
          <cell r="J154" t="str">
            <v>981,600.00</v>
          </cell>
          <cell r="K154">
            <v>0</v>
          </cell>
          <cell r="L154" t="str">
            <v>0.00</v>
          </cell>
          <cell r="M154" t="str">
            <v>0.00</v>
          </cell>
          <cell r="N154">
            <v>157902</v>
          </cell>
        </row>
        <row r="155">
          <cell r="C155" t="str">
            <v>04002110010705000002</v>
          </cell>
          <cell r="D155" t="str">
            <v>ค่าใช้จ่ายในการดำเนินงานด้านสิทธิมนุษยชน</v>
          </cell>
          <cell r="E155" t="str">
            <v>P1000</v>
          </cell>
          <cell r="F155" t="str">
            <v>ส่วนกลาง</v>
          </cell>
          <cell r="G155" t="str">
            <v>6711500</v>
          </cell>
          <cell r="H155" t="str">
            <v>งบรายจ่ายอื่น /งบส่วนราชการ</v>
          </cell>
          <cell r="I155">
            <v>0</v>
          </cell>
          <cell r="J155" t="str">
            <v>981,600.00</v>
          </cell>
          <cell r="K155">
            <v>0</v>
          </cell>
          <cell r="L155" t="str">
            <v>0.00</v>
          </cell>
          <cell r="M155" t="str">
            <v>0.00</v>
          </cell>
          <cell r="N155">
            <v>157902</v>
          </cell>
        </row>
        <row r="156">
          <cell r="C156" t="str">
            <v>04002110010705000003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>5,229,400.00</v>
          </cell>
          <cell r="K156">
            <v>0</v>
          </cell>
          <cell r="L156" t="str">
            <v>0.00</v>
          </cell>
          <cell r="M156" t="str">
            <v>0.00</v>
          </cell>
          <cell r="N156">
            <v>243605</v>
          </cell>
        </row>
        <row r="157">
          <cell r="C157" t="str">
            <v>04002110010705000003</v>
          </cell>
          <cell r="D157">
            <v>0</v>
          </cell>
          <cell r="E157" t="str">
            <v>P1000</v>
          </cell>
          <cell r="F157" t="str">
            <v>ส่วนกลาง</v>
          </cell>
          <cell r="G157">
            <v>0</v>
          </cell>
          <cell r="H157">
            <v>0</v>
          </cell>
          <cell r="I157">
            <v>0</v>
          </cell>
          <cell r="J157" t="str">
            <v>5,229,400.00</v>
          </cell>
          <cell r="K157">
            <v>0</v>
          </cell>
          <cell r="L157" t="str">
            <v>0.00</v>
          </cell>
          <cell r="M157" t="str">
            <v>0.00</v>
          </cell>
          <cell r="N157">
            <v>243605</v>
          </cell>
        </row>
        <row r="158">
          <cell r="C158" t="str">
            <v>04002110010705000003</v>
          </cell>
          <cell r="D158" t="str">
            <v>ค่าใช้จ่ายในการดำเนินงานด้านส่งเสริมบทบาทของไทยในการประชุมสมัชชาสห</v>
          </cell>
          <cell r="E158" t="str">
            <v>P1000</v>
          </cell>
          <cell r="F158" t="str">
            <v>ส่วนกลาง</v>
          </cell>
          <cell r="G158" t="str">
            <v>6711500</v>
          </cell>
          <cell r="H158" t="str">
            <v>งบรายจ่ายอื่น /งบส่วนราชการ</v>
          </cell>
          <cell r="I158">
            <v>0</v>
          </cell>
          <cell r="J158" t="str">
            <v>5,229,400.00</v>
          </cell>
          <cell r="K158">
            <v>0</v>
          </cell>
          <cell r="L158" t="str">
            <v>0.00</v>
          </cell>
          <cell r="M158" t="str">
            <v>0.00</v>
          </cell>
          <cell r="N158">
            <v>243605</v>
          </cell>
        </row>
        <row r="159">
          <cell r="C159" t="str">
            <v>04002110010705000004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str">
            <v>333,400.00</v>
          </cell>
          <cell r="K159">
            <v>0</v>
          </cell>
          <cell r="L159" t="str">
            <v>0.00</v>
          </cell>
          <cell r="M159" t="str">
            <v>99,800.00</v>
          </cell>
          <cell r="N159">
            <v>58080</v>
          </cell>
        </row>
        <row r="160">
          <cell r="C160" t="str">
            <v>04002110010705000004</v>
          </cell>
          <cell r="D160">
            <v>0</v>
          </cell>
          <cell r="E160" t="str">
            <v>P1000</v>
          </cell>
          <cell r="F160" t="str">
            <v>ส่วนกลาง</v>
          </cell>
          <cell r="G160">
            <v>0</v>
          </cell>
          <cell r="H160">
            <v>0</v>
          </cell>
          <cell r="I160">
            <v>0</v>
          </cell>
          <cell r="J160" t="str">
            <v>333,400.00</v>
          </cell>
          <cell r="K160">
            <v>0</v>
          </cell>
          <cell r="L160" t="str">
            <v>0.00</v>
          </cell>
          <cell r="M160" t="str">
            <v>99,800.00</v>
          </cell>
          <cell r="N160">
            <v>58080</v>
          </cell>
        </row>
        <row r="161">
          <cell r="C161" t="str">
            <v>04002110010705000004</v>
          </cell>
          <cell r="D161" t="str">
            <v>ค่าใช้จ่ายในการสัมมนากฎหมายระหว่างประเทศระดับภูมิภาคของสหประชาชาติ</v>
          </cell>
          <cell r="E161" t="str">
            <v>P1000</v>
          </cell>
          <cell r="F161" t="str">
            <v>ส่วนกลาง</v>
          </cell>
          <cell r="G161" t="str">
            <v>6711500</v>
          </cell>
          <cell r="H161" t="str">
            <v>งบรายจ่ายอื่น /งบส่วนราชการ</v>
          </cell>
          <cell r="I161">
            <v>0</v>
          </cell>
          <cell r="J161" t="str">
            <v>333,400.00</v>
          </cell>
          <cell r="K161">
            <v>0</v>
          </cell>
          <cell r="L161" t="str">
            <v>0.00</v>
          </cell>
          <cell r="M161" t="str">
            <v>99,800.00</v>
          </cell>
          <cell r="N161">
            <v>58080</v>
          </cell>
        </row>
        <row r="162">
          <cell r="C162" t="str">
            <v>04002110010705000005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str">
            <v>159,600.00</v>
          </cell>
          <cell r="K162">
            <v>0</v>
          </cell>
          <cell r="L162" t="str">
            <v>0.00</v>
          </cell>
          <cell r="M162" t="str">
            <v>0.00</v>
          </cell>
          <cell r="N162">
            <v>0</v>
          </cell>
        </row>
        <row r="163">
          <cell r="C163" t="str">
            <v>04002110010705000005</v>
          </cell>
          <cell r="D163">
            <v>0</v>
          </cell>
          <cell r="E163" t="str">
            <v>P1000</v>
          </cell>
          <cell r="F163" t="str">
            <v>ส่วนกลาง</v>
          </cell>
          <cell r="G163">
            <v>0</v>
          </cell>
          <cell r="H163">
            <v>0</v>
          </cell>
          <cell r="I163">
            <v>0</v>
          </cell>
          <cell r="J163" t="str">
            <v>159,600.00</v>
          </cell>
          <cell r="K163">
            <v>0</v>
          </cell>
          <cell r="L163" t="str">
            <v>0.00</v>
          </cell>
          <cell r="M163" t="str">
            <v>0.00</v>
          </cell>
          <cell r="N163">
            <v>0</v>
          </cell>
        </row>
        <row r="164">
          <cell r="C164" t="str">
            <v>04002110010705000005</v>
          </cell>
          <cell r="D164" t="str">
            <v>ค่าใช้จ่ายในการดำเนินการตามพันธกรณีของอนุสัญญาระหว่างประเทศที่เกี่</v>
          </cell>
          <cell r="E164" t="str">
            <v>P1000</v>
          </cell>
          <cell r="F164" t="str">
            <v>ส่วนกลาง</v>
          </cell>
          <cell r="G164" t="str">
            <v>6711500</v>
          </cell>
          <cell r="H164" t="str">
            <v>งบรายจ่ายอื่น /งบส่วนราชการ</v>
          </cell>
          <cell r="I164">
            <v>0</v>
          </cell>
          <cell r="J164" t="str">
            <v>159,600.00</v>
          </cell>
          <cell r="K164">
            <v>0</v>
          </cell>
          <cell r="L164" t="str">
            <v>0.00</v>
          </cell>
          <cell r="M164" t="str">
            <v>0.00</v>
          </cell>
          <cell r="N164">
            <v>0</v>
          </cell>
        </row>
        <row r="165">
          <cell r="C165" t="str">
            <v>04002110010705000006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 t="str">
            <v>304,900.00</v>
          </cell>
          <cell r="K165">
            <v>0</v>
          </cell>
          <cell r="L165" t="str">
            <v>0.00</v>
          </cell>
          <cell r="M165" t="str">
            <v>0.00</v>
          </cell>
          <cell r="N165">
            <v>59032.24</v>
          </cell>
        </row>
        <row r="166">
          <cell r="C166" t="str">
            <v>04002110010705000006</v>
          </cell>
          <cell r="D166">
            <v>0</v>
          </cell>
          <cell r="E166" t="str">
            <v>P1000</v>
          </cell>
          <cell r="F166" t="str">
            <v>ส่วนกลาง</v>
          </cell>
          <cell r="G166">
            <v>0</v>
          </cell>
          <cell r="H166">
            <v>0</v>
          </cell>
          <cell r="I166">
            <v>0</v>
          </cell>
          <cell r="J166" t="str">
            <v>304,900.00</v>
          </cell>
          <cell r="K166">
            <v>0</v>
          </cell>
          <cell r="L166" t="str">
            <v>0.00</v>
          </cell>
          <cell r="M166" t="str">
            <v>0.00</v>
          </cell>
          <cell r="N166">
            <v>59032.24</v>
          </cell>
        </row>
        <row r="167">
          <cell r="C167" t="str">
            <v>04002110010705000006</v>
          </cell>
          <cell r="D167" t="str">
            <v>ค่าใช้จ่ายในการพัฒนาฐานข้อมูลและจัดการองค์ความรู้ด้านกฎหมายระหว่าง</v>
          </cell>
          <cell r="E167" t="str">
            <v>P1000</v>
          </cell>
          <cell r="F167" t="str">
            <v>ส่วนกลาง</v>
          </cell>
          <cell r="G167" t="str">
            <v>6711500</v>
          </cell>
          <cell r="H167" t="str">
            <v>งบรายจ่ายอื่น /งบส่วนราชการ</v>
          </cell>
          <cell r="I167">
            <v>0</v>
          </cell>
          <cell r="J167" t="str">
            <v>304,900.00</v>
          </cell>
          <cell r="K167">
            <v>0</v>
          </cell>
          <cell r="L167" t="str">
            <v>0.00</v>
          </cell>
          <cell r="M167" t="str">
            <v>0.00</v>
          </cell>
          <cell r="N167">
            <v>59032.24</v>
          </cell>
        </row>
        <row r="168">
          <cell r="C168" t="str">
            <v>04002110010705000008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>1,346,600.00</v>
          </cell>
          <cell r="K168">
            <v>0</v>
          </cell>
          <cell r="L168" t="str">
            <v>0.00</v>
          </cell>
          <cell r="M168" t="str">
            <v>0.00</v>
          </cell>
          <cell r="N168">
            <v>441035</v>
          </cell>
        </row>
        <row r="169">
          <cell r="C169" t="str">
            <v>04002110010705000008</v>
          </cell>
          <cell r="D169">
            <v>0</v>
          </cell>
          <cell r="E169" t="str">
            <v>P1000</v>
          </cell>
          <cell r="F169" t="str">
            <v>ส่วนกลาง</v>
          </cell>
          <cell r="G169">
            <v>0</v>
          </cell>
          <cell r="H169">
            <v>0</v>
          </cell>
          <cell r="I169">
            <v>0</v>
          </cell>
          <cell r="J169" t="str">
            <v>1,346,600.00</v>
          </cell>
          <cell r="K169">
            <v>0</v>
          </cell>
          <cell r="L169" t="str">
            <v>0.00</v>
          </cell>
          <cell r="M169" t="str">
            <v>0.00</v>
          </cell>
          <cell r="N169">
            <v>441035</v>
          </cell>
        </row>
        <row r="170">
          <cell r="C170" t="str">
            <v>04002110010705000008</v>
          </cell>
          <cell r="D170" t="str">
            <v>โครงการภารกิจการทูตเพื่อการพัฒนาที่ยั่งยืน (SDGs Diplomacy)</v>
          </cell>
          <cell r="E170" t="str">
            <v>P1000</v>
          </cell>
          <cell r="F170" t="str">
            <v>ส่วนกลาง</v>
          </cell>
          <cell r="G170" t="str">
            <v>6711500</v>
          </cell>
          <cell r="H170" t="str">
            <v>งบรายจ่ายอื่น /งบส่วนราชการ</v>
          </cell>
          <cell r="I170">
            <v>0</v>
          </cell>
          <cell r="J170" t="str">
            <v>1,346,600.00</v>
          </cell>
          <cell r="K170">
            <v>0</v>
          </cell>
          <cell r="L170" t="str">
            <v>0.00</v>
          </cell>
          <cell r="M170" t="str">
            <v>0.00</v>
          </cell>
          <cell r="N170">
            <v>441035</v>
          </cell>
        </row>
        <row r="171">
          <cell r="C171" t="str">
            <v>04002110013702000000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str">
            <v>877,494,329.91</v>
          </cell>
          <cell r="K171">
            <v>0</v>
          </cell>
          <cell r="L171" t="str">
            <v>0.00</v>
          </cell>
          <cell r="M171" t="str">
            <v>76,382,737.57</v>
          </cell>
          <cell r="N171">
            <v>483919928.55000001</v>
          </cell>
        </row>
        <row r="172">
          <cell r="C172" t="str">
            <v>04002110013702000000</v>
          </cell>
          <cell r="D172">
            <v>0</v>
          </cell>
          <cell r="E172" t="str">
            <v>P1000</v>
          </cell>
          <cell r="F172" t="str">
            <v>ส่วนกลาง</v>
          </cell>
          <cell r="G172">
            <v>0</v>
          </cell>
          <cell r="H172">
            <v>0</v>
          </cell>
          <cell r="I172">
            <v>0</v>
          </cell>
          <cell r="J172" t="str">
            <v>877,494,329.91</v>
          </cell>
          <cell r="K172">
            <v>0</v>
          </cell>
          <cell r="L172" t="str">
            <v>0.00</v>
          </cell>
          <cell r="M172" t="str">
            <v>76,382,737.57</v>
          </cell>
          <cell r="N172">
            <v>483919928.55000001</v>
          </cell>
        </row>
        <row r="173">
          <cell r="C173" t="str">
            <v>04002110013702000000</v>
          </cell>
          <cell r="D173" t="str">
            <v>รายการงบประจำ งบดำเนินงาน</v>
          </cell>
          <cell r="E173" t="str">
            <v>P1000</v>
          </cell>
          <cell r="F173" t="str">
            <v>ส่วนกลาง</v>
          </cell>
          <cell r="G173" t="str">
            <v>6711200</v>
          </cell>
          <cell r="H173" t="str">
            <v>งบดำเนินงาน /งบส่วนราชการ</v>
          </cell>
          <cell r="I173">
            <v>0</v>
          </cell>
          <cell r="J173" t="str">
            <v>877,494,329.91</v>
          </cell>
          <cell r="K173">
            <v>0</v>
          </cell>
          <cell r="L173" t="str">
            <v>0.00</v>
          </cell>
          <cell r="M173" t="str">
            <v>0.00</v>
          </cell>
          <cell r="N173">
            <v>0</v>
          </cell>
        </row>
        <row r="174">
          <cell r="C174" t="str">
            <v>04002110013702000000</v>
          </cell>
          <cell r="D174" t="str">
            <v>รายการงบประจำ งบดำเนินงาน</v>
          </cell>
          <cell r="E174" t="str">
            <v>P1000</v>
          </cell>
          <cell r="F174" t="str">
            <v>ส่วนกลาง</v>
          </cell>
          <cell r="G174" t="str">
            <v>6711210</v>
          </cell>
          <cell r="H174" t="str">
            <v>ค่าตอบแทน /งบส่วนราชการ</v>
          </cell>
          <cell r="I174">
            <v>0</v>
          </cell>
          <cell r="J174" t="str">
            <v>0.00</v>
          </cell>
          <cell r="K174">
            <v>0</v>
          </cell>
          <cell r="L174" t="str">
            <v>0.00</v>
          </cell>
          <cell r="M174" t="str">
            <v>0.00</v>
          </cell>
          <cell r="N174">
            <v>247300</v>
          </cell>
        </row>
        <row r="175">
          <cell r="C175" t="str">
            <v>04002110013702000000</v>
          </cell>
          <cell r="D175" t="str">
            <v>รายการงบประจำ งบดำเนินงาน</v>
          </cell>
          <cell r="E175" t="str">
            <v>P1000</v>
          </cell>
          <cell r="F175" t="str">
            <v>ส่วนกลาง</v>
          </cell>
          <cell r="G175" t="str">
            <v>6711220</v>
          </cell>
          <cell r="H175" t="str">
            <v>ค่าใช้สอย /งบส่วนราชการ</v>
          </cell>
          <cell r="I175">
            <v>0</v>
          </cell>
          <cell r="J175" t="str">
            <v>0.00</v>
          </cell>
          <cell r="K175">
            <v>0</v>
          </cell>
          <cell r="L175" t="str">
            <v>0.00</v>
          </cell>
          <cell r="M175" t="str">
            <v>75,128,838.81</v>
          </cell>
          <cell r="N175">
            <v>378046527.43000001</v>
          </cell>
        </row>
        <row r="176">
          <cell r="C176" t="str">
            <v>04002110013702000000</v>
          </cell>
          <cell r="D176" t="str">
            <v>รายการงบประจำ งบดำเนินงาน</v>
          </cell>
          <cell r="E176" t="str">
            <v>P1000</v>
          </cell>
          <cell r="F176" t="str">
            <v>ส่วนกลาง</v>
          </cell>
          <cell r="G176" t="str">
            <v>6711230</v>
          </cell>
          <cell r="H176" t="str">
            <v>ค่าวัสดุ /งบส่วนราชการ</v>
          </cell>
          <cell r="I176">
            <v>0</v>
          </cell>
          <cell r="J176" t="str">
            <v>0.00</v>
          </cell>
          <cell r="K176">
            <v>0</v>
          </cell>
          <cell r="L176" t="str">
            <v>0.00</v>
          </cell>
          <cell r="M176" t="str">
            <v>373,733.88</v>
          </cell>
          <cell r="N176">
            <v>19548704.870000001</v>
          </cell>
        </row>
        <row r="177">
          <cell r="C177" t="str">
            <v>04002110013702000000</v>
          </cell>
          <cell r="D177" t="str">
            <v>รายการงบประจำ งบดำเนินงาน</v>
          </cell>
          <cell r="E177" t="str">
            <v>P1000</v>
          </cell>
          <cell r="F177" t="str">
            <v>ส่วนกลาง</v>
          </cell>
          <cell r="G177" t="str">
            <v>6711240</v>
          </cell>
          <cell r="H177" t="str">
            <v>ค่าสาธารณูปโภค /งบสร</v>
          </cell>
          <cell r="I177">
            <v>0</v>
          </cell>
          <cell r="J177" t="str">
            <v>0.00</v>
          </cell>
          <cell r="K177">
            <v>0</v>
          </cell>
          <cell r="L177" t="str">
            <v>0.00</v>
          </cell>
          <cell r="M177" t="str">
            <v>880,164.88</v>
          </cell>
          <cell r="N177">
            <v>86077396.25</v>
          </cell>
        </row>
        <row r="178">
          <cell r="C178" t="str">
            <v>04002110013704100001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str">
            <v>3,340,870.09</v>
          </cell>
          <cell r="K178">
            <v>0</v>
          </cell>
          <cell r="L178" t="str">
            <v>0.00</v>
          </cell>
          <cell r="M178" t="str">
            <v>0.00</v>
          </cell>
          <cell r="N178">
            <v>0</v>
          </cell>
        </row>
        <row r="179">
          <cell r="C179" t="str">
            <v>04002110013704100001</v>
          </cell>
          <cell r="D179">
            <v>0</v>
          </cell>
          <cell r="E179" t="str">
            <v>P1000</v>
          </cell>
          <cell r="F179" t="str">
            <v>ส่วนกลาง</v>
          </cell>
          <cell r="G179">
            <v>0</v>
          </cell>
          <cell r="H179">
            <v>0</v>
          </cell>
          <cell r="I179">
            <v>0</v>
          </cell>
          <cell r="J179" t="str">
            <v>3,340,870.09</v>
          </cell>
          <cell r="K179">
            <v>0</v>
          </cell>
          <cell r="L179" t="str">
            <v>0.00</v>
          </cell>
          <cell r="M179" t="str">
            <v>0.00</v>
          </cell>
          <cell r="N179">
            <v>0</v>
          </cell>
        </row>
        <row r="180">
          <cell r="C180" t="str">
            <v>04002110013704100001</v>
          </cell>
          <cell r="D180" t="str">
            <v>เงินอุดหนุนค่าใช้จ่ายในการศึกษาของนักเรียนทุนรัฐบาลของกระทรวงการต่</v>
          </cell>
          <cell r="E180" t="str">
            <v>P1000</v>
          </cell>
          <cell r="F180" t="str">
            <v>ส่วนกลาง</v>
          </cell>
          <cell r="G180" t="str">
            <v>6711410</v>
          </cell>
          <cell r="H180" t="str">
            <v>อุดหนุนทั่วไป /งบสรก</v>
          </cell>
          <cell r="I180">
            <v>0</v>
          </cell>
          <cell r="J180" t="str">
            <v>3,340,870.09</v>
          </cell>
          <cell r="K180">
            <v>0</v>
          </cell>
          <cell r="L180" t="str">
            <v>0.00</v>
          </cell>
          <cell r="M180" t="str">
            <v>0.00</v>
          </cell>
          <cell r="N180">
            <v>0</v>
          </cell>
        </row>
        <row r="181">
          <cell r="C181" t="str">
            <v>04002110013704100002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str">
            <v>13,330,000.00</v>
          </cell>
          <cell r="K181">
            <v>0</v>
          </cell>
          <cell r="L181" t="str">
            <v>0.00</v>
          </cell>
          <cell r="M181" t="str">
            <v>0.00</v>
          </cell>
          <cell r="N181">
            <v>480000</v>
          </cell>
        </row>
        <row r="182">
          <cell r="C182" t="str">
            <v>04002110013704100002</v>
          </cell>
          <cell r="D182">
            <v>0</v>
          </cell>
          <cell r="E182" t="str">
            <v>P1000</v>
          </cell>
          <cell r="F182" t="str">
            <v>ส่วนกลาง</v>
          </cell>
          <cell r="G182">
            <v>0</v>
          </cell>
          <cell r="H182">
            <v>0</v>
          </cell>
          <cell r="I182">
            <v>0</v>
          </cell>
          <cell r="J182" t="str">
            <v>13,330,000.00</v>
          </cell>
          <cell r="K182">
            <v>0</v>
          </cell>
          <cell r="L182" t="str">
            <v>0.00</v>
          </cell>
          <cell r="M182" t="str">
            <v>0.00</v>
          </cell>
          <cell r="N182">
            <v>480000</v>
          </cell>
        </row>
        <row r="183">
          <cell r="C183" t="str">
            <v>04002110013704100002</v>
          </cell>
          <cell r="D183" t="str">
            <v>เงินอุดหนุนช่วยเหลือคนไทยที่ตกทุกข์ได้ยากในต่างประเทศ</v>
          </cell>
          <cell r="E183" t="str">
            <v>P1000</v>
          </cell>
          <cell r="F183" t="str">
            <v>ส่วนกลาง</v>
          </cell>
          <cell r="G183" t="str">
            <v>6711410</v>
          </cell>
          <cell r="H183" t="str">
            <v>อุดหนุนทั่วไป /งบสรก</v>
          </cell>
          <cell r="I183">
            <v>0</v>
          </cell>
          <cell r="J183" t="str">
            <v>13,330,000.00</v>
          </cell>
          <cell r="K183">
            <v>0</v>
          </cell>
          <cell r="L183" t="str">
            <v>0.00</v>
          </cell>
          <cell r="M183" t="str">
            <v>0.00</v>
          </cell>
          <cell r="N183">
            <v>480000</v>
          </cell>
        </row>
        <row r="184">
          <cell r="C184" t="str">
            <v>04002110013705000001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>277,300.00</v>
          </cell>
          <cell r="K184">
            <v>0</v>
          </cell>
          <cell r="L184" t="str">
            <v>0.00</v>
          </cell>
          <cell r="M184" t="str">
            <v>0.00</v>
          </cell>
          <cell r="N184">
            <v>0</v>
          </cell>
        </row>
        <row r="185">
          <cell r="C185" t="str">
            <v>04002110013705000001</v>
          </cell>
          <cell r="D185">
            <v>0</v>
          </cell>
          <cell r="E185" t="str">
            <v>P1000</v>
          </cell>
          <cell r="F185" t="str">
            <v>ส่วนกลาง</v>
          </cell>
          <cell r="G185">
            <v>0</v>
          </cell>
          <cell r="H185">
            <v>0</v>
          </cell>
          <cell r="I185">
            <v>0</v>
          </cell>
          <cell r="J185" t="str">
            <v>277,300.00</v>
          </cell>
          <cell r="K185">
            <v>0</v>
          </cell>
          <cell r="L185" t="str">
            <v>0.00</v>
          </cell>
          <cell r="M185" t="str">
            <v>0.00</v>
          </cell>
          <cell r="N185">
            <v>0</v>
          </cell>
        </row>
        <row r="186">
          <cell r="C186" t="str">
            <v>04002110013705000001</v>
          </cell>
          <cell r="D186" t="str">
            <v>ค่าใช้จ่ายในการประชุมเอกอัครราชทูตและกงสุลใหญ่</v>
          </cell>
          <cell r="E186" t="str">
            <v>P1000</v>
          </cell>
          <cell r="F186" t="str">
            <v>ส่วนกลาง</v>
          </cell>
          <cell r="G186" t="str">
            <v>6711500</v>
          </cell>
          <cell r="H186" t="str">
            <v>งบรายจ่ายอื่น /งบส่วนราชการ</v>
          </cell>
          <cell r="I186">
            <v>0</v>
          </cell>
          <cell r="J186" t="str">
            <v>277,300.00</v>
          </cell>
          <cell r="K186">
            <v>0</v>
          </cell>
          <cell r="L186" t="str">
            <v>0.00</v>
          </cell>
          <cell r="M186" t="str">
            <v>0.00</v>
          </cell>
          <cell r="N186">
            <v>0</v>
          </cell>
        </row>
        <row r="187">
          <cell r="C187" t="str">
            <v>04002110013705000002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str">
            <v>20,314,500.00</v>
          </cell>
          <cell r="K187">
            <v>0</v>
          </cell>
          <cell r="L187" t="str">
            <v>0.00</v>
          </cell>
          <cell r="M187" t="str">
            <v>0.00</v>
          </cell>
          <cell r="N187">
            <v>1840726.84</v>
          </cell>
        </row>
        <row r="188">
          <cell r="C188" t="str">
            <v>04002110013705000002</v>
          </cell>
          <cell r="D188">
            <v>0</v>
          </cell>
          <cell r="E188" t="str">
            <v>P1000</v>
          </cell>
          <cell r="F188" t="str">
            <v>ส่วนกลาง</v>
          </cell>
          <cell r="G188">
            <v>0</v>
          </cell>
          <cell r="H188">
            <v>0</v>
          </cell>
          <cell r="I188">
            <v>0</v>
          </cell>
          <cell r="J188" t="str">
            <v>20,314,500.00</v>
          </cell>
          <cell r="K188">
            <v>0</v>
          </cell>
          <cell r="L188" t="str">
            <v>0.00</v>
          </cell>
          <cell r="M188" t="str">
            <v>0.00</v>
          </cell>
          <cell r="N188">
            <v>1840726.84</v>
          </cell>
        </row>
        <row r="189">
          <cell r="C189" t="str">
            <v>04002110013705000002</v>
          </cell>
          <cell r="D189" t="str">
            <v>ค่าใช้จ่ายในการเดินทางไปราชการต่างประเทศชั่วคราว</v>
          </cell>
          <cell r="E189" t="str">
            <v>P1000</v>
          </cell>
          <cell r="F189" t="str">
            <v>ส่วนกลาง</v>
          </cell>
          <cell r="G189" t="str">
            <v>6711500</v>
          </cell>
          <cell r="H189" t="str">
            <v>งบรายจ่ายอื่น /งบส่วนราชการ</v>
          </cell>
          <cell r="I189">
            <v>0</v>
          </cell>
          <cell r="J189" t="str">
            <v>20,314,500.00</v>
          </cell>
          <cell r="K189">
            <v>0</v>
          </cell>
          <cell r="L189" t="str">
            <v>0.00</v>
          </cell>
          <cell r="M189" t="str">
            <v>0.00</v>
          </cell>
          <cell r="N189">
            <v>1840726.84</v>
          </cell>
        </row>
        <row r="190">
          <cell r="C190" t="str">
            <v>04002110013705000003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str">
            <v>954,400.00</v>
          </cell>
          <cell r="K190">
            <v>0</v>
          </cell>
          <cell r="L190" t="str">
            <v>0.00</v>
          </cell>
          <cell r="M190" t="str">
            <v>0.00</v>
          </cell>
          <cell r="N190">
            <v>61840</v>
          </cell>
        </row>
        <row r="191">
          <cell r="C191" t="str">
            <v>04002110013705000003</v>
          </cell>
          <cell r="D191">
            <v>0</v>
          </cell>
          <cell r="E191" t="str">
            <v>P1000</v>
          </cell>
          <cell r="F191" t="str">
            <v>ส่วนกลาง</v>
          </cell>
          <cell r="G191">
            <v>0</v>
          </cell>
          <cell r="H191">
            <v>0</v>
          </cell>
          <cell r="I191">
            <v>0</v>
          </cell>
          <cell r="J191" t="str">
            <v>954,400.00</v>
          </cell>
          <cell r="K191">
            <v>0</v>
          </cell>
          <cell r="L191" t="str">
            <v>0.00</v>
          </cell>
          <cell r="M191" t="str">
            <v>0.00</v>
          </cell>
          <cell r="N191">
            <v>61840</v>
          </cell>
        </row>
        <row r="192">
          <cell r="C192" t="str">
            <v>04002110013705000003</v>
          </cell>
          <cell r="D192" t="str">
            <v>ค่าใช้จ่ายในการเข้าร่วมกิจกรรมเฉลิมพระเกียรติฯ</v>
          </cell>
          <cell r="E192" t="str">
            <v>P1000</v>
          </cell>
          <cell r="F192" t="str">
            <v>ส่วนกลาง</v>
          </cell>
          <cell r="G192" t="str">
            <v>6711500</v>
          </cell>
          <cell r="H192" t="str">
            <v>งบรายจ่ายอื่น /งบส่วนราชการ</v>
          </cell>
          <cell r="I192">
            <v>0</v>
          </cell>
          <cell r="J192" t="str">
            <v>954,400.00</v>
          </cell>
          <cell r="K192">
            <v>0</v>
          </cell>
          <cell r="L192" t="str">
            <v>0.00</v>
          </cell>
          <cell r="M192" t="str">
            <v>0.00</v>
          </cell>
          <cell r="N192">
            <v>61840</v>
          </cell>
        </row>
        <row r="193">
          <cell r="C193" t="str">
            <v>04002110013705000004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 t="str">
            <v>9,224,500.00</v>
          </cell>
          <cell r="K193">
            <v>0</v>
          </cell>
          <cell r="L193" t="str">
            <v>0.00</v>
          </cell>
          <cell r="M193" t="str">
            <v>99,900.00</v>
          </cell>
          <cell r="N193">
            <v>1051933.71</v>
          </cell>
        </row>
        <row r="194">
          <cell r="C194" t="str">
            <v>04002110013705000004</v>
          </cell>
          <cell r="D194">
            <v>0</v>
          </cell>
          <cell r="E194" t="str">
            <v>P1000</v>
          </cell>
          <cell r="F194" t="str">
            <v>ส่วนกลาง</v>
          </cell>
          <cell r="G194">
            <v>0</v>
          </cell>
          <cell r="H194">
            <v>0</v>
          </cell>
          <cell r="I194">
            <v>0</v>
          </cell>
          <cell r="J194" t="str">
            <v>9,224,500.00</v>
          </cell>
          <cell r="K194">
            <v>0</v>
          </cell>
          <cell r="L194" t="str">
            <v>0.00</v>
          </cell>
          <cell r="M194" t="str">
            <v>99,900.00</v>
          </cell>
          <cell r="N194">
            <v>1051933.71</v>
          </cell>
        </row>
        <row r="195">
          <cell r="C195" t="str">
            <v>04002110013705000004</v>
          </cell>
          <cell r="D195" t="str">
            <v>ค่าใช้จ่ายในการพัฒนาบุคลากรด้านการทูตและการต่างประเทศ</v>
          </cell>
          <cell r="E195" t="str">
            <v>P1000</v>
          </cell>
          <cell r="F195" t="str">
            <v>ส่วนกลาง</v>
          </cell>
          <cell r="G195" t="str">
            <v>6711500</v>
          </cell>
          <cell r="H195" t="str">
            <v>งบรายจ่ายอื่น /งบส่วนราชการ</v>
          </cell>
          <cell r="I195">
            <v>0</v>
          </cell>
          <cell r="J195" t="str">
            <v>9,224,500.00</v>
          </cell>
          <cell r="K195">
            <v>0</v>
          </cell>
          <cell r="L195" t="str">
            <v>0.00</v>
          </cell>
          <cell r="M195" t="str">
            <v>99,900.00</v>
          </cell>
          <cell r="N195">
            <v>1051933.71</v>
          </cell>
        </row>
        <row r="196">
          <cell r="C196" t="str">
            <v>04002110013705000005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 t="str">
            <v>198,000.00</v>
          </cell>
          <cell r="K196">
            <v>0</v>
          </cell>
          <cell r="L196" t="str">
            <v>0.00</v>
          </cell>
          <cell r="M196" t="str">
            <v>0.00</v>
          </cell>
          <cell r="N196">
            <v>0</v>
          </cell>
        </row>
        <row r="197">
          <cell r="C197" t="str">
            <v>04002110013705000005</v>
          </cell>
          <cell r="D197">
            <v>0</v>
          </cell>
          <cell r="E197" t="str">
            <v>P1000</v>
          </cell>
          <cell r="F197" t="str">
            <v>ส่วนกลาง</v>
          </cell>
          <cell r="G197">
            <v>0</v>
          </cell>
          <cell r="H197">
            <v>0</v>
          </cell>
          <cell r="I197">
            <v>0</v>
          </cell>
          <cell r="J197" t="str">
            <v>198,000.00</v>
          </cell>
          <cell r="K197">
            <v>0</v>
          </cell>
          <cell r="L197" t="str">
            <v>0.00</v>
          </cell>
          <cell r="M197" t="str">
            <v>0.00</v>
          </cell>
          <cell r="N197">
            <v>0</v>
          </cell>
        </row>
        <row r="198">
          <cell r="C198" t="str">
            <v>04002110013705000005</v>
          </cell>
          <cell r="D198" t="str">
            <v>ค่าใช้จ่ายในการเพิ่มประสิทธิภาพการดำเนินบทบาทผู้แทนของไทยในต่างประ</v>
          </cell>
          <cell r="E198" t="str">
            <v>P1000</v>
          </cell>
          <cell r="F198" t="str">
            <v>ส่วนกลาง</v>
          </cell>
          <cell r="G198" t="str">
            <v>6711500</v>
          </cell>
          <cell r="H198" t="str">
            <v>งบรายจ่ายอื่น /งบส่วนราชการ</v>
          </cell>
          <cell r="I198">
            <v>0</v>
          </cell>
          <cell r="J198" t="str">
            <v>198,000.00</v>
          </cell>
          <cell r="K198">
            <v>0</v>
          </cell>
          <cell r="L198" t="str">
            <v>0.00</v>
          </cell>
          <cell r="M198" t="str">
            <v>0.00</v>
          </cell>
          <cell r="N198">
            <v>0</v>
          </cell>
        </row>
        <row r="199">
          <cell r="C199" t="str">
            <v>04002110013705000007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 t="str">
            <v>150,000.00</v>
          </cell>
          <cell r="K199">
            <v>0</v>
          </cell>
          <cell r="L199" t="str">
            <v>0.00</v>
          </cell>
          <cell r="M199" t="str">
            <v>0.00</v>
          </cell>
          <cell r="N199">
            <v>0</v>
          </cell>
        </row>
        <row r="200">
          <cell r="C200" t="str">
            <v>04002110013705000007</v>
          </cell>
          <cell r="D200">
            <v>0</v>
          </cell>
          <cell r="E200" t="str">
            <v>P1000</v>
          </cell>
          <cell r="F200" t="str">
            <v>ส่วนกลาง</v>
          </cell>
          <cell r="G200">
            <v>0</v>
          </cell>
          <cell r="H200">
            <v>0</v>
          </cell>
          <cell r="I200">
            <v>0</v>
          </cell>
          <cell r="J200" t="str">
            <v>150,000.00</v>
          </cell>
          <cell r="K200">
            <v>0</v>
          </cell>
          <cell r="L200" t="str">
            <v>0.00</v>
          </cell>
          <cell r="M200" t="str">
            <v>0.00</v>
          </cell>
          <cell r="N200">
            <v>0</v>
          </cell>
        </row>
        <row r="201">
          <cell r="C201" t="str">
            <v>04002110013705000007</v>
          </cell>
          <cell r="D201" t="str">
            <v>ค่าใช้จ่ายในการพัฒนาระบบเพื่อปฏิรูปกระบวนการทำงานภาครัฐด้วยเทคโนโล</v>
          </cell>
          <cell r="E201" t="str">
            <v>P1000</v>
          </cell>
          <cell r="F201" t="str">
            <v>ส่วนกลาง</v>
          </cell>
          <cell r="G201" t="str">
            <v>6711500</v>
          </cell>
          <cell r="H201" t="str">
            <v>งบรายจ่ายอื่น /งบส่วนราชการ</v>
          </cell>
          <cell r="I201">
            <v>0</v>
          </cell>
          <cell r="J201" t="str">
            <v>150,000.00</v>
          </cell>
          <cell r="K201">
            <v>0</v>
          </cell>
          <cell r="L201" t="str">
            <v>0.00</v>
          </cell>
          <cell r="M201" t="str">
            <v>0.00</v>
          </cell>
          <cell r="N201">
            <v>0</v>
          </cell>
        </row>
        <row r="202">
          <cell r="C202" t="str">
            <v>04002110013705000008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662,000.00</v>
          </cell>
          <cell r="K202">
            <v>0</v>
          </cell>
          <cell r="L202" t="str">
            <v>0.00</v>
          </cell>
          <cell r="M202" t="str">
            <v>0.00</v>
          </cell>
          <cell r="N202">
            <v>137741.93</v>
          </cell>
        </row>
        <row r="203">
          <cell r="C203" t="str">
            <v>04002110013705000008</v>
          </cell>
          <cell r="D203">
            <v>0</v>
          </cell>
          <cell r="E203" t="str">
            <v>P1000</v>
          </cell>
          <cell r="F203" t="str">
            <v>ส่วนกลาง</v>
          </cell>
          <cell r="G203">
            <v>0</v>
          </cell>
          <cell r="H203">
            <v>0</v>
          </cell>
          <cell r="I203">
            <v>0</v>
          </cell>
          <cell r="J203" t="str">
            <v>662,000.00</v>
          </cell>
          <cell r="K203">
            <v>0</v>
          </cell>
          <cell r="L203" t="str">
            <v>0.00</v>
          </cell>
          <cell r="M203" t="str">
            <v>0.00</v>
          </cell>
          <cell r="N203">
            <v>137741.93</v>
          </cell>
        </row>
        <row r="204">
          <cell r="C204" t="str">
            <v>04002110013705000008</v>
          </cell>
          <cell r="D204" t="str">
            <v>ค่าใช้จ่ายในการขับเคลื่อนศูนย์ศึกษาการต่างประเทศเพื่อศึกษาและวิเคร</v>
          </cell>
          <cell r="E204" t="str">
            <v>P1000</v>
          </cell>
          <cell r="F204" t="str">
            <v>ส่วนกลาง</v>
          </cell>
          <cell r="G204" t="str">
            <v>6711500</v>
          </cell>
          <cell r="H204" t="str">
            <v>งบรายจ่ายอื่น /งบส่วนราชการ</v>
          </cell>
          <cell r="I204">
            <v>0</v>
          </cell>
          <cell r="J204" t="str">
            <v>662,000.00</v>
          </cell>
          <cell r="K204">
            <v>0</v>
          </cell>
          <cell r="L204" t="str">
            <v>0.00</v>
          </cell>
          <cell r="M204" t="str">
            <v>0.00</v>
          </cell>
          <cell r="N204">
            <v>137741.93</v>
          </cell>
        </row>
        <row r="205">
          <cell r="C205" t="str">
            <v>04002110013705000009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str">
            <v>10,412,000.00</v>
          </cell>
          <cell r="K205">
            <v>0</v>
          </cell>
          <cell r="L205" t="str">
            <v>0.00</v>
          </cell>
          <cell r="M205" t="str">
            <v>0.00</v>
          </cell>
          <cell r="N205">
            <v>1650000</v>
          </cell>
        </row>
        <row r="206">
          <cell r="C206" t="str">
            <v>04002110013705000009</v>
          </cell>
          <cell r="D206">
            <v>0</v>
          </cell>
          <cell r="E206" t="str">
            <v>P1000</v>
          </cell>
          <cell r="F206" t="str">
            <v>ส่วนกลาง</v>
          </cell>
          <cell r="G206">
            <v>0</v>
          </cell>
          <cell r="H206">
            <v>0</v>
          </cell>
          <cell r="I206">
            <v>0</v>
          </cell>
          <cell r="J206" t="str">
            <v>10,412,000.00</v>
          </cell>
          <cell r="K206">
            <v>0</v>
          </cell>
          <cell r="L206" t="str">
            <v>0.00</v>
          </cell>
          <cell r="M206" t="str">
            <v>0.00</v>
          </cell>
          <cell r="N206">
            <v>1650000</v>
          </cell>
        </row>
        <row r="207">
          <cell r="C207" t="str">
            <v>04002110013705000009</v>
          </cell>
          <cell r="D207" t="str">
            <v>ค่าใช้จ่ายในการสนับสนุนกิจกรรมคนไทยในต่างประเทศ</v>
          </cell>
          <cell r="E207" t="str">
            <v>P1000</v>
          </cell>
          <cell r="F207" t="str">
            <v>ส่วนกลาง</v>
          </cell>
          <cell r="G207" t="str">
            <v>6711500</v>
          </cell>
          <cell r="H207" t="str">
            <v>งบรายจ่ายอื่น /งบส่วนราชการ</v>
          </cell>
          <cell r="I207">
            <v>0</v>
          </cell>
          <cell r="J207" t="str">
            <v>10,412,000.00</v>
          </cell>
          <cell r="K207">
            <v>0</v>
          </cell>
          <cell r="L207" t="str">
            <v>0.00</v>
          </cell>
          <cell r="M207" t="str">
            <v>0.00</v>
          </cell>
          <cell r="N207">
            <v>1650000</v>
          </cell>
        </row>
        <row r="208">
          <cell r="C208" t="str">
            <v>04002110013705000010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str">
            <v>10,483,000.00</v>
          </cell>
          <cell r="K208">
            <v>0</v>
          </cell>
          <cell r="L208" t="str">
            <v>0.00</v>
          </cell>
          <cell r="M208" t="str">
            <v>0.00</v>
          </cell>
          <cell r="N208">
            <v>9712282.7400000002</v>
          </cell>
        </row>
        <row r="209">
          <cell r="C209" t="str">
            <v>04002110013705000010</v>
          </cell>
          <cell r="D209">
            <v>0</v>
          </cell>
          <cell r="E209" t="str">
            <v>P1000</v>
          </cell>
          <cell r="F209" t="str">
            <v>ส่วนกลาง</v>
          </cell>
          <cell r="G209">
            <v>0</v>
          </cell>
          <cell r="H209">
            <v>0</v>
          </cell>
          <cell r="I209">
            <v>0</v>
          </cell>
          <cell r="J209" t="str">
            <v>10,483,000.00</v>
          </cell>
          <cell r="K209">
            <v>0</v>
          </cell>
          <cell r="L209" t="str">
            <v>0.00</v>
          </cell>
          <cell r="M209" t="str">
            <v>0.00</v>
          </cell>
          <cell r="N209">
            <v>9712282.7400000002</v>
          </cell>
        </row>
        <row r="210">
          <cell r="C210" t="str">
            <v>04002110013705000010</v>
          </cell>
          <cell r="D210" t="str">
            <v>ค่าใช้จ่ายในการจัดทำบัตรประจำตัวประชาชนสำหรับผู้มีสัญชาติไทยที่อาศ</v>
          </cell>
          <cell r="E210" t="str">
            <v>P1000</v>
          </cell>
          <cell r="F210" t="str">
            <v>ส่วนกลาง</v>
          </cell>
          <cell r="G210" t="str">
            <v>6711500</v>
          </cell>
          <cell r="H210" t="str">
            <v>งบรายจ่ายอื่น /งบส่วนราชการ</v>
          </cell>
          <cell r="I210">
            <v>0</v>
          </cell>
          <cell r="J210" t="str">
            <v>10,483,000.00</v>
          </cell>
          <cell r="K210">
            <v>0</v>
          </cell>
          <cell r="L210" t="str">
            <v>0.00</v>
          </cell>
          <cell r="M210" t="str">
            <v>0.00</v>
          </cell>
          <cell r="N210">
            <v>9712282.7400000002</v>
          </cell>
        </row>
        <row r="211">
          <cell r="C211" t="str">
            <v>04002110013705000011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str">
            <v>333,000.00</v>
          </cell>
          <cell r="K211">
            <v>0</v>
          </cell>
          <cell r="L211" t="str">
            <v>0.00</v>
          </cell>
          <cell r="M211" t="str">
            <v>0.00</v>
          </cell>
          <cell r="N211">
            <v>0</v>
          </cell>
        </row>
        <row r="212">
          <cell r="C212" t="str">
            <v>04002110013705000011</v>
          </cell>
          <cell r="D212">
            <v>0</v>
          </cell>
          <cell r="E212" t="str">
            <v>P1000</v>
          </cell>
          <cell r="F212" t="str">
            <v>ส่วนกลาง</v>
          </cell>
          <cell r="G212">
            <v>0</v>
          </cell>
          <cell r="H212">
            <v>0</v>
          </cell>
          <cell r="I212">
            <v>0</v>
          </cell>
          <cell r="J212" t="str">
            <v>333,000.00</v>
          </cell>
          <cell r="K212">
            <v>0</v>
          </cell>
          <cell r="L212" t="str">
            <v>0.00</v>
          </cell>
          <cell r="M212" t="str">
            <v>0.00</v>
          </cell>
          <cell r="N212">
            <v>0</v>
          </cell>
        </row>
        <row r="213">
          <cell r="C213" t="str">
            <v>04002110013705000011</v>
          </cell>
          <cell r="D213" t="str">
            <v>ค่าใช้จ่ายในการพัฒนาประสิทธิภาพการให้บริการแก่ประชาชนไทยในต่างประเ</v>
          </cell>
          <cell r="E213" t="str">
            <v>P1000</v>
          </cell>
          <cell r="F213" t="str">
            <v>ส่วนกลาง</v>
          </cell>
          <cell r="G213" t="str">
            <v>6711500</v>
          </cell>
          <cell r="H213" t="str">
            <v>งบรายจ่ายอื่น /งบส่วนราชการ</v>
          </cell>
          <cell r="I213">
            <v>0</v>
          </cell>
          <cell r="J213" t="str">
            <v>333,000.00</v>
          </cell>
          <cell r="K213">
            <v>0</v>
          </cell>
          <cell r="L213" t="str">
            <v>0.00</v>
          </cell>
          <cell r="M213" t="str">
            <v>0.00</v>
          </cell>
          <cell r="N213">
            <v>0</v>
          </cell>
        </row>
        <row r="214">
          <cell r="C214" t="str">
            <v>04002110013705000012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str">
            <v>670,000.00</v>
          </cell>
          <cell r="K214">
            <v>0</v>
          </cell>
          <cell r="L214" t="str">
            <v>0.00</v>
          </cell>
          <cell r="M214" t="str">
            <v>0.00</v>
          </cell>
          <cell r="N214">
            <v>152623.21</v>
          </cell>
        </row>
        <row r="215">
          <cell r="C215" t="str">
            <v>04002110013705000012</v>
          </cell>
          <cell r="D215">
            <v>0</v>
          </cell>
          <cell r="E215" t="str">
            <v>P1000</v>
          </cell>
          <cell r="F215" t="str">
            <v>ส่วนกลาง</v>
          </cell>
          <cell r="G215">
            <v>0</v>
          </cell>
          <cell r="H215">
            <v>0</v>
          </cell>
          <cell r="I215">
            <v>0</v>
          </cell>
          <cell r="J215" t="str">
            <v>670,000.00</v>
          </cell>
          <cell r="K215">
            <v>0</v>
          </cell>
          <cell r="L215" t="str">
            <v>0.00</v>
          </cell>
          <cell r="M215" t="str">
            <v>0.00</v>
          </cell>
          <cell r="N215">
            <v>152623.21</v>
          </cell>
        </row>
        <row r="216">
          <cell r="C216" t="str">
            <v>04002110013705000012</v>
          </cell>
          <cell r="D216" t="str">
            <v>ค่าใช้จ่ายในการพัฒนาระบบทรัพยากรสารสนเทศแบบอิเล็กทรอนิกส์เพื่อเพิ่</v>
          </cell>
          <cell r="E216" t="str">
            <v>P1000</v>
          </cell>
          <cell r="F216" t="str">
            <v>ส่วนกลาง</v>
          </cell>
          <cell r="G216" t="str">
            <v>6711500</v>
          </cell>
          <cell r="H216" t="str">
            <v>งบรายจ่ายอื่น /งบส่วนราชการ</v>
          </cell>
          <cell r="I216">
            <v>0</v>
          </cell>
          <cell r="J216" t="str">
            <v>670,000.00</v>
          </cell>
          <cell r="K216">
            <v>0</v>
          </cell>
          <cell r="L216" t="str">
            <v>0.00</v>
          </cell>
          <cell r="M216" t="str">
            <v>0.00</v>
          </cell>
          <cell r="N216">
            <v>152623.21</v>
          </cell>
        </row>
        <row r="217">
          <cell r="C217" t="str">
            <v>04002130003795000012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str">
            <v>5,136,000.00</v>
          </cell>
          <cell r="K217">
            <v>0</v>
          </cell>
          <cell r="L217" t="str">
            <v>0.00</v>
          </cell>
          <cell r="M217" t="str">
            <v>0.00</v>
          </cell>
          <cell r="N217">
            <v>5136000</v>
          </cell>
        </row>
        <row r="218">
          <cell r="C218" t="str">
            <v>04002130003795000012</v>
          </cell>
          <cell r="D218">
            <v>0</v>
          </cell>
          <cell r="E218" t="str">
            <v>P1000</v>
          </cell>
          <cell r="F218" t="str">
            <v>ส่วนกลาง</v>
          </cell>
          <cell r="G218">
            <v>0</v>
          </cell>
          <cell r="H218">
            <v>0</v>
          </cell>
          <cell r="I218">
            <v>0</v>
          </cell>
          <cell r="J218" t="str">
            <v>5,136,000.00</v>
          </cell>
          <cell r="K218">
            <v>0</v>
          </cell>
          <cell r="L218" t="str">
            <v>0.00</v>
          </cell>
          <cell r="M218" t="str">
            <v>0.00</v>
          </cell>
          <cell r="N218">
            <v>5136000</v>
          </cell>
        </row>
        <row r="219">
          <cell r="C219" t="str">
            <v>04002130003795000012</v>
          </cell>
          <cell r="D219" t="str">
            <v>เงินราชการลับกระทรวงการต่างประเทศ</v>
          </cell>
          <cell r="E219" t="str">
            <v>P1000</v>
          </cell>
          <cell r="F219" t="str">
            <v>ส่วนกลาง</v>
          </cell>
          <cell r="G219" t="str">
            <v>6711500</v>
          </cell>
          <cell r="H219" t="str">
            <v>งบรายจ่ายอื่น /งบส่วนราชการ</v>
          </cell>
          <cell r="I219">
            <v>0</v>
          </cell>
          <cell r="J219" t="str">
            <v>5,136,000.00</v>
          </cell>
          <cell r="K219">
            <v>0</v>
          </cell>
          <cell r="L219" t="str">
            <v>0.00</v>
          </cell>
          <cell r="M219" t="str">
            <v>0.00</v>
          </cell>
          <cell r="N219">
            <v>5136000</v>
          </cell>
        </row>
        <row r="220">
          <cell r="C220" t="str">
            <v>04002140001701000000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1,569,678,800.00</v>
          </cell>
          <cell r="K220">
            <v>0</v>
          </cell>
          <cell r="L220" t="str">
            <v>0.00</v>
          </cell>
          <cell r="M220" t="str">
            <v>0.00</v>
          </cell>
          <cell r="N220">
            <v>1039295900.75</v>
          </cell>
        </row>
        <row r="221">
          <cell r="C221" t="str">
            <v>04002140001701000000</v>
          </cell>
          <cell r="D221">
            <v>0</v>
          </cell>
          <cell r="E221" t="str">
            <v>P1000</v>
          </cell>
          <cell r="F221" t="str">
            <v>ส่วนกลาง</v>
          </cell>
          <cell r="G221">
            <v>0</v>
          </cell>
          <cell r="H221">
            <v>0</v>
          </cell>
          <cell r="I221">
            <v>0</v>
          </cell>
          <cell r="J221" t="str">
            <v>1,569,678,800.00</v>
          </cell>
          <cell r="K221">
            <v>0</v>
          </cell>
          <cell r="L221" t="str">
            <v>0.00</v>
          </cell>
          <cell r="M221" t="str">
            <v>0.00</v>
          </cell>
          <cell r="N221">
            <v>1039295900.75</v>
          </cell>
        </row>
        <row r="222">
          <cell r="C222" t="str">
            <v>04002140001701000000</v>
          </cell>
          <cell r="D222" t="str">
            <v>รายการงบประจำ งบบุคลากร</v>
          </cell>
          <cell r="E222" t="str">
            <v>P1000</v>
          </cell>
          <cell r="F222" t="str">
            <v>ส่วนกลาง</v>
          </cell>
          <cell r="G222" t="str">
            <v>6711100</v>
          </cell>
          <cell r="H222" t="str">
            <v>งบบุคลากร /งบส่วนราชการ</v>
          </cell>
          <cell r="I222">
            <v>0</v>
          </cell>
          <cell r="J222" t="str">
            <v>1,569,678,800.00</v>
          </cell>
          <cell r="K222">
            <v>0</v>
          </cell>
          <cell r="L222" t="str">
            <v>0.00</v>
          </cell>
          <cell r="M222" t="str">
            <v>0.00</v>
          </cell>
          <cell r="N222">
            <v>0</v>
          </cell>
        </row>
        <row r="223">
          <cell r="C223" t="str">
            <v>04002140001701000000</v>
          </cell>
          <cell r="D223" t="str">
            <v>รายการงบประจำ งบบุคลากร</v>
          </cell>
          <cell r="E223" t="str">
            <v>P1000</v>
          </cell>
          <cell r="F223" t="str">
            <v>ส่วนกลาง</v>
          </cell>
          <cell r="G223" t="str">
            <v>6711110</v>
          </cell>
          <cell r="H223" t="str">
            <v>เงินเดือน /งบส่วนราชการ</v>
          </cell>
          <cell r="I223">
            <v>0</v>
          </cell>
          <cell r="J223" t="str">
            <v>0.00</v>
          </cell>
          <cell r="K223">
            <v>0</v>
          </cell>
          <cell r="L223" t="str">
            <v>0.00</v>
          </cell>
          <cell r="M223" t="str">
            <v>0.00</v>
          </cell>
          <cell r="N223">
            <v>648648275.70000005</v>
          </cell>
        </row>
        <row r="224">
          <cell r="C224" t="str">
            <v>04002140001701000000</v>
          </cell>
          <cell r="D224" t="str">
            <v>รายการงบประจำ งบบุคลากร</v>
          </cell>
          <cell r="E224" t="str">
            <v>P1000</v>
          </cell>
          <cell r="F224" t="str">
            <v>ส่วนกลาง</v>
          </cell>
          <cell r="G224" t="str">
            <v>6711120</v>
          </cell>
          <cell r="H224" t="str">
            <v>ค่าจ้างประจำ /งบส่วนราชการ</v>
          </cell>
          <cell r="I224">
            <v>0</v>
          </cell>
          <cell r="J224" t="str">
            <v>0.00</v>
          </cell>
          <cell r="K224">
            <v>0</v>
          </cell>
          <cell r="L224" t="str">
            <v>0.00</v>
          </cell>
          <cell r="M224" t="str">
            <v>0.00</v>
          </cell>
          <cell r="N224">
            <v>2663920</v>
          </cell>
        </row>
        <row r="225">
          <cell r="C225" t="str">
            <v>04002140001701000000</v>
          </cell>
          <cell r="D225" t="str">
            <v>รายการงบประจำ งบบุคลากร</v>
          </cell>
          <cell r="E225" t="str">
            <v>P1000</v>
          </cell>
          <cell r="F225" t="str">
            <v>ส่วนกลาง</v>
          </cell>
          <cell r="G225" t="str">
            <v>6711130</v>
          </cell>
          <cell r="H225" t="str">
            <v>ค่าจ้างชั่วคราว /งบส่วนราชการ</v>
          </cell>
          <cell r="I225">
            <v>0</v>
          </cell>
          <cell r="J225" t="str">
            <v>0.00</v>
          </cell>
          <cell r="K225">
            <v>0</v>
          </cell>
          <cell r="L225" t="str">
            <v>0.00</v>
          </cell>
          <cell r="M225" t="str">
            <v>0.00</v>
          </cell>
          <cell r="N225">
            <v>385322746.33999997</v>
          </cell>
        </row>
        <row r="226">
          <cell r="C226" t="str">
            <v>04002140001701000000</v>
          </cell>
          <cell r="D226" t="str">
            <v>รายการงบประจำ งบบุคลากร</v>
          </cell>
          <cell r="E226" t="str">
            <v>P1000</v>
          </cell>
          <cell r="F226" t="str">
            <v>ส่วนกลาง</v>
          </cell>
          <cell r="G226" t="str">
            <v>6711150</v>
          </cell>
          <cell r="H226" t="str">
            <v>ค่าตอบแทนพนักงานราชการ /งบส่วนราชการ</v>
          </cell>
          <cell r="I226">
            <v>0</v>
          </cell>
          <cell r="J226" t="str">
            <v>0.00</v>
          </cell>
          <cell r="K226">
            <v>0</v>
          </cell>
          <cell r="L226" t="str">
            <v>0.00</v>
          </cell>
          <cell r="M226" t="str">
            <v>0.00</v>
          </cell>
          <cell r="N226">
            <v>2660958.71</v>
          </cell>
        </row>
        <row r="227">
          <cell r="C227" t="str">
            <v>04002140001702000000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str">
            <v>629,020,500.00</v>
          </cell>
          <cell r="K227">
            <v>0</v>
          </cell>
          <cell r="L227" t="str">
            <v>0.00</v>
          </cell>
          <cell r="M227" t="str">
            <v>0.00</v>
          </cell>
          <cell r="N227">
            <v>504333462.76999998</v>
          </cell>
        </row>
        <row r="228">
          <cell r="C228" t="str">
            <v>04002140001702000000</v>
          </cell>
          <cell r="D228">
            <v>0</v>
          </cell>
          <cell r="E228" t="str">
            <v>P1000</v>
          </cell>
          <cell r="F228" t="str">
            <v>ส่วนกลาง</v>
          </cell>
          <cell r="G228">
            <v>0</v>
          </cell>
          <cell r="H228">
            <v>0</v>
          </cell>
          <cell r="I228">
            <v>0</v>
          </cell>
          <cell r="J228" t="str">
            <v>629,020,500.00</v>
          </cell>
          <cell r="K228">
            <v>0</v>
          </cell>
          <cell r="L228" t="str">
            <v>0.00</v>
          </cell>
          <cell r="M228" t="str">
            <v>0.00</v>
          </cell>
          <cell r="N228">
            <v>504333462.76999998</v>
          </cell>
        </row>
        <row r="229">
          <cell r="C229" t="str">
            <v>04002140001702000000</v>
          </cell>
          <cell r="D229" t="str">
            <v>รายการงบประจำ งบดำเนินงาน</v>
          </cell>
          <cell r="E229" t="str">
            <v>P1000</v>
          </cell>
          <cell r="F229" t="str">
            <v>ส่วนกลาง</v>
          </cell>
          <cell r="G229" t="str">
            <v>6711200</v>
          </cell>
          <cell r="H229" t="str">
            <v>งบดำเนินงาน /งบส่วนราชการ</v>
          </cell>
          <cell r="I229">
            <v>0</v>
          </cell>
          <cell r="J229" t="str">
            <v>629,020,500.00</v>
          </cell>
          <cell r="K229">
            <v>0</v>
          </cell>
          <cell r="L229" t="str">
            <v>0.00</v>
          </cell>
          <cell r="M229" t="str">
            <v>0.00</v>
          </cell>
          <cell r="N229">
            <v>0</v>
          </cell>
        </row>
        <row r="230">
          <cell r="C230" t="str">
            <v>04002140001702000000</v>
          </cell>
          <cell r="D230" t="str">
            <v>รายการงบประจำ งบดำเนินงาน</v>
          </cell>
          <cell r="E230" t="str">
            <v>P1000</v>
          </cell>
          <cell r="F230" t="str">
            <v>ส่วนกลาง</v>
          </cell>
          <cell r="G230" t="str">
            <v>6711210</v>
          </cell>
          <cell r="H230" t="str">
            <v>ค่าตอบแทน /งบส่วนราชการ</v>
          </cell>
          <cell r="I230">
            <v>0</v>
          </cell>
          <cell r="J230" t="str">
            <v>0.00</v>
          </cell>
          <cell r="K230">
            <v>0</v>
          </cell>
          <cell r="L230" t="str">
            <v>0.00</v>
          </cell>
          <cell r="M230" t="str">
            <v>0.00</v>
          </cell>
          <cell r="N230">
            <v>417801630.25</v>
          </cell>
        </row>
        <row r="231">
          <cell r="C231" t="str">
            <v>04002140001702000000</v>
          </cell>
          <cell r="D231" t="str">
            <v>รายการงบประจำ งบดำเนินงาน</v>
          </cell>
          <cell r="E231" t="str">
            <v>P1000</v>
          </cell>
          <cell r="F231" t="str">
            <v>ส่วนกลาง</v>
          </cell>
          <cell r="G231" t="str">
            <v>6711220</v>
          </cell>
          <cell r="H231" t="str">
            <v>ค่าใช้สอย /งบส่วนราชการ</v>
          </cell>
          <cell r="I231">
            <v>0</v>
          </cell>
          <cell r="J231" t="str">
            <v>0.00</v>
          </cell>
          <cell r="K231">
            <v>0</v>
          </cell>
          <cell r="L231" t="str">
            <v>0.00</v>
          </cell>
          <cell r="M231" t="str">
            <v>0.00</v>
          </cell>
          <cell r="N231">
            <v>86531832.519999996</v>
          </cell>
        </row>
        <row r="232">
          <cell r="C232" t="str">
            <v>04002140004791000000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>1,070,296.45</v>
          </cell>
          <cell r="K232">
            <v>0</v>
          </cell>
          <cell r="L232" t="str">
            <v>0.00</v>
          </cell>
          <cell r="M232" t="str">
            <v>0.00</v>
          </cell>
          <cell r="N232">
            <v>706416.45</v>
          </cell>
        </row>
        <row r="233">
          <cell r="C233" t="str">
            <v>04002140004791000000</v>
          </cell>
          <cell r="D233">
            <v>0</v>
          </cell>
          <cell r="E233" t="str">
            <v>P1000</v>
          </cell>
          <cell r="F233" t="str">
            <v>ส่วนกลาง</v>
          </cell>
          <cell r="G233">
            <v>0</v>
          </cell>
          <cell r="H233">
            <v>0</v>
          </cell>
          <cell r="I233">
            <v>0</v>
          </cell>
          <cell r="J233" t="str">
            <v>1,070,296.45</v>
          </cell>
          <cell r="K233">
            <v>0</v>
          </cell>
          <cell r="L233" t="str">
            <v>0.00</v>
          </cell>
          <cell r="M233" t="str">
            <v>0.00</v>
          </cell>
          <cell r="N233">
            <v>706416.45</v>
          </cell>
        </row>
        <row r="234">
          <cell r="C234" t="str">
            <v>04002140004791000000</v>
          </cell>
          <cell r="D234" t="str">
            <v>รายการงบประจำ งบบุคลากร</v>
          </cell>
          <cell r="E234" t="str">
            <v>P1000</v>
          </cell>
          <cell r="F234" t="str">
            <v>ส่วนกลาง</v>
          </cell>
          <cell r="G234" t="str">
            <v>6711100</v>
          </cell>
          <cell r="H234" t="str">
            <v>งบบุคลากร /งบส่วนราชการ</v>
          </cell>
          <cell r="I234">
            <v>0</v>
          </cell>
          <cell r="J234" t="str">
            <v>1,070,296.45</v>
          </cell>
          <cell r="K234">
            <v>0</v>
          </cell>
          <cell r="L234" t="str">
            <v>0.00</v>
          </cell>
          <cell r="M234" t="str">
            <v>0.00</v>
          </cell>
          <cell r="N234">
            <v>0</v>
          </cell>
        </row>
        <row r="235">
          <cell r="C235" t="str">
            <v>04002140004791000000</v>
          </cell>
          <cell r="D235" t="str">
            <v>รายการงบประจำ งบบุคลากร</v>
          </cell>
          <cell r="E235" t="str">
            <v>P1000</v>
          </cell>
          <cell r="F235" t="str">
            <v>ส่วนกลาง</v>
          </cell>
          <cell r="G235" t="str">
            <v>6711110</v>
          </cell>
          <cell r="H235" t="str">
            <v>เงินเดือน /งบส่วนราชการ</v>
          </cell>
          <cell r="I235">
            <v>0</v>
          </cell>
          <cell r="J235" t="str">
            <v>0.00</v>
          </cell>
          <cell r="K235">
            <v>0</v>
          </cell>
          <cell r="L235" t="str">
            <v>0.00</v>
          </cell>
          <cell r="M235" t="str">
            <v>0.00</v>
          </cell>
          <cell r="N235">
            <v>706416.45</v>
          </cell>
        </row>
        <row r="236">
          <cell r="C236" t="str">
            <v>04002140004792000000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>150,000.00</v>
          </cell>
          <cell r="K236">
            <v>0</v>
          </cell>
          <cell r="L236" t="str">
            <v>0.00</v>
          </cell>
          <cell r="M236" t="str">
            <v>0.00</v>
          </cell>
          <cell r="N236">
            <v>100000</v>
          </cell>
        </row>
        <row r="237">
          <cell r="C237" t="str">
            <v>04002140004792000000</v>
          </cell>
          <cell r="D237">
            <v>0</v>
          </cell>
          <cell r="E237" t="str">
            <v>P1000</v>
          </cell>
          <cell r="F237" t="str">
            <v>ส่วนกลาง</v>
          </cell>
          <cell r="G237">
            <v>0</v>
          </cell>
          <cell r="H237">
            <v>0</v>
          </cell>
          <cell r="I237">
            <v>0</v>
          </cell>
          <cell r="J237" t="str">
            <v>150,000.00</v>
          </cell>
          <cell r="K237">
            <v>0</v>
          </cell>
          <cell r="L237" t="str">
            <v>0.00</v>
          </cell>
          <cell r="M237" t="str">
            <v>0.00</v>
          </cell>
          <cell r="N237">
            <v>100000</v>
          </cell>
        </row>
        <row r="238">
          <cell r="C238" t="str">
            <v>04002140004792000000</v>
          </cell>
          <cell r="D238" t="str">
            <v>รายการงบประจำ งบดำเนินงาน</v>
          </cell>
          <cell r="E238" t="str">
            <v>P1000</v>
          </cell>
          <cell r="F238" t="str">
            <v>ส่วนกลาง</v>
          </cell>
          <cell r="G238" t="str">
            <v>6711200</v>
          </cell>
          <cell r="H238" t="str">
            <v>งบดำเนินงาน /งบส่วนราชการ</v>
          </cell>
          <cell r="I238">
            <v>0</v>
          </cell>
          <cell r="J238" t="str">
            <v>150,000.00</v>
          </cell>
          <cell r="K238">
            <v>0</v>
          </cell>
          <cell r="L238" t="str">
            <v>0.00</v>
          </cell>
          <cell r="M238" t="str">
            <v>0.00</v>
          </cell>
          <cell r="N238">
            <v>0</v>
          </cell>
        </row>
        <row r="239">
          <cell r="C239" t="str">
            <v>04002140004792000000</v>
          </cell>
          <cell r="D239" t="str">
            <v>รายการงบประจำ งบดำเนินงาน</v>
          </cell>
          <cell r="E239" t="str">
            <v>P1000</v>
          </cell>
          <cell r="F239" t="str">
            <v>ส่วนกลาง</v>
          </cell>
          <cell r="G239" t="str">
            <v>6711210</v>
          </cell>
          <cell r="H239" t="str">
            <v>ค่าตอบแทน /งบส่วนราชการ</v>
          </cell>
          <cell r="I239">
            <v>0</v>
          </cell>
          <cell r="J239" t="str">
            <v>0.00</v>
          </cell>
          <cell r="K239">
            <v>0</v>
          </cell>
          <cell r="L239" t="str">
            <v>0.00</v>
          </cell>
          <cell r="M239" t="str">
            <v>0.00</v>
          </cell>
          <cell r="N239">
            <v>100000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4:I24"/>
  <sheetViews>
    <sheetView view="pageBreakPreview" zoomScale="70" zoomScaleNormal="70" zoomScaleSheetLayoutView="70" workbookViewId="0">
      <selection activeCell="A7" sqref="A7:I7"/>
    </sheetView>
  </sheetViews>
  <sheetFormatPr defaultRowHeight="26.25" customHeight="1" x14ac:dyDescent="0.2"/>
  <cols>
    <col min="1" max="3" width="9.140625" style="326"/>
    <col min="4" max="4" width="9.7109375" style="326" bestFit="1" customWidth="1"/>
    <col min="5" max="259" width="9.140625" style="326"/>
    <col min="260" max="260" width="9.7109375" style="326" bestFit="1" customWidth="1"/>
    <col min="261" max="515" width="9.140625" style="326"/>
    <col min="516" max="516" width="9.7109375" style="326" bestFit="1" customWidth="1"/>
    <col min="517" max="771" width="9.140625" style="326"/>
    <col min="772" max="772" width="9.7109375" style="326" bestFit="1" customWidth="1"/>
    <col min="773" max="1027" width="9.140625" style="326"/>
    <col min="1028" max="1028" width="9.7109375" style="326" bestFit="1" customWidth="1"/>
    <col min="1029" max="1283" width="9.140625" style="326"/>
    <col min="1284" max="1284" width="9.7109375" style="326" bestFit="1" customWidth="1"/>
    <col min="1285" max="1539" width="9.140625" style="326"/>
    <col min="1540" max="1540" width="9.7109375" style="326" bestFit="1" customWidth="1"/>
    <col min="1541" max="1795" width="9.140625" style="326"/>
    <col min="1796" max="1796" width="9.7109375" style="326" bestFit="1" customWidth="1"/>
    <col min="1797" max="2051" width="9.140625" style="326"/>
    <col min="2052" max="2052" width="9.7109375" style="326" bestFit="1" customWidth="1"/>
    <col min="2053" max="2307" width="9.140625" style="326"/>
    <col min="2308" max="2308" width="9.7109375" style="326" bestFit="1" customWidth="1"/>
    <col min="2309" max="2563" width="9.140625" style="326"/>
    <col min="2564" max="2564" width="9.7109375" style="326" bestFit="1" customWidth="1"/>
    <col min="2565" max="2819" width="9.140625" style="326"/>
    <col min="2820" max="2820" width="9.7109375" style="326" bestFit="1" customWidth="1"/>
    <col min="2821" max="3075" width="9.140625" style="326"/>
    <col min="3076" max="3076" width="9.7109375" style="326" bestFit="1" customWidth="1"/>
    <col min="3077" max="3331" width="9.140625" style="326"/>
    <col min="3332" max="3332" width="9.7109375" style="326" bestFit="1" customWidth="1"/>
    <col min="3333" max="3587" width="9.140625" style="326"/>
    <col min="3588" max="3588" width="9.7109375" style="326" bestFit="1" customWidth="1"/>
    <col min="3589" max="3843" width="9.140625" style="326"/>
    <col min="3844" max="3844" width="9.7109375" style="326" bestFit="1" customWidth="1"/>
    <col min="3845" max="4099" width="9.140625" style="326"/>
    <col min="4100" max="4100" width="9.7109375" style="326" bestFit="1" customWidth="1"/>
    <col min="4101" max="4355" width="9.140625" style="326"/>
    <col min="4356" max="4356" width="9.7109375" style="326" bestFit="1" customWidth="1"/>
    <col min="4357" max="4611" width="9.140625" style="326"/>
    <col min="4612" max="4612" width="9.7109375" style="326" bestFit="1" customWidth="1"/>
    <col min="4613" max="4867" width="9.140625" style="326"/>
    <col min="4868" max="4868" width="9.7109375" style="326" bestFit="1" customWidth="1"/>
    <col min="4869" max="5123" width="9.140625" style="326"/>
    <col min="5124" max="5124" width="9.7109375" style="326" bestFit="1" customWidth="1"/>
    <col min="5125" max="5379" width="9.140625" style="326"/>
    <col min="5380" max="5380" width="9.7109375" style="326" bestFit="1" customWidth="1"/>
    <col min="5381" max="5635" width="9.140625" style="326"/>
    <col min="5636" max="5636" width="9.7109375" style="326" bestFit="1" customWidth="1"/>
    <col min="5637" max="5891" width="9.140625" style="326"/>
    <col min="5892" max="5892" width="9.7109375" style="326" bestFit="1" customWidth="1"/>
    <col min="5893" max="6147" width="9.140625" style="326"/>
    <col min="6148" max="6148" width="9.7109375" style="326" bestFit="1" customWidth="1"/>
    <col min="6149" max="6403" width="9.140625" style="326"/>
    <col min="6404" max="6404" width="9.7109375" style="326" bestFit="1" customWidth="1"/>
    <col min="6405" max="6659" width="9.140625" style="326"/>
    <col min="6660" max="6660" width="9.7109375" style="326" bestFit="1" customWidth="1"/>
    <col min="6661" max="6915" width="9.140625" style="326"/>
    <col min="6916" max="6916" width="9.7109375" style="326" bestFit="1" customWidth="1"/>
    <col min="6917" max="7171" width="9.140625" style="326"/>
    <col min="7172" max="7172" width="9.7109375" style="326" bestFit="1" customWidth="1"/>
    <col min="7173" max="7427" width="9.140625" style="326"/>
    <col min="7428" max="7428" width="9.7109375" style="326" bestFit="1" customWidth="1"/>
    <col min="7429" max="7683" width="9.140625" style="326"/>
    <col min="7684" max="7684" width="9.7109375" style="326" bestFit="1" customWidth="1"/>
    <col min="7685" max="7939" width="9.140625" style="326"/>
    <col min="7940" max="7940" width="9.7109375" style="326" bestFit="1" customWidth="1"/>
    <col min="7941" max="8195" width="9.140625" style="326"/>
    <col min="8196" max="8196" width="9.7109375" style="326" bestFit="1" customWidth="1"/>
    <col min="8197" max="8451" width="9.140625" style="326"/>
    <col min="8452" max="8452" width="9.7109375" style="326" bestFit="1" customWidth="1"/>
    <col min="8453" max="8707" width="9.140625" style="326"/>
    <col min="8708" max="8708" width="9.7109375" style="326" bestFit="1" customWidth="1"/>
    <col min="8709" max="8963" width="9.140625" style="326"/>
    <col min="8964" max="8964" width="9.7109375" style="326" bestFit="1" customWidth="1"/>
    <col min="8965" max="9219" width="9.140625" style="326"/>
    <col min="9220" max="9220" width="9.7109375" style="326" bestFit="1" customWidth="1"/>
    <col min="9221" max="9475" width="9.140625" style="326"/>
    <col min="9476" max="9476" width="9.7109375" style="326" bestFit="1" customWidth="1"/>
    <col min="9477" max="9731" width="9.140625" style="326"/>
    <col min="9732" max="9732" width="9.7109375" style="326" bestFit="1" customWidth="1"/>
    <col min="9733" max="9987" width="9.140625" style="326"/>
    <col min="9988" max="9988" width="9.7109375" style="326" bestFit="1" customWidth="1"/>
    <col min="9989" max="10243" width="9.140625" style="326"/>
    <col min="10244" max="10244" width="9.7109375" style="326" bestFit="1" customWidth="1"/>
    <col min="10245" max="10499" width="9.140625" style="326"/>
    <col min="10500" max="10500" width="9.7109375" style="326" bestFit="1" customWidth="1"/>
    <col min="10501" max="10755" width="9.140625" style="326"/>
    <col min="10756" max="10756" width="9.7109375" style="326" bestFit="1" customWidth="1"/>
    <col min="10757" max="11011" width="9.140625" style="326"/>
    <col min="11012" max="11012" width="9.7109375" style="326" bestFit="1" customWidth="1"/>
    <col min="11013" max="11267" width="9.140625" style="326"/>
    <col min="11268" max="11268" width="9.7109375" style="326" bestFit="1" customWidth="1"/>
    <col min="11269" max="11523" width="9.140625" style="326"/>
    <col min="11524" max="11524" width="9.7109375" style="326" bestFit="1" customWidth="1"/>
    <col min="11525" max="11779" width="9.140625" style="326"/>
    <col min="11780" max="11780" width="9.7109375" style="326" bestFit="1" customWidth="1"/>
    <col min="11781" max="12035" width="9.140625" style="326"/>
    <col min="12036" max="12036" width="9.7109375" style="326" bestFit="1" customWidth="1"/>
    <col min="12037" max="12291" width="9.140625" style="326"/>
    <col min="12292" max="12292" width="9.7109375" style="326" bestFit="1" customWidth="1"/>
    <col min="12293" max="12547" width="9.140625" style="326"/>
    <col min="12548" max="12548" width="9.7109375" style="326" bestFit="1" customWidth="1"/>
    <col min="12549" max="12803" width="9.140625" style="326"/>
    <col min="12804" max="12804" width="9.7109375" style="326" bestFit="1" customWidth="1"/>
    <col min="12805" max="13059" width="9.140625" style="326"/>
    <col min="13060" max="13060" width="9.7109375" style="326" bestFit="1" customWidth="1"/>
    <col min="13061" max="13315" width="9.140625" style="326"/>
    <col min="13316" max="13316" width="9.7109375" style="326" bestFit="1" customWidth="1"/>
    <col min="13317" max="13571" width="9.140625" style="326"/>
    <col min="13572" max="13572" width="9.7109375" style="326" bestFit="1" customWidth="1"/>
    <col min="13573" max="13827" width="9.140625" style="326"/>
    <col min="13828" max="13828" width="9.7109375" style="326" bestFit="1" customWidth="1"/>
    <col min="13829" max="14083" width="9.140625" style="326"/>
    <col min="14084" max="14084" width="9.7109375" style="326" bestFit="1" customWidth="1"/>
    <col min="14085" max="14339" width="9.140625" style="326"/>
    <col min="14340" max="14340" width="9.7109375" style="326" bestFit="1" customWidth="1"/>
    <col min="14341" max="14595" width="9.140625" style="326"/>
    <col min="14596" max="14596" width="9.7109375" style="326" bestFit="1" customWidth="1"/>
    <col min="14597" max="14851" width="9.140625" style="326"/>
    <col min="14852" max="14852" width="9.7109375" style="326" bestFit="1" customWidth="1"/>
    <col min="14853" max="15107" width="9.140625" style="326"/>
    <col min="15108" max="15108" width="9.7109375" style="326" bestFit="1" customWidth="1"/>
    <col min="15109" max="15363" width="9.140625" style="326"/>
    <col min="15364" max="15364" width="9.7109375" style="326" bestFit="1" customWidth="1"/>
    <col min="15365" max="15619" width="9.140625" style="326"/>
    <col min="15620" max="15620" width="9.7109375" style="326" bestFit="1" customWidth="1"/>
    <col min="15621" max="15875" width="9.140625" style="326"/>
    <col min="15876" max="15876" width="9.7109375" style="326" bestFit="1" customWidth="1"/>
    <col min="15877" max="16131" width="9.140625" style="326"/>
    <col min="16132" max="16132" width="9.7109375" style="326" bestFit="1" customWidth="1"/>
    <col min="16133" max="16384" width="9.140625" style="326"/>
  </cols>
  <sheetData>
    <row r="4" spans="1:9" ht="45.75" x14ac:dyDescent="0.2">
      <c r="A4" s="1344" t="s">
        <v>688</v>
      </c>
      <c r="B4" s="1344"/>
      <c r="C4" s="1344"/>
      <c r="D4" s="1344"/>
      <c r="E4" s="1344"/>
      <c r="F4" s="1344"/>
      <c r="G4" s="1344"/>
      <c r="H4" s="1344"/>
      <c r="I4" s="1344"/>
    </row>
    <row r="5" spans="1:9" ht="45.75" x14ac:dyDescent="0.2">
      <c r="A5" s="1344" t="s">
        <v>689</v>
      </c>
      <c r="B5" s="1344"/>
      <c r="C5" s="1344"/>
      <c r="D5" s="1344"/>
      <c r="E5" s="1344"/>
      <c r="F5" s="1344"/>
      <c r="G5" s="1344"/>
      <c r="H5" s="1344"/>
      <c r="I5" s="1344"/>
    </row>
    <row r="6" spans="1:9" ht="45.75" x14ac:dyDescent="0.2">
      <c r="A6" s="1344" t="s">
        <v>1047</v>
      </c>
      <c r="B6" s="1344"/>
      <c r="C6" s="1344"/>
      <c r="D6" s="1344"/>
      <c r="E6" s="1344"/>
      <c r="F6" s="1344"/>
      <c r="G6" s="1344"/>
      <c r="H6" s="1344"/>
      <c r="I6" s="1344"/>
    </row>
    <row r="7" spans="1:9" ht="45.75" x14ac:dyDescent="0.2">
      <c r="A7" s="1344" t="s">
        <v>1</v>
      </c>
      <c r="B7" s="1344"/>
      <c r="C7" s="1344"/>
      <c r="D7" s="1344"/>
      <c r="E7" s="1344"/>
      <c r="F7" s="1344"/>
      <c r="G7" s="1344"/>
      <c r="H7" s="1344"/>
      <c r="I7" s="1344"/>
    </row>
    <row r="13" spans="1:9" s="327" customFormat="1" ht="29.25" customHeight="1" x14ac:dyDescent="0.2"/>
    <row r="15" spans="1:9" ht="36" x14ac:dyDescent="0.2">
      <c r="A15" s="1345" t="s">
        <v>263</v>
      </c>
      <c r="B15" s="1345"/>
      <c r="C15" s="1345"/>
      <c r="D15" s="1345"/>
      <c r="E15" s="1345"/>
      <c r="F15" s="1345"/>
      <c r="G15" s="1345"/>
      <c r="H15" s="1345"/>
      <c r="I15" s="1345"/>
    </row>
    <row r="16" spans="1:9" ht="36" x14ac:dyDescent="0.2">
      <c r="A16" s="1346" t="s">
        <v>1048</v>
      </c>
      <c r="B16" s="1346"/>
      <c r="C16" s="1346"/>
      <c r="D16" s="1346"/>
      <c r="E16" s="1346"/>
      <c r="F16" s="1346"/>
      <c r="G16" s="1346"/>
      <c r="H16" s="1346"/>
      <c r="I16" s="1346"/>
    </row>
    <row r="22" spans="7:9" ht="24" customHeight="1" x14ac:dyDescent="0.2">
      <c r="G22" s="1343" t="s">
        <v>1294</v>
      </c>
      <c r="H22" s="1343"/>
      <c r="I22" s="1343"/>
    </row>
    <row r="23" spans="7:9" s="328" customFormat="1" ht="23.25" customHeight="1" x14ac:dyDescent="0.2">
      <c r="G23" s="1343" t="s">
        <v>1295</v>
      </c>
      <c r="H23" s="1343"/>
      <c r="I23" s="1343"/>
    </row>
    <row r="24" spans="7:9" s="328" customFormat="1" ht="23.25" x14ac:dyDescent="0.2"/>
  </sheetData>
  <mergeCells count="8">
    <mergeCell ref="G23:I23"/>
    <mergeCell ref="G22:I22"/>
    <mergeCell ref="A4:I4"/>
    <mergeCell ref="A5:I5"/>
    <mergeCell ref="A6:I6"/>
    <mergeCell ref="A7:I7"/>
    <mergeCell ref="A15:I15"/>
    <mergeCell ref="A16:I16"/>
  </mergeCells>
  <printOptions horizontalCentered="1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5"/>
  <sheetViews>
    <sheetView view="pageBreakPreview" zoomScale="90" zoomScaleNormal="100" zoomScaleSheetLayoutView="90" workbookViewId="0">
      <selection activeCell="A7" sqref="A7:I7"/>
    </sheetView>
  </sheetViews>
  <sheetFormatPr defaultRowHeight="23.25" customHeight="1" x14ac:dyDescent="0.2"/>
  <cols>
    <col min="1" max="1" width="2.85546875" style="329" customWidth="1"/>
    <col min="2" max="2" width="3.85546875" style="329" customWidth="1"/>
    <col min="3" max="3" width="80.5703125" style="4" customWidth="1"/>
    <col min="4" max="4" width="5.7109375" style="331" customWidth="1"/>
    <col min="5" max="256" width="9.140625" style="4"/>
    <col min="257" max="257" width="2.85546875" style="4" customWidth="1"/>
    <col min="258" max="258" width="3.85546875" style="4" customWidth="1"/>
    <col min="259" max="259" width="88.7109375" style="4" customWidth="1"/>
    <col min="260" max="260" width="5.7109375" style="4" customWidth="1"/>
    <col min="261" max="512" width="9.140625" style="4"/>
    <col min="513" max="513" width="2.85546875" style="4" customWidth="1"/>
    <col min="514" max="514" width="3.85546875" style="4" customWidth="1"/>
    <col min="515" max="515" width="88.7109375" style="4" customWidth="1"/>
    <col min="516" max="516" width="5.7109375" style="4" customWidth="1"/>
    <col min="517" max="768" width="9.140625" style="4"/>
    <col min="769" max="769" width="2.85546875" style="4" customWidth="1"/>
    <col min="770" max="770" width="3.85546875" style="4" customWidth="1"/>
    <col min="771" max="771" width="88.7109375" style="4" customWidth="1"/>
    <col min="772" max="772" width="5.7109375" style="4" customWidth="1"/>
    <col min="773" max="1024" width="9.140625" style="4"/>
    <col min="1025" max="1025" width="2.85546875" style="4" customWidth="1"/>
    <col min="1026" max="1026" width="3.85546875" style="4" customWidth="1"/>
    <col min="1027" max="1027" width="88.7109375" style="4" customWidth="1"/>
    <col min="1028" max="1028" width="5.7109375" style="4" customWidth="1"/>
    <col min="1029" max="1280" width="9.140625" style="4"/>
    <col min="1281" max="1281" width="2.85546875" style="4" customWidth="1"/>
    <col min="1282" max="1282" width="3.85546875" style="4" customWidth="1"/>
    <col min="1283" max="1283" width="88.7109375" style="4" customWidth="1"/>
    <col min="1284" max="1284" width="5.7109375" style="4" customWidth="1"/>
    <col min="1285" max="1536" width="9.140625" style="4"/>
    <col min="1537" max="1537" width="2.85546875" style="4" customWidth="1"/>
    <col min="1538" max="1538" width="3.85546875" style="4" customWidth="1"/>
    <col min="1539" max="1539" width="88.7109375" style="4" customWidth="1"/>
    <col min="1540" max="1540" width="5.7109375" style="4" customWidth="1"/>
    <col min="1541" max="1792" width="9.140625" style="4"/>
    <col min="1793" max="1793" width="2.85546875" style="4" customWidth="1"/>
    <col min="1794" max="1794" width="3.85546875" style="4" customWidth="1"/>
    <col min="1795" max="1795" width="88.7109375" style="4" customWidth="1"/>
    <col min="1796" max="1796" width="5.7109375" style="4" customWidth="1"/>
    <col min="1797" max="2048" width="9.140625" style="4"/>
    <col min="2049" max="2049" width="2.85546875" style="4" customWidth="1"/>
    <col min="2050" max="2050" width="3.85546875" style="4" customWidth="1"/>
    <col min="2051" max="2051" width="88.7109375" style="4" customWidth="1"/>
    <col min="2052" max="2052" width="5.7109375" style="4" customWidth="1"/>
    <col min="2053" max="2304" width="9.140625" style="4"/>
    <col min="2305" max="2305" width="2.85546875" style="4" customWidth="1"/>
    <col min="2306" max="2306" width="3.85546875" style="4" customWidth="1"/>
    <col min="2307" max="2307" width="88.7109375" style="4" customWidth="1"/>
    <col min="2308" max="2308" width="5.7109375" style="4" customWidth="1"/>
    <col min="2309" max="2560" width="9.140625" style="4"/>
    <col min="2561" max="2561" width="2.85546875" style="4" customWidth="1"/>
    <col min="2562" max="2562" width="3.85546875" style="4" customWidth="1"/>
    <col min="2563" max="2563" width="88.7109375" style="4" customWidth="1"/>
    <col min="2564" max="2564" width="5.7109375" style="4" customWidth="1"/>
    <col min="2565" max="2816" width="9.140625" style="4"/>
    <col min="2817" max="2817" width="2.85546875" style="4" customWidth="1"/>
    <col min="2818" max="2818" width="3.85546875" style="4" customWidth="1"/>
    <col min="2819" max="2819" width="88.7109375" style="4" customWidth="1"/>
    <col min="2820" max="2820" width="5.7109375" style="4" customWidth="1"/>
    <col min="2821" max="3072" width="9.140625" style="4"/>
    <col min="3073" max="3073" width="2.85546875" style="4" customWidth="1"/>
    <col min="3074" max="3074" width="3.85546875" style="4" customWidth="1"/>
    <col min="3075" max="3075" width="88.7109375" style="4" customWidth="1"/>
    <col min="3076" max="3076" width="5.7109375" style="4" customWidth="1"/>
    <col min="3077" max="3328" width="9.140625" style="4"/>
    <col min="3329" max="3329" width="2.85546875" style="4" customWidth="1"/>
    <col min="3330" max="3330" width="3.85546875" style="4" customWidth="1"/>
    <col min="3331" max="3331" width="88.7109375" style="4" customWidth="1"/>
    <col min="3332" max="3332" width="5.7109375" style="4" customWidth="1"/>
    <col min="3333" max="3584" width="9.140625" style="4"/>
    <col min="3585" max="3585" width="2.85546875" style="4" customWidth="1"/>
    <col min="3586" max="3586" width="3.85546875" style="4" customWidth="1"/>
    <col min="3587" max="3587" width="88.7109375" style="4" customWidth="1"/>
    <col min="3588" max="3588" width="5.7109375" style="4" customWidth="1"/>
    <col min="3589" max="3840" width="9.140625" style="4"/>
    <col min="3841" max="3841" width="2.85546875" style="4" customWidth="1"/>
    <col min="3842" max="3842" width="3.85546875" style="4" customWidth="1"/>
    <col min="3843" max="3843" width="88.7109375" style="4" customWidth="1"/>
    <col min="3844" max="3844" width="5.7109375" style="4" customWidth="1"/>
    <col min="3845" max="4096" width="9.140625" style="4"/>
    <col min="4097" max="4097" width="2.85546875" style="4" customWidth="1"/>
    <col min="4098" max="4098" width="3.85546875" style="4" customWidth="1"/>
    <col min="4099" max="4099" width="88.7109375" style="4" customWidth="1"/>
    <col min="4100" max="4100" width="5.7109375" style="4" customWidth="1"/>
    <col min="4101" max="4352" width="9.140625" style="4"/>
    <col min="4353" max="4353" width="2.85546875" style="4" customWidth="1"/>
    <col min="4354" max="4354" width="3.85546875" style="4" customWidth="1"/>
    <col min="4355" max="4355" width="88.7109375" style="4" customWidth="1"/>
    <col min="4356" max="4356" width="5.7109375" style="4" customWidth="1"/>
    <col min="4357" max="4608" width="9.140625" style="4"/>
    <col min="4609" max="4609" width="2.85546875" style="4" customWidth="1"/>
    <col min="4610" max="4610" width="3.85546875" style="4" customWidth="1"/>
    <col min="4611" max="4611" width="88.7109375" style="4" customWidth="1"/>
    <col min="4612" max="4612" width="5.7109375" style="4" customWidth="1"/>
    <col min="4613" max="4864" width="9.140625" style="4"/>
    <col min="4865" max="4865" width="2.85546875" style="4" customWidth="1"/>
    <col min="4866" max="4866" width="3.85546875" style="4" customWidth="1"/>
    <col min="4867" max="4867" width="88.7109375" style="4" customWidth="1"/>
    <col min="4868" max="4868" width="5.7109375" style="4" customWidth="1"/>
    <col min="4869" max="5120" width="9.140625" style="4"/>
    <col min="5121" max="5121" width="2.85546875" style="4" customWidth="1"/>
    <col min="5122" max="5122" width="3.85546875" style="4" customWidth="1"/>
    <col min="5123" max="5123" width="88.7109375" style="4" customWidth="1"/>
    <col min="5124" max="5124" width="5.7109375" style="4" customWidth="1"/>
    <col min="5125" max="5376" width="9.140625" style="4"/>
    <col min="5377" max="5377" width="2.85546875" style="4" customWidth="1"/>
    <col min="5378" max="5378" width="3.85546875" style="4" customWidth="1"/>
    <col min="5379" max="5379" width="88.7109375" style="4" customWidth="1"/>
    <col min="5380" max="5380" width="5.7109375" style="4" customWidth="1"/>
    <col min="5381" max="5632" width="9.140625" style="4"/>
    <col min="5633" max="5633" width="2.85546875" style="4" customWidth="1"/>
    <col min="5634" max="5634" width="3.85546875" style="4" customWidth="1"/>
    <col min="5635" max="5635" width="88.7109375" style="4" customWidth="1"/>
    <col min="5636" max="5636" width="5.7109375" style="4" customWidth="1"/>
    <col min="5637" max="5888" width="9.140625" style="4"/>
    <col min="5889" max="5889" width="2.85546875" style="4" customWidth="1"/>
    <col min="5890" max="5890" width="3.85546875" style="4" customWidth="1"/>
    <col min="5891" max="5891" width="88.7109375" style="4" customWidth="1"/>
    <col min="5892" max="5892" width="5.7109375" style="4" customWidth="1"/>
    <col min="5893" max="6144" width="9.140625" style="4"/>
    <col min="6145" max="6145" width="2.85546875" style="4" customWidth="1"/>
    <col min="6146" max="6146" width="3.85546875" style="4" customWidth="1"/>
    <col min="6147" max="6147" width="88.7109375" style="4" customWidth="1"/>
    <col min="6148" max="6148" width="5.7109375" style="4" customWidth="1"/>
    <col min="6149" max="6400" width="9.140625" style="4"/>
    <col min="6401" max="6401" width="2.85546875" style="4" customWidth="1"/>
    <col min="6402" max="6402" width="3.85546875" style="4" customWidth="1"/>
    <col min="6403" max="6403" width="88.7109375" style="4" customWidth="1"/>
    <col min="6404" max="6404" width="5.7109375" style="4" customWidth="1"/>
    <col min="6405" max="6656" width="9.140625" style="4"/>
    <col min="6657" max="6657" width="2.85546875" style="4" customWidth="1"/>
    <col min="6658" max="6658" width="3.85546875" style="4" customWidth="1"/>
    <col min="6659" max="6659" width="88.7109375" style="4" customWidth="1"/>
    <col min="6660" max="6660" width="5.7109375" style="4" customWidth="1"/>
    <col min="6661" max="6912" width="9.140625" style="4"/>
    <col min="6913" max="6913" width="2.85546875" style="4" customWidth="1"/>
    <col min="6914" max="6914" width="3.85546875" style="4" customWidth="1"/>
    <col min="6915" max="6915" width="88.7109375" style="4" customWidth="1"/>
    <col min="6916" max="6916" width="5.7109375" style="4" customWidth="1"/>
    <col min="6917" max="7168" width="9.140625" style="4"/>
    <col min="7169" max="7169" width="2.85546875" style="4" customWidth="1"/>
    <col min="7170" max="7170" width="3.85546875" style="4" customWidth="1"/>
    <col min="7171" max="7171" width="88.7109375" style="4" customWidth="1"/>
    <col min="7172" max="7172" width="5.7109375" style="4" customWidth="1"/>
    <col min="7173" max="7424" width="9.140625" style="4"/>
    <col min="7425" max="7425" width="2.85546875" style="4" customWidth="1"/>
    <col min="7426" max="7426" width="3.85546875" style="4" customWidth="1"/>
    <col min="7427" max="7427" width="88.7109375" style="4" customWidth="1"/>
    <col min="7428" max="7428" width="5.7109375" style="4" customWidth="1"/>
    <col min="7429" max="7680" width="9.140625" style="4"/>
    <col min="7681" max="7681" width="2.85546875" style="4" customWidth="1"/>
    <col min="7682" max="7682" width="3.85546875" style="4" customWidth="1"/>
    <col min="7683" max="7683" width="88.7109375" style="4" customWidth="1"/>
    <col min="7684" max="7684" width="5.7109375" style="4" customWidth="1"/>
    <col min="7685" max="7936" width="9.140625" style="4"/>
    <col min="7937" max="7937" width="2.85546875" style="4" customWidth="1"/>
    <col min="7938" max="7938" width="3.85546875" style="4" customWidth="1"/>
    <col min="7939" max="7939" width="88.7109375" style="4" customWidth="1"/>
    <col min="7940" max="7940" width="5.7109375" style="4" customWidth="1"/>
    <col min="7941" max="8192" width="9.140625" style="4"/>
    <col min="8193" max="8193" width="2.85546875" style="4" customWidth="1"/>
    <col min="8194" max="8194" width="3.85546875" style="4" customWidth="1"/>
    <col min="8195" max="8195" width="88.7109375" style="4" customWidth="1"/>
    <col min="8196" max="8196" width="5.7109375" style="4" customWidth="1"/>
    <col min="8197" max="8448" width="9.140625" style="4"/>
    <col min="8449" max="8449" width="2.85546875" style="4" customWidth="1"/>
    <col min="8450" max="8450" width="3.85546875" style="4" customWidth="1"/>
    <col min="8451" max="8451" width="88.7109375" style="4" customWidth="1"/>
    <col min="8452" max="8452" width="5.7109375" style="4" customWidth="1"/>
    <col min="8453" max="8704" width="9.140625" style="4"/>
    <col min="8705" max="8705" width="2.85546875" style="4" customWidth="1"/>
    <col min="8706" max="8706" width="3.85546875" style="4" customWidth="1"/>
    <col min="8707" max="8707" width="88.7109375" style="4" customWidth="1"/>
    <col min="8708" max="8708" width="5.7109375" style="4" customWidth="1"/>
    <col min="8709" max="8960" width="9.140625" style="4"/>
    <col min="8961" max="8961" width="2.85546875" style="4" customWidth="1"/>
    <col min="8962" max="8962" width="3.85546875" style="4" customWidth="1"/>
    <col min="8963" max="8963" width="88.7109375" style="4" customWidth="1"/>
    <col min="8964" max="8964" width="5.7109375" style="4" customWidth="1"/>
    <col min="8965" max="9216" width="9.140625" style="4"/>
    <col min="9217" max="9217" width="2.85546875" style="4" customWidth="1"/>
    <col min="9218" max="9218" width="3.85546875" style="4" customWidth="1"/>
    <col min="9219" max="9219" width="88.7109375" style="4" customWidth="1"/>
    <col min="9220" max="9220" width="5.7109375" style="4" customWidth="1"/>
    <col min="9221" max="9472" width="9.140625" style="4"/>
    <col min="9473" max="9473" width="2.85546875" style="4" customWidth="1"/>
    <col min="9474" max="9474" width="3.85546875" style="4" customWidth="1"/>
    <col min="9475" max="9475" width="88.7109375" style="4" customWidth="1"/>
    <col min="9476" max="9476" width="5.7109375" style="4" customWidth="1"/>
    <col min="9477" max="9728" width="9.140625" style="4"/>
    <col min="9729" max="9729" width="2.85546875" style="4" customWidth="1"/>
    <col min="9730" max="9730" width="3.85546875" style="4" customWidth="1"/>
    <col min="9731" max="9731" width="88.7109375" style="4" customWidth="1"/>
    <col min="9732" max="9732" width="5.7109375" style="4" customWidth="1"/>
    <col min="9733" max="9984" width="9.140625" style="4"/>
    <col min="9985" max="9985" width="2.85546875" style="4" customWidth="1"/>
    <col min="9986" max="9986" width="3.85546875" style="4" customWidth="1"/>
    <col min="9987" max="9987" width="88.7109375" style="4" customWidth="1"/>
    <col min="9988" max="9988" width="5.7109375" style="4" customWidth="1"/>
    <col min="9989" max="10240" width="9.140625" style="4"/>
    <col min="10241" max="10241" width="2.85546875" style="4" customWidth="1"/>
    <col min="10242" max="10242" width="3.85546875" style="4" customWidth="1"/>
    <col min="10243" max="10243" width="88.7109375" style="4" customWidth="1"/>
    <col min="10244" max="10244" width="5.7109375" style="4" customWidth="1"/>
    <col min="10245" max="10496" width="9.140625" style="4"/>
    <col min="10497" max="10497" width="2.85546875" style="4" customWidth="1"/>
    <col min="10498" max="10498" width="3.85546875" style="4" customWidth="1"/>
    <col min="10499" max="10499" width="88.7109375" style="4" customWidth="1"/>
    <col min="10500" max="10500" width="5.7109375" style="4" customWidth="1"/>
    <col min="10501" max="10752" width="9.140625" style="4"/>
    <col min="10753" max="10753" width="2.85546875" style="4" customWidth="1"/>
    <col min="10754" max="10754" width="3.85546875" style="4" customWidth="1"/>
    <col min="10755" max="10755" width="88.7109375" style="4" customWidth="1"/>
    <col min="10756" max="10756" width="5.7109375" style="4" customWidth="1"/>
    <col min="10757" max="11008" width="9.140625" style="4"/>
    <col min="11009" max="11009" width="2.85546875" style="4" customWidth="1"/>
    <col min="11010" max="11010" width="3.85546875" style="4" customWidth="1"/>
    <col min="11011" max="11011" width="88.7109375" style="4" customWidth="1"/>
    <col min="11012" max="11012" width="5.7109375" style="4" customWidth="1"/>
    <col min="11013" max="11264" width="9.140625" style="4"/>
    <col min="11265" max="11265" width="2.85546875" style="4" customWidth="1"/>
    <col min="11266" max="11266" width="3.85546875" style="4" customWidth="1"/>
    <col min="11267" max="11267" width="88.7109375" style="4" customWidth="1"/>
    <col min="11268" max="11268" width="5.7109375" style="4" customWidth="1"/>
    <col min="11269" max="11520" width="9.140625" style="4"/>
    <col min="11521" max="11521" width="2.85546875" style="4" customWidth="1"/>
    <col min="11522" max="11522" width="3.85546875" style="4" customWidth="1"/>
    <col min="11523" max="11523" width="88.7109375" style="4" customWidth="1"/>
    <col min="11524" max="11524" width="5.7109375" style="4" customWidth="1"/>
    <col min="11525" max="11776" width="9.140625" style="4"/>
    <col min="11777" max="11777" width="2.85546875" style="4" customWidth="1"/>
    <col min="11778" max="11778" width="3.85546875" style="4" customWidth="1"/>
    <col min="11779" max="11779" width="88.7109375" style="4" customWidth="1"/>
    <col min="11780" max="11780" width="5.7109375" style="4" customWidth="1"/>
    <col min="11781" max="12032" width="9.140625" style="4"/>
    <col min="12033" max="12033" width="2.85546875" style="4" customWidth="1"/>
    <col min="12034" max="12034" width="3.85546875" style="4" customWidth="1"/>
    <col min="12035" max="12035" width="88.7109375" style="4" customWidth="1"/>
    <col min="12036" max="12036" width="5.7109375" style="4" customWidth="1"/>
    <col min="12037" max="12288" width="9.140625" style="4"/>
    <col min="12289" max="12289" width="2.85546875" style="4" customWidth="1"/>
    <col min="12290" max="12290" width="3.85546875" style="4" customWidth="1"/>
    <col min="12291" max="12291" width="88.7109375" style="4" customWidth="1"/>
    <col min="12292" max="12292" width="5.7109375" style="4" customWidth="1"/>
    <col min="12293" max="12544" width="9.140625" style="4"/>
    <col min="12545" max="12545" width="2.85546875" style="4" customWidth="1"/>
    <col min="12546" max="12546" width="3.85546875" style="4" customWidth="1"/>
    <col min="12547" max="12547" width="88.7109375" style="4" customWidth="1"/>
    <col min="12548" max="12548" width="5.7109375" style="4" customWidth="1"/>
    <col min="12549" max="12800" width="9.140625" style="4"/>
    <col min="12801" max="12801" width="2.85546875" style="4" customWidth="1"/>
    <col min="12802" max="12802" width="3.85546875" style="4" customWidth="1"/>
    <col min="12803" max="12803" width="88.7109375" style="4" customWidth="1"/>
    <col min="12804" max="12804" width="5.7109375" style="4" customWidth="1"/>
    <col min="12805" max="13056" width="9.140625" style="4"/>
    <col min="13057" max="13057" width="2.85546875" style="4" customWidth="1"/>
    <col min="13058" max="13058" width="3.85546875" style="4" customWidth="1"/>
    <col min="13059" max="13059" width="88.7109375" style="4" customWidth="1"/>
    <col min="13060" max="13060" width="5.7109375" style="4" customWidth="1"/>
    <col min="13061" max="13312" width="9.140625" style="4"/>
    <col min="13313" max="13313" width="2.85546875" style="4" customWidth="1"/>
    <col min="13314" max="13314" width="3.85546875" style="4" customWidth="1"/>
    <col min="13315" max="13315" width="88.7109375" style="4" customWidth="1"/>
    <col min="13316" max="13316" width="5.7109375" style="4" customWidth="1"/>
    <col min="13317" max="13568" width="9.140625" style="4"/>
    <col min="13569" max="13569" width="2.85546875" style="4" customWidth="1"/>
    <col min="13570" max="13570" width="3.85546875" style="4" customWidth="1"/>
    <col min="13571" max="13571" width="88.7109375" style="4" customWidth="1"/>
    <col min="13572" max="13572" width="5.7109375" style="4" customWidth="1"/>
    <col min="13573" max="13824" width="9.140625" style="4"/>
    <col min="13825" max="13825" width="2.85546875" style="4" customWidth="1"/>
    <col min="13826" max="13826" width="3.85546875" style="4" customWidth="1"/>
    <col min="13827" max="13827" width="88.7109375" style="4" customWidth="1"/>
    <col min="13828" max="13828" width="5.7109375" style="4" customWidth="1"/>
    <col min="13829" max="14080" width="9.140625" style="4"/>
    <col min="14081" max="14081" width="2.85546875" style="4" customWidth="1"/>
    <col min="14082" max="14082" width="3.85546875" style="4" customWidth="1"/>
    <col min="14083" max="14083" width="88.7109375" style="4" customWidth="1"/>
    <col min="14084" max="14084" width="5.7109375" style="4" customWidth="1"/>
    <col min="14085" max="14336" width="9.140625" style="4"/>
    <col min="14337" max="14337" width="2.85546875" style="4" customWidth="1"/>
    <col min="14338" max="14338" width="3.85546875" style="4" customWidth="1"/>
    <col min="14339" max="14339" width="88.7109375" style="4" customWidth="1"/>
    <col min="14340" max="14340" width="5.7109375" style="4" customWidth="1"/>
    <col min="14341" max="14592" width="9.140625" style="4"/>
    <col min="14593" max="14593" width="2.85546875" style="4" customWidth="1"/>
    <col min="14594" max="14594" width="3.85546875" style="4" customWidth="1"/>
    <col min="14595" max="14595" width="88.7109375" style="4" customWidth="1"/>
    <col min="14596" max="14596" width="5.7109375" style="4" customWidth="1"/>
    <col min="14597" max="14848" width="9.140625" style="4"/>
    <col min="14849" max="14849" width="2.85546875" style="4" customWidth="1"/>
    <col min="14850" max="14850" width="3.85546875" style="4" customWidth="1"/>
    <col min="14851" max="14851" width="88.7109375" style="4" customWidth="1"/>
    <col min="14852" max="14852" width="5.7109375" style="4" customWidth="1"/>
    <col min="14853" max="15104" width="9.140625" style="4"/>
    <col min="15105" max="15105" width="2.85546875" style="4" customWidth="1"/>
    <col min="15106" max="15106" width="3.85546875" style="4" customWidth="1"/>
    <col min="15107" max="15107" width="88.7109375" style="4" customWidth="1"/>
    <col min="15108" max="15108" width="5.7109375" style="4" customWidth="1"/>
    <col min="15109" max="15360" width="9.140625" style="4"/>
    <col min="15361" max="15361" width="2.85546875" style="4" customWidth="1"/>
    <col min="15362" max="15362" width="3.85546875" style="4" customWidth="1"/>
    <col min="15363" max="15363" width="88.7109375" style="4" customWidth="1"/>
    <col min="15364" max="15364" width="5.7109375" style="4" customWidth="1"/>
    <col min="15365" max="15616" width="9.140625" style="4"/>
    <col min="15617" max="15617" width="2.85546875" style="4" customWidth="1"/>
    <col min="15618" max="15618" width="3.85546875" style="4" customWidth="1"/>
    <col min="15619" max="15619" width="88.7109375" style="4" customWidth="1"/>
    <col min="15620" max="15620" width="5.7109375" style="4" customWidth="1"/>
    <col min="15621" max="15872" width="9.140625" style="4"/>
    <col min="15873" max="15873" width="2.85546875" style="4" customWidth="1"/>
    <col min="15874" max="15874" width="3.85546875" style="4" customWidth="1"/>
    <col min="15875" max="15875" width="88.7109375" style="4" customWidth="1"/>
    <col min="15876" max="15876" width="5.7109375" style="4" customWidth="1"/>
    <col min="15877" max="16128" width="9.140625" style="4"/>
    <col min="16129" max="16129" width="2.85546875" style="4" customWidth="1"/>
    <col min="16130" max="16130" width="3.85546875" style="4" customWidth="1"/>
    <col min="16131" max="16131" width="88.7109375" style="4" customWidth="1"/>
    <col min="16132" max="16132" width="5.7109375" style="4" customWidth="1"/>
    <col min="16133" max="16384" width="9.140625" style="4"/>
  </cols>
  <sheetData>
    <row r="1" spans="1:4" ht="26.25" customHeight="1" x14ac:dyDescent="0.2">
      <c r="A1" s="1347" t="s">
        <v>690</v>
      </c>
      <c r="B1" s="1347"/>
      <c r="C1" s="1347"/>
      <c r="D1" s="1347"/>
    </row>
    <row r="2" spans="1:4" ht="23.25" customHeight="1" x14ac:dyDescent="0.2">
      <c r="D2" s="330" t="s">
        <v>691</v>
      </c>
    </row>
    <row r="3" spans="1:4" ht="23.25" customHeight="1" x14ac:dyDescent="0.2">
      <c r="A3" s="330" t="s">
        <v>692</v>
      </c>
      <c r="B3" s="329" t="s">
        <v>1049</v>
      </c>
      <c r="D3" s="331" t="s">
        <v>693</v>
      </c>
    </row>
    <row r="4" spans="1:4" ht="23.25" customHeight="1" x14ac:dyDescent="0.2">
      <c r="A4" s="330" t="s">
        <v>694</v>
      </c>
      <c r="B4" s="329" t="s">
        <v>1050</v>
      </c>
      <c r="D4" s="331" t="s">
        <v>695</v>
      </c>
    </row>
    <row r="5" spans="1:4" ht="23.25" customHeight="1" x14ac:dyDescent="0.2">
      <c r="A5" s="330"/>
      <c r="B5" s="330" t="s">
        <v>696</v>
      </c>
      <c r="C5" s="332" t="s">
        <v>697</v>
      </c>
      <c r="D5" s="331" t="s">
        <v>698</v>
      </c>
    </row>
    <row r="6" spans="1:4" ht="23.25" customHeight="1" x14ac:dyDescent="0.2">
      <c r="A6" s="330"/>
      <c r="B6" s="330"/>
      <c r="C6" s="332" t="s">
        <v>1051</v>
      </c>
    </row>
    <row r="7" spans="1:4" ht="23.25" customHeight="1" x14ac:dyDescent="0.2">
      <c r="A7" s="330"/>
      <c r="B7" s="330" t="s">
        <v>699</v>
      </c>
      <c r="C7" s="329" t="s">
        <v>700</v>
      </c>
      <c r="D7" s="331" t="s">
        <v>701</v>
      </c>
    </row>
    <row r="8" spans="1:4" ht="23.25" customHeight="1" x14ac:dyDescent="0.2">
      <c r="A8" s="330"/>
      <c r="B8" s="330"/>
      <c r="C8" s="332" t="s">
        <v>1054</v>
      </c>
    </row>
    <row r="9" spans="1:4" ht="23.25" customHeight="1" x14ac:dyDescent="0.2">
      <c r="A9" s="330"/>
      <c r="B9" s="330" t="s">
        <v>702</v>
      </c>
      <c r="C9" s="329" t="s">
        <v>700</v>
      </c>
      <c r="D9" s="331" t="s">
        <v>703</v>
      </c>
    </row>
    <row r="10" spans="1:4" ht="23.25" customHeight="1" x14ac:dyDescent="0.2">
      <c r="A10" s="330"/>
      <c r="B10" s="330"/>
      <c r="C10" s="329" t="s">
        <v>1055</v>
      </c>
    </row>
    <row r="11" spans="1:4" ht="23.25" customHeight="1" x14ac:dyDescent="0.2">
      <c r="A11" s="330"/>
      <c r="B11" s="330" t="s">
        <v>704</v>
      </c>
      <c r="C11" s="329" t="s">
        <v>1052</v>
      </c>
      <c r="D11" s="331" t="s">
        <v>705</v>
      </c>
    </row>
    <row r="12" spans="1:4" ht="23.25" customHeight="1" x14ac:dyDescent="0.2">
      <c r="A12" s="330"/>
      <c r="B12" s="330"/>
      <c r="C12" s="329" t="s">
        <v>706</v>
      </c>
    </row>
    <row r="13" spans="1:4" ht="23.25" customHeight="1" x14ac:dyDescent="0.2">
      <c r="A13" s="330" t="s">
        <v>707</v>
      </c>
      <c r="B13" s="329" t="s">
        <v>1053</v>
      </c>
      <c r="D13" s="331" t="s">
        <v>708</v>
      </c>
    </row>
    <row r="14" spans="1:4" ht="23.25" customHeight="1" x14ac:dyDescent="0.2">
      <c r="A14" s="330"/>
      <c r="B14" s="330" t="s">
        <v>709</v>
      </c>
      <c r="C14" s="329" t="s">
        <v>710</v>
      </c>
      <c r="D14" s="331" t="s">
        <v>711</v>
      </c>
    </row>
    <row r="15" spans="1:4" ht="23.25" customHeight="1" x14ac:dyDescent="0.2">
      <c r="A15" s="330"/>
      <c r="B15" s="330"/>
      <c r="C15" s="329" t="s">
        <v>712</v>
      </c>
      <c r="D15" s="331" t="s">
        <v>711</v>
      </c>
    </row>
    <row r="16" spans="1:4" ht="23.25" customHeight="1" x14ac:dyDescent="0.2">
      <c r="A16" s="330"/>
      <c r="B16" s="330"/>
      <c r="C16" s="333" t="s">
        <v>147</v>
      </c>
      <c r="D16" s="331" t="s">
        <v>711</v>
      </c>
    </row>
    <row r="17" spans="1:4" ht="23.25" customHeight="1" x14ac:dyDescent="0.2">
      <c r="A17" s="330"/>
      <c r="B17" s="330"/>
      <c r="C17" s="333" t="s">
        <v>148</v>
      </c>
      <c r="D17" s="331" t="s">
        <v>711</v>
      </c>
    </row>
    <row r="18" spans="1:4" ht="23.25" customHeight="1" x14ac:dyDescent="0.2">
      <c r="A18" s="330"/>
      <c r="B18" s="330"/>
      <c r="C18" s="329" t="s">
        <v>12</v>
      </c>
      <c r="D18" s="331" t="s">
        <v>711</v>
      </c>
    </row>
    <row r="19" spans="1:4" ht="42" x14ac:dyDescent="0.2">
      <c r="A19" s="330"/>
      <c r="B19" s="330"/>
      <c r="C19" s="334" t="s">
        <v>767</v>
      </c>
      <c r="D19" s="331" t="s">
        <v>711</v>
      </c>
    </row>
    <row r="20" spans="1:4" ht="21" x14ac:dyDescent="0.2">
      <c r="A20" s="330"/>
      <c r="B20" s="330"/>
      <c r="C20" s="334" t="s">
        <v>166</v>
      </c>
      <c r="D20" s="331" t="s">
        <v>713</v>
      </c>
    </row>
    <row r="21" spans="1:4" ht="21" x14ac:dyDescent="0.2">
      <c r="A21" s="330"/>
      <c r="B21" s="330"/>
      <c r="C21" s="334" t="s">
        <v>167</v>
      </c>
      <c r="D21" s="331" t="s">
        <v>714</v>
      </c>
    </row>
    <row r="22" spans="1:4" ht="26.25" customHeight="1" x14ac:dyDescent="0.2">
      <c r="A22" s="330"/>
      <c r="B22" s="330"/>
      <c r="C22" s="334" t="s">
        <v>169</v>
      </c>
      <c r="D22" s="331" t="s">
        <v>815</v>
      </c>
    </row>
    <row r="23" spans="1:4" ht="26.25" customHeight="1" x14ac:dyDescent="0.2">
      <c r="A23" s="330"/>
      <c r="B23" s="330"/>
      <c r="C23" s="334" t="s">
        <v>172</v>
      </c>
      <c r="D23" s="331" t="s">
        <v>815</v>
      </c>
    </row>
    <row r="24" spans="1:4" ht="22.5" customHeight="1" x14ac:dyDescent="0.2">
      <c r="A24" s="330"/>
      <c r="B24" s="330"/>
      <c r="C24" s="335" t="s">
        <v>15</v>
      </c>
      <c r="D24" s="331" t="s">
        <v>816</v>
      </c>
    </row>
    <row r="25" spans="1:4" ht="22.5" customHeight="1" x14ac:dyDescent="0.2">
      <c r="A25" s="330"/>
      <c r="B25" s="330"/>
      <c r="C25" s="334" t="s">
        <v>159</v>
      </c>
      <c r="D25" s="331" t="s">
        <v>816</v>
      </c>
    </row>
    <row r="26" spans="1:4" ht="23.25" customHeight="1" x14ac:dyDescent="0.2">
      <c r="A26" s="330"/>
      <c r="B26" s="330"/>
      <c r="C26" s="329" t="s">
        <v>6</v>
      </c>
      <c r="D26" s="331" t="s">
        <v>1283</v>
      </c>
    </row>
    <row r="27" spans="1:4" ht="21" customHeight="1" x14ac:dyDescent="0.2">
      <c r="A27" s="330"/>
      <c r="B27" s="330"/>
      <c r="C27" s="336" t="s">
        <v>11</v>
      </c>
      <c r="D27" s="331" t="s">
        <v>1283</v>
      </c>
    </row>
    <row r="28" spans="1:4" ht="26.25" customHeight="1" x14ac:dyDescent="0.2">
      <c r="A28" s="1347" t="s">
        <v>716</v>
      </c>
      <c r="B28" s="1347"/>
      <c r="C28" s="1347"/>
      <c r="D28" s="1347"/>
    </row>
    <row r="29" spans="1:4" ht="23.25" customHeight="1" x14ac:dyDescent="0.2">
      <c r="D29" s="330" t="s">
        <v>691</v>
      </c>
    </row>
    <row r="30" spans="1:4" ht="23.25" customHeight="1" x14ac:dyDescent="0.2">
      <c r="B30" s="337">
        <v>3.2</v>
      </c>
      <c r="C30" s="329" t="s">
        <v>717</v>
      </c>
      <c r="D30" s="331" t="s">
        <v>817</v>
      </c>
    </row>
    <row r="31" spans="1:4" ht="23.25" customHeight="1" x14ac:dyDescent="0.2">
      <c r="C31" s="333" t="s">
        <v>718</v>
      </c>
      <c r="D31" s="331" t="s">
        <v>715</v>
      </c>
    </row>
    <row r="32" spans="1:4" ht="23.25" customHeight="1" x14ac:dyDescent="0.2">
      <c r="C32" s="333" t="s">
        <v>719</v>
      </c>
      <c r="D32" s="331" t="s">
        <v>1284</v>
      </c>
    </row>
    <row r="33" spans="3:4" ht="23.25" customHeight="1" x14ac:dyDescent="0.2">
      <c r="C33" s="333" t="s">
        <v>720</v>
      </c>
      <c r="D33" s="331" t="s">
        <v>1285</v>
      </c>
    </row>
    <row r="34" spans="3:4" ht="23.25" customHeight="1" x14ac:dyDescent="0.2">
      <c r="C34" s="333" t="s">
        <v>722</v>
      </c>
      <c r="D34" s="331" t="s">
        <v>823</v>
      </c>
    </row>
    <row r="35" spans="3:4" ht="23.25" customHeight="1" x14ac:dyDescent="0.2">
      <c r="C35" s="333" t="s">
        <v>724</v>
      </c>
      <c r="D35" s="331" t="s">
        <v>721</v>
      </c>
    </row>
    <row r="36" spans="3:4" ht="23.25" customHeight="1" x14ac:dyDescent="0.2">
      <c r="C36" s="333" t="s">
        <v>725</v>
      </c>
      <c r="D36" s="331" t="s">
        <v>723</v>
      </c>
    </row>
    <row r="37" spans="3:4" ht="23.25" customHeight="1" x14ac:dyDescent="0.2">
      <c r="C37" s="333" t="s">
        <v>726</v>
      </c>
      <c r="D37" s="331" t="s">
        <v>1286</v>
      </c>
    </row>
    <row r="38" spans="3:4" ht="23.25" customHeight="1" x14ac:dyDescent="0.2">
      <c r="C38" s="333" t="s">
        <v>727</v>
      </c>
      <c r="D38" s="331" t="s">
        <v>1287</v>
      </c>
    </row>
    <row r="39" spans="3:4" ht="23.25" customHeight="1" x14ac:dyDescent="0.2">
      <c r="C39" s="333" t="s">
        <v>728</v>
      </c>
      <c r="D39" s="331" t="s">
        <v>1288</v>
      </c>
    </row>
    <row r="40" spans="3:4" ht="23.25" customHeight="1" x14ac:dyDescent="0.2">
      <c r="C40" s="333" t="s">
        <v>729</v>
      </c>
      <c r="D40" s="331" t="s">
        <v>1289</v>
      </c>
    </row>
    <row r="41" spans="3:4" ht="23.25" customHeight="1" x14ac:dyDescent="0.2">
      <c r="C41" s="333" t="s">
        <v>730</v>
      </c>
      <c r="D41" s="331" t="s">
        <v>1290</v>
      </c>
    </row>
    <row r="42" spans="3:4" ht="23.25" customHeight="1" x14ac:dyDescent="0.2">
      <c r="C42" s="333" t="s">
        <v>732</v>
      </c>
      <c r="D42" s="331" t="s">
        <v>1291</v>
      </c>
    </row>
    <row r="43" spans="3:4" ht="23.25" customHeight="1" x14ac:dyDescent="0.2">
      <c r="C43" s="333" t="s">
        <v>733</v>
      </c>
      <c r="D43" s="331" t="s">
        <v>1292</v>
      </c>
    </row>
    <row r="44" spans="3:4" ht="23.25" customHeight="1" x14ac:dyDescent="0.2">
      <c r="C44" s="333" t="s">
        <v>734</v>
      </c>
      <c r="D44" s="331" t="s">
        <v>1293</v>
      </c>
    </row>
    <row r="45" spans="3:4" ht="23.25" customHeight="1" x14ac:dyDescent="0.2">
      <c r="C45" s="338"/>
    </row>
  </sheetData>
  <mergeCells count="2">
    <mergeCell ref="A1:D1"/>
    <mergeCell ref="A28:D28"/>
  </mergeCells>
  <printOptions horizontalCentered="1"/>
  <pageMargins left="0.41" right="0.19685039370078741" top="1.1811023622047245" bottom="0.59055118110236227" header="0.51181102362204722" footer="0.51181102362204722"/>
  <pageSetup paperSize="9" scale="91" fitToHeight="0" orientation="portrait" r:id="rId1"/>
  <headerFooter alignWithMargins="0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5"/>
  <sheetViews>
    <sheetView view="pageBreakPreview" zoomScale="90" zoomScaleNormal="100" zoomScaleSheetLayoutView="90" workbookViewId="0">
      <selection activeCell="D45" sqref="D45"/>
    </sheetView>
  </sheetViews>
  <sheetFormatPr defaultRowHeight="23.25" customHeight="1" x14ac:dyDescent="0.2"/>
  <cols>
    <col min="1" max="1" width="2.85546875" style="329" customWidth="1"/>
    <col min="2" max="2" width="3.85546875" style="329" customWidth="1"/>
    <col min="3" max="3" width="88.7109375" style="4" customWidth="1"/>
    <col min="4" max="4" width="5.7109375" style="331" customWidth="1"/>
    <col min="5" max="256" width="8.85546875" style="4"/>
    <col min="257" max="257" width="2.85546875" style="4" customWidth="1"/>
    <col min="258" max="258" width="3.85546875" style="4" customWidth="1"/>
    <col min="259" max="259" width="88.7109375" style="4" customWidth="1"/>
    <col min="260" max="260" width="5.7109375" style="4" customWidth="1"/>
    <col min="261" max="512" width="8.85546875" style="4"/>
    <col min="513" max="513" width="2.85546875" style="4" customWidth="1"/>
    <col min="514" max="514" width="3.85546875" style="4" customWidth="1"/>
    <col min="515" max="515" width="88.7109375" style="4" customWidth="1"/>
    <col min="516" max="516" width="5.7109375" style="4" customWidth="1"/>
    <col min="517" max="768" width="8.85546875" style="4"/>
    <col min="769" max="769" width="2.85546875" style="4" customWidth="1"/>
    <col min="770" max="770" width="3.85546875" style="4" customWidth="1"/>
    <col min="771" max="771" width="88.7109375" style="4" customWidth="1"/>
    <col min="772" max="772" width="5.7109375" style="4" customWidth="1"/>
    <col min="773" max="1024" width="8.85546875" style="4"/>
    <col min="1025" max="1025" width="2.85546875" style="4" customWidth="1"/>
    <col min="1026" max="1026" width="3.85546875" style="4" customWidth="1"/>
    <col min="1027" max="1027" width="88.7109375" style="4" customWidth="1"/>
    <col min="1028" max="1028" width="5.7109375" style="4" customWidth="1"/>
    <col min="1029" max="1280" width="8.85546875" style="4"/>
    <col min="1281" max="1281" width="2.85546875" style="4" customWidth="1"/>
    <col min="1282" max="1282" width="3.85546875" style="4" customWidth="1"/>
    <col min="1283" max="1283" width="88.7109375" style="4" customWidth="1"/>
    <col min="1284" max="1284" width="5.7109375" style="4" customWidth="1"/>
    <col min="1285" max="1536" width="8.85546875" style="4"/>
    <col min="1537" max="1537" width="2.85546875" style="4" customWidth="1"/>
    <col min="1538" max="1538" width="3.85546875" style="4" customWidth="1"/>
    <col min="1539" max="1539" width="88.7109375" style="4" customWidth="1"/>
    <col min="1540" max="1540" width="5.7109375" style="4" customWidth="1"/>
    <col min="1541" max="1792" width="8.85546875" style="4"/>
    <col min="1793" max="1793" width="2.85546875" style="4" customWidth="1"/>
    <col min="1794" max="1794" width="3.85546875" style="4" customWidth="1"/>
    <col min="1795" max="1795" width="88.7109375" style="4" customWidth="1"/>
    <col min="1796" max="1796" width="5.7109375" style="4" customWidth="1"/>
    <col min="1797" max="2048" width="8.85546875" style="4"/>
    <col min="2049" max="2049" width="2.85546875" style="4" customWidth="1"/>
    <col min="2050" max="2050" width="3.85546875" style="4" customWidth="1"/>
    <col min="2051" max="2051" width="88.7109375" style="4" customWidth="1"/>
    <col min="2052" max="2052" width="5.7109375" style="4" customWidth="1"/>
    <col min="2053" max="2304" width="8.85546875" style="4"/>
    <col min="2305" max="2305" width="2.85546875" style="4" customWidth="1"/>
    <col min="2306" max="2306" width="3.85546875" style="4" customWidth="1"/>
    <col min="2307" max="2307" width="88.7109375" style="4" customWidth="1"/>
    <col min="2308" max="2308" width="5.7109375" style="4" customWidth="1"/>
    <col min="2309" max="2560" width="8.85546875" style="4"/>
    <col min="2561" max="2561" width="2.85546875" style="4" customWidth="1"/>
    <col min="2562" max="2562" width="3.85546875" style="4" customWidth="1"/>
    <col min="2563" max="2563" width="88.7109375" style="4" customWidth="1"/>
    <col min="2564" max="2564" width="5.7109375" style="4" customWidth="1"/>
    <col min="2565" max="2816" width="8.85546875" style="4"/>
    <col min="2817" max="2817" width="2.85546875" style="4" customWidth="1"/>
    <col min="2818" max="2818" width="3.85546875" style="4" customWidth="1"/>
    <col min="2819" max="2819" width="88.7109375" style="4" customWidth="1"/>
    <col min="2820" max="2820" width="5.7109375" style="4" customWidth="1"/>
    <col min="2821" max="3072" width="8.85546875" style="4"/>
    <col min="3073" max="3073" width="2.85546875" style="4" customWidth="1"/>
    <col min="3074" max="3074" width="3.85546875" style="4" customWidth="1"/>
    <col min="3075" max="3075" width="88.7109375" style="4" customWidth="1"/>
    <col min="3076" max="3076" width="5.7109375" style="4" customWidth="1"/>
    <col min="3077" max="3328" width="8.85546875" style="4"/>
    <col min="3329" max="3329" width="2.85546875" style="4" customWidth="1"/>
    <col min="3330" max="3330" width="3.85546875" style="4" customWidth="1"/>
    <col min="3331" max="3331" width="88.7109375" style="4" customWidth="1"/>
    <col min="3332" max="3332" width="5.7109375" style="4" customWidth="1"/>
    <col min="3333" max="3584" width="8.85546875" style="4"/>
    <col min="3585" max="3585" width="2.85546875" style="4" customWidth="1"/>
    <col min="3586" max="3586" width="3.85546875" style="4" customWidth="1"/>
    <col min="3587" max="3587" width="88.7109375" style="4" customWidth="1"/>
    <col min="3588" max="3588" width="5.7109375" style="4" customWidth="1"/>
    <col min="3589" max="3840" width="8.85546875" style="4"/>
    <col min="3841" max="3841" width="2.85546875" style="4" customWidth="1"/>
    <col min="3842" max="3842" width="3.85546875" style="4" customWidth="1"/>
    <col min="3843" max="3843" width="88.7109375" style="4" customWidth="1"/>
    <col min="3844" max="3844" width="5.7109375" style="4" customWidth="1"/>
    <col min="3845" max="4096" width="8.85546875" style="4"/>
    <col min="4097" max="4097" width="2.85546875" style="4" customWidth="1"/>
    <col min="4098" max="4098" width="3.85546875" style="4" customWidth="1"/>
    <col min="4099" max="4099" width="88.7109375" style="4" customWidth="1"/>
    <col min="4100" max="4100" width="5.7109375" style="4" customWidth="1"/>
    <col min="4101" max="4352" width="8.85546875" style="4"/>
    <col min="4353" max="4353" width="2.85546875" style="4" customWidth="1"/>
    <col min="4354" max="4354" width="3.85546875" style="4" customWidth="1"/>
    <col min="4355" max="4355" width="88.7109375" style="4" customWidth="1"/>
    <col min="4356" max="4356" width="5.7109375" style="4" customWidth="1"/>
    <col min="4357" max="4608" width="8.85546875" style="4"/>
    <col min="4609" max="4609" width="2.85546875" style="4" customWidth="1"/>
    <col min="4610" max="4610" width="3.85546875" style="4" customWidth="1"/>
    <col min="4611" max="4611" width="88.7109375" style="4" customWidth="1"/>
    <col min="4612" max="4612" width="5.7109375" style="4" customWidth="1"/>
    <col min="4613" max="4864" width="8.85546875" style="4"/>
    <col min="4865" max="4865" width="2.85546875" style="4" customWidth="1"/>
    <col min="4866" max="4866" width="3.85546875" style="4" customWidth="1"/>
    <col min="4867" max="4867" width="88.7109375" style="4" customWidth="1"/>
    <col min="4868" max="4868" width="5.7109375" style="4" customWidth="1"/>
    <col min="4869" max="5120" width="8.85546875" style="4"/>
    <col min="5121" max="5121" width="2.85546875" style="4" customWidth="1"/>
    <col min="5122" max="5122" width="3.85546875" style="4" customWidth="1"/>
    <col min="5123" max="5123" width="88.7109375" style="4" customWidth="1"/>
    <col min="5124" max="5124" width="5.7109375" style="4" customWidth="1"/>
    <col min="5125" max="5376" width="8.85546875" style="4"/>
    <col min="5377" max="5377" width="2.85546875" style="4" customWidth="1"/>
    <col min="5378" max="5378" width="3.85546875" style="4" customWidth="1"/>
    <col min="5379" max="5379" width="88.7109375" style="4" customWidth="1"/>
    <col min="5380" max="5380" width="5.7109375" style="4" customWidth="1"/>
    <col min="5381" max="5632" width="8.85546875" style="4"/>
    <col min="5633" max="5633" width="2.85546875" style="4" customWidth="1"/>
    <col min="5634" max="5634" width="3.85546875" style="4" customWidth="1"/>
    <col min="5635" max="5635" width="88.7109375" style="4" customWidth="1"/>
    <col min="5636" max="5636" width="5.7109375" style="4" customWidth="1"/>
    <col min="5637" max="5888" width="8.85546875" style="4"/>
    <col min="5889" max="5889" width="2.85546875" style="4" customWidth="1"/>
    <col min="5890" max="5890" width="3.85546875" style="4" customWidth="1"/>
    <col min="5891" max="5891" width="88.7109375" style="4" customWidth="1"/>
    <col min="5892" max="5892" width="5.7109375" style="4" customWidth="1"/>
    <col min="5893" max="6144" width="8.85546875" style="4"/>
    <col min="6145" max="6145" width="2.85546875" style="4" customWidth="1"/>
    <col min="6146" max="6146" width="3.85546875" style="4" customWidth="1"/>
    <col min="6147" max="6147" width="88.7109375" style="4" customWidth="1"/>
    <col min="6148" max="6148" width="5.7109375" style="4" customWidth="1"/>
    <col min="6149" max="6400" width="8.85546875" style="4"/>
    <col min="6401" max="6401" width="2.85546875" style="4" customWidth="1"/>
    <col min="6402" max="6402" width="3.85546875" style="4" customWidth="1"/>
    <col min="6403" max="6403" width="88.7109375" style="4" customWidth="1"/>
    <col min="6404" max="6404" width="5.7109375" style="4" customWidth="1"/>
    <col min="6405" max="6656" width="8.85546875" style="4"/>
    <col min="6657" max="6657" width="2.85546875" style="4" customWidth="1"/>
    <col min="6658" max="6658" width="3.85546875" style="4" customWidth="1"/>
    <col min="6659" max="6659" width="88.7109375" style="4" customWidth="1"/>
    <col min="6660" max="6660" width="5.7109375" style="4" customWidth="1"/>
    <col min="6661" max="6912" width="8.85546875" style="4"/>
    <col min="6913" max="6913" width="2.85546875" style="4" customWidth="1"/>
    <col min="6914" max="6914" width="3.85546875" style="4" customWidth="1"/>
    <col min="6915" max="6915" width="88.7109375" style="4" customWidth="1"/>
    <col min="6916" max="6916" width="5.7109375" style="4" customWidth="1"/>
    <col min="6917" max="7168" width="8.85546875" style="4"/>
    <col min="7169" max="7169" width="2.85546875" style="4" customWidth="1"/>
    <col min="7170" max="7170" width="3.85546875" style="4" customWidth="1"/>
    <col min="7171" max="7171" width="88.7109375" style="4" customWidth="1"/>
    <col min="7172" max="7172" width="5.7109375" style="4" customWidth="1"/>
    <col min="7173" max="7424" width="8.85546875" style="4"/>
    <col min="7425" max="7425" width="2.85546875" style="4" customWidth="1"/>
    <col min="7426" max="7426" width="3.85546875" style="4" customWidth="1"/>
    <col min="7427" max="7427" width="88.7109375" style="4" customWidth="1"/>
    <col min="7428" max="7428" width="5.7109375" style="4" customWidth="1"/>
    <col min="7429" max="7680" width="8.85546875" style="4"/>
    <col min="7681" max="7681" width="2.85546875" style="4" customWidth="1"/>
    <col min="7682" max="7682" width="3.85546875" style="4" customWidth="1"/>
    <col min="7683" max="7683" width="88.7109375" style="4" customWidth="1"/>
    <col min="7684" max="7684" width="5.7109375" style="4" customWidth="1"/>
    <col min="7685" max="7936" width="8.85546875" style="4"/>
    <col min="7937" max="7937" width="2.85546875" style="4" customWidth="1"/>
    <col min="7938" max="7938" width="3.85546875" style="4" customWidth="1"/>
    <col min="7939" max="7939" width="88.7109375" style="4" customWidth="1"/>
    <col min="7940" max="7940" width="5.7109375" style="4" customWidth="1"/>
    <col min="7941" max="8192" width="8.85546875" style="4"/>
    <col min="8193" max="8193" width="2.85546875" style="4" customWidth="1"/>
    <col min="8194" max="8194" width="3.85546875" style="4" customWidth="1"/>
    <col min="8195" max="8195" width="88.7109375" style="4" customWidth="1"/>
    <col min="8196" max="8196" width="5.7109375" style="4" customWidth="1"/>
    <col min="8197" max="8448" width="8.85546875" style="4"/>
    <col min="8449" max="8449" width="2.85546875" style="4" customWidth="1"/>
    <col min="8450" max="8450" width="3.85546875" style="4" customWidth="1"/>
    <col min="8451" max="8451" width="88.7109375" style="4" customWidth="1"/>
    <col min="8452" max="8452" width="5.7109375" style="4" customWidth="1"/>
    <col min="8453" max="8704" width="8.85546875" style="4"/>
    <col min="8705" max="8705" width="2.85546875" style="4" customWidth="1"/>
    <col min="8706" max="8706" width="3.85546875" style="4" customWidth="1"/>
    <col min="8707" max="8707" width="88.7109375" style="4" customWidth="1"/>
    <col min="8708" max="8708" width="5.7109375" style="4" customWidth="1"/>
    <col min="8709" max="8960" width="8.85546875" style="4"/>
    <col min="8961" max="8961" width="2.85546875" style="4" customWidth="1"/>
    <col min="8962" max="8962" width="3.85546875" style="4" customWidth="1"/>
    <col min="8963" max="8963" width="88.7109375" style="4" customWidth="1"/>
    <col min="8964" max="8964" width="5.7109375" style="4" customWidth="1"/>
    <col min="8965" max="9216" width="8.85546875" style="4"/>
    <col min="9217" max="9217" width="2.85546875" style="4" customWidth="1"/>
    <col min="9218" max="9218" width="3.85546875" style="4" customWidth="1"/>
    <col min="9219" max="9219" width="88.7109375" style="4" customWidth="1"/>
    <col min="9220" max="9220" width="5.7109375" style="4" customWidth="1"/>
    <col min="9221" max="9472" width="8.85546875" style="4"/>
    <col min="9473" max="9473" width="2.85546875" style="4" customWidth="1"/>
    <col min="9474" max="9474" width="3.85546875" style="4" customWidth="1"/>
    <col min="9475" max="9475" width="88.7109375" style="4" customWidth="1"/>
    <col min="9476" max="9476" width="5.7109375" style="4" customWidth="1"/>
    <col min="9477" max="9728" width="8.85546875" style="4"/>
    <col min="9729" max="9729" width="2.85546875" style="4" customWidth="1"/>
    <col min="9730" max="9730" width="3.85546875" style="4" customWidth="1"/>
    <col min="9731" max="9731" width="88.7109375" style="4" customWidth="1"/>
    <col min="9732" max="9732" width="5.7109375" style="4" customWidth="1"/>
    <col min="9733" max="9984" width="8.85546875" style="4"/>
    <col min="9985" max="9985" width="2.85546875" style="4" customWidth="1"/>
    <col min="9986" max="9986" width="3.85546875" style="4" customWidth="1"/>
    <col min="9987" max="9987" width="88.7109375" style="4" customWidth="1"/>
    <col min="9988" max="9988" width="5.7109375" style="4" customWidth="1"/>
    <col min="9989" max="10240" width="8.85546875" style="4"/>
    <col min="10241" max="10241" width="2.85546875" style="4" customWidth="1"/>
    <col min="10242" max="10242" width="3.85546875" style="4" customWidth="1"/>
    <col min="10243" max="10243" width="88.7109375" style="4" customWidth="1"/>
    <col min="10244" max="10244" width="5.7109375" style="4" customWidth="1"/>
    <col min="10245" max="10496" width="8.85546875" style="4"/>
    <col min="10497" max="10497" width="2.85546875" style="4" customWidth="1"/>
    <col min="10498" max="10498" width="3.85546875" style="4" customWidth="1"/>
    <col min="10499" max="10499" width="88.7109375" style="4" customWidth="1"/>
    <col min="10500" max="10500" width="5.7109375" style="4" customWidth="1"/>
    <col min="10501" max="10752" width="8.85546875" style="4"/>
    <col min="10753" max="10753" width="2.85546875" style="4" customWidth="1"/>
    <col min="10754" max="10754" width="3.85546875" style="4" customWidth="1"/>
    <col min="10755" max="10755" width="88.7109375" style="4" customWidth="1"/>
    <col min="10756" max="10756" width="5.7109375" style="4" customWidth="1"/>
    <col min="10757" max="11008" width="8.85546875" style="4"/>
    <col min="11009" max="11009" width="2.85546875" style="4" customWidth="1"/>
    <col min="11010" max="11010" width="3.85546875" style="4" customWidth="1"/>
    <col min="11011" max="11011" width="88.7109375" style="4" customWidth="1"/>
    <col min="11012" max="11012" width="5.7109375" style="4" customWidth="1"/>
    <col min="11013" max="11264" width="8.85546875" style="4"/>
    <col min="11265" max="11265" width="2.85546875" style="4" customWidth="1"/>
    <col min="11266" max="11266" width="3.85546875" style="4" customWidth="1"/>
    <col min="11267" max="11267" width="88.7109375" style="4" customWidth="1"/>
    <col min="11268" max="11268" width="5.7109375" style="4" customWidth="1"/>
    <col min="11269" max="11520" width="8.85546875" style="4"/>
    <col min="11521" max="11521" width="2.85546875" style="4" customWidth="1"/>
    <col min="11522" max="11522" width="3.85546875" style="4" customWidth="1"/>
    <col min="11523" max="11523" width="88.7109375" style="4" customWidth="1"/>
    <col min="11524" max="11524" width="5.7109375" style="4" customWidth="1"/>
    <col min="11525" max="11776" width="8.85546875" style="4"/>
    <col min="11777" max="11777" width="2.85546875" style="4" customWidth="1"/>
    <col min="11778" max="11778" width="3.85546875" style="4" customWidth="1"/>
    <col min="11779" max="11779" width="88.7109375" style="4" customWidth="1"/>
    <col min="11780" max="11780" width="5.7109375" style="4" customWidth="1"/>
    <col min="11781" max="12032" width="8.85546875" style="4"/>
    <col min="12033" max="12033" width="2.85546875" style="4" customWidth="1"/>
    <col min="12034" max="12034" width="3.85546875" style="4" customWidth="1"/>
    <col min="12035" max="12035" width="88.7109375" style="4" customWidth="1"/>
    <col min="12036" max="12036" width="5.7109375" style="4" customWidth="1"/>
    <col min="12037" max="12288" width="8.85546875" style="4"/>
    <col min="12289" max="12289" width="2.85546875" style="4" customWidth="1"/>
    <col min="12290" max="12290" width="3.85546875" style="4" customWidth="1"/>
    <col min="12291" max="12291" width="88.7109375" style="4" customWidth="1"/>
    <col min="12292" max="12292" width="5.7109375" style="4" customWidth="1"/>
    <col min="12293" max="12544" width="8.85546875" style="4"/>
    <col min="12545" max="12545" width="2.85546875" style="4" customWidth="1"/>
    <col min="12546" max="12546" width="3.85546875" style="4" customWidth="1"/>
    <col min="12547" max="12547" width="88.7109375" style="4" customWidth="1"/>
    <col min="12548" max="12548" width="5.7109375" style="4" customWidth="1"/>
    <col min="12549" max="12800" width="8.85546875" style="4"/>
    <col min="12801" max="12801" width="2.85546875" style="4" customWidth="1"/>
    <col min="12802" max="12802" width="3.85546875" style="4" customWidth="1"/>
    <col min="12803" max="12803" width="88.7109375" style="4" customWidth="1"/>
    <col min="12804" max="12804" width="5.7109375" style="4" customWidth="1"/>
    <col min="12805" max="13056" width="8.85546875" style="4"/>
    <col min="13057" max="13057" width="2.85546875" style="4" customWidth="1"/>
    <col min="13058" max="13058" width="3.85546875" style="4" customWidth="1"/>
    <col min="13059" max="13059" width="88.7109375" style="4" customWidth="1"/>
    <col min="13060" max="13060" width="5.7109375" style="4" customWidth="1"/>
    <col min="13061" max="13312" width="8.85546875" style="4"/>
    <col min="13313" max="13313" width="2.85546875" style="4" customWidth="1"/>
    <col min="13314" max="13314" width="3.85546875" style="4" customWidth="1"/>
    <col min="13315" max="13315" width="88.7109375" style="4" customWidth="1"/>
    <col min="13316" max="13316" width="5.7109375" style="4" customWidth="1"/>
    <col min="13317" max="13568" width="8.85546875" style="4"/>
    <col min="13569" max="13569" width="2.85546875" style="4" customWidth="1"/>
    <col min="13570" max="13570" width="3.85546875" style="4" customWidth="1"/>
    <col min="13571" max="13571" width="88.7109375" style="4" customWidth="1"/>
    <col min="13572" max="13572" width="5.7109375" style="4" customWidth="1"/>
    <col min="13573" max="13824" width="8.85546875" style="4"/>
    <col min="13825" max="13825" width="2.85546875" style="4" customWidth="1"/>
    <col min="13826" max="13826" width="3.85546875" style="4" customWidth="1"/>
    <col min="13827" max="13827" width="88.7109375" style="4" customWidth="1"/>
    <col min="13828" max="13828" width="5.7109375" style="4" customWidth="1"/>
    <col min="13829" max="14080" width="8.85546875" style="4"/>
    <col min="14081" max="14081" width="2.85546875" style="4" customWidth="1"/>
    <col min="14082" max="14082" width="3.85546875" style="4" customWidth="1"/>
    <col min="14083" max="14083" width="88.7109375" style="4" customWidth="1"/>
    <col min="14084" max="14084" width="5.7109375" style="4" customWidth="1"/>
    <col min="14085" max="14336" width="8.85546875" style="4"/>
    <col min="14337" max="14337" width="2.85546875" style="4" customWidth="1"/>
    <col min="14338" max="14338" width="3.85546875" style="4" customWidth="1"/>
    <col min="14339" max="14339" width="88.7109375" style="4" customWidth="1"/>
    <col min="14340" max="14340" width="5.7109375" style="4" customWidth="1"/>
    <col min="14341" max="14592" width="8.85546875" style="4"/>
    <col min="14593" max="14593" width="2.85546875" style="4" customWidth="1"/>
    <col min="14594" max="14594" width="3.85546875" style="4" customWidth="1"/>
    <col min="14595" max="14595" width="88.7109375" style="4" customWidth="1"/>
    <col min="14596" max="14596" width="5.7109375" style="4" customWidth="1"/>
    <col min="14597" max="14848" width="8.85546875" style="4"/>
    <col min="14849" max="14849" width="2.85546875" style="4" customWidth="1"/>
    <col min="14850" max="14850" width="3.85546875" style="4" customWidth="1"/>
    <col min="14851" max="14851" width="88.7109375" style="4" customWidth="1"/>
    <col min="14852" max="14852" width="5.7109375" style="4" customWidth="1"/>
    <col min="14853" max="15104" width="8.85546875" style="4"/>
    <col min="15105" max="15105" width="2.85546875" style="4" customWidth="1"/>
    <col min="15106" max="15106" width="3.85546875" style="4" customWidth="1"/>
    <col min="15107" max="15107" width="88.7109375" style="4" customWidth="1"/>
    <col min="15108" max="15108" width="5.7109375" style="4" customWidth="1"/>
    <col min="15109" max="15360" width="8.85546875" style="4"/>
    <col min="15361" max="15361" width="2.85546875" style="4" customWidth="1"/>
    <col min="15362" max="15362" width="3.85546875" style="4" customWidth="1"/>
    <col min="15363" max="15363" width="88.7109375" style="4" customWidth="1"/>
    <col min="15364" max="15364" width="5.7109375" style="4" customWidth="1"/>
    <col min="15365" max="15616" width="8.85546875" style="4"/>
    <col min="15617" max="15617" width="2.85546875" style="4" customWidth="1"/>
    <col min="15618" max="15618" width="3.85546875" style="4" customWidth="1"/>
    <col min="15619" max="15619" width="88.7109375" style="4" customWidth="1"/>
    <col min="15620" max="15620" width="5.7109375" style="4" customWidth="1"/>
    <col min="15621" max="15872" width="8.85546875" style="4"/>
    <col min="15873" max="15873" width="2.85546875" style="4" customWidth="1"/>
    <col min="15874" max="15874" width="3.85546875" style="4" customWidth="1"/>
    <col min="15875" max="15875" width="88.7109375" style="4" customWidth="1"/>
    <col min="15876" max="15876" width="5.7109375" style="4" customWidth="1"/>
    <col min="15877" max="16128" width="8.85546875" style="4"/>
    <col min="16129" max="16129" width="2.85546875" style="4" customWidth="1"/>
    <col min="16130" max="16130" width="3.85546875" style="4" customWidth="1"/>
    <col min="16131" max="16131" width="88.7109375" style="4" customWidth="1"/>
    <col min="16132" max="16132" width="5.7109375" style="4" customWidth="1"/>
    <col min="16133" max="16384" width="8.85546875" style="4"/>
  </cols>
  <sheetData>
    <row r="1" spans="1:4" ht="26.25" customHeight="1" x14ac:dyDescent="0.2">
      <c r="A1" s="1347" t="s">
        <v>690</v>
      </c>
      <c r="B1" s="1347"/>
      <c r="C1" s="1347"/>
      <c r="D1" s="1347"/>
    </row>
    <row r="2" spans="1:4" ht="23.25" customHeight="1" x14ac:dyDescent="0.2">
      <c r="D2" s="330" t="s">
        <v>691</v>
      </c>
    </row>
    <row r="3" spans="1:4" ht="23.25" hidden="1" customHeight="1" x14ac:dyDescent="0.2">
      <c r="A3" s="330" t="s">
        <v>692</v>
      </c>
      <c r="B3" s="329" t="s">
        <v>748</v>
      </c>
      <c r="D3" s="331" t="s">
        <v>693</v>
      </c>
    </row>
    <row r="4" spans="1:4" ht="23.25" hidden="1" customHeight="1" x14ac:dyDescent="0.2">
      <c r="A4" s="330" t="s">
        <v>694</v>
      </c>
      <c r="B4" s="329" t="s">
        <v>749</v>
      </c>
      <c r="D4" s="331" t="s">
        <v>695</v>
      </c>
    </row>
    <row r="5" spans="1:4" ht="23.25" hidden="1" customHeight="1" x14ac:dyDescent="0.2">
      <c r="A5" s="330"/>
      <c r="B5" s="330" t="s">
        <v>696</v>
      </c>
      <c r="C5" s="332" t="s">
        <v>697</v>
      </c>
      <c r="D5" s="331" t="s">
        <v>698</v>
      </c>
    </row>
    <row r="6" spans="1:4" ht="23.25" hidden="1" customHeight="1" x14ac:dyDescent="0.2">
      <c r="A6" s="330"/>
      <c r="B6" s="330"/>
      <c r="C6" s="332" t="s">
        <v>750</v>
      </c>
    </row>
    <row r="7" spans="1:4" ht="23.25" hidden="1" customHeight="1" x14ac:dyDescent="0.2">
      <c r="A7" s="330"/>
      <c r="B7" s="330" t="s">
        <v>699</v>
      </c>
      <c r="C7" s="329" t="s">
        <v>700</v>
      </c>
      <c r="D7" s="331" t="s">
        <v>701</v>
      </c>
    </row>
    <row r="8" spans="1:4" ht="23.25" hidden="1" customHeight="1" x14ac:dyDescent="0.2">
      <c r="A8" s="330"/>
      <c r="B8" s="330"/>
      <c r="C8" s="332" t="s">
        <v>751</v>
      </c>
    </row>
    <row r="9" spans="1:4" ht="23.25" hidden="1" customHeight="1" x14ac:dyDescent="0.2">
      <c r="A9" s="330"/>
      <c r="B9" s="330" t="s">
        <v>702</v>
      </c>
      <c r="C9" s="329" t="s">
        <v>700</v>
      </c>
      <c r="D9" s="331" t="s">
        <v>703</v>
      </c>
    </row>
    <row r="10" spans="1:4" ht="23.25" hidden="1" customHeight="1" x14ac:dyDescent="0.2">
      <c r="A10" s="330"/>
      <c r="B10" s="330"/>
      <c r="C10" s="329" t="s">
        <v>752</v>
      </c>
    </row>
    <row r="11" spans="1:4" ht="23.25" customHeight="1" x14ac:dyDescent="0.2">
      <c r="A11" s="330" t="s">
        <v>693</v>
      </c>
      <c r="B11" s="329" t="s">
        <v>126</v>
      </c>
      <c r="D11" s="331" t="s">
        <v>693</v>
      </c>
    </row>
    <row r="12" spans="1:4" ht="23.25" customHeight="1" x14ac:dyDescent="0.2">
      <c r="A12" s="330"/>
      <c r="B12" s="329" t="s">
        <v>706</v>
      </c>
    </row>
    <row r="13" spans="1:4" ht="23.25" customHeight="1" x14ac:dyDescent="0.2">
      <c r="A13" s="330" t="s">
        <v>694</v>
      </c>
      <c r="B13" s="329" t="s">
        <v>753</v>
      </c>
      <c r="D13" s="331" t="s">
        <v>695</v>
      </c>
    </row>
    <row r="14" spans="1:4" ht="23.25" customHeight="1" x14ac:dyDescent="0.2">
      <c r="A14" s="330"/>
      <c r="B14" s="330" t="s">
        <v>696</v>
      </c>
      <c r="C14" s="329" t="s">
        <v>710</v>
      </c>
      <c r="D14" s="331" t="s">
        <v>698</v>
      </c>
    </row>
    <row r="15" spans="1:4" ht="23.25" customHeight="1" x14ac:dyDescent="0.2">
      <c r="A15" s="330"/>
      <c r="B15" s="330"/>
      <c r="C15" s="329" t="s">
        <v>712</v>
      </c>
      <c r="D15" s="331" t="s">
        <v>698</v>
      </c>
    </row>
    <row r="16" spans="1:4" ht="23.25" customHeight="1" x14ac:dyDescent="0.2">
      <c r="A16" s="330"/>
      <c r="B16" s="330"/>
      <c r="C16" s="333" t="s">
        <v>147</v>
      </c>
      <c r="D16" s="331" t="s">
        <v>698</v>
      </c>
    </row>
    <row r="17" spans="1:4" ht="23.25" customHeight="1" x14ac:dyDescent="0.2">
      <c r="A17" s="330"/>
      <c r="B17" s="330"/>
      <c r="C17" s="333" t="s">
        <v>148</v>
      </c>
      <c r="D17" s="331" t="s">
        <v>698</v>
      </c>
    </row>
    <row r="18" spans="1:4" ht="23.25" customHeight="1" x14ac:dyDescent="0.2">
      <c r="A18" s="330"/>
      <c r="B18" s="330"/>
      <c r="C18" s="329" t="s">
        <v>12</v>
      </c>
      <c r="D18" s="331" t="s">
        <v>698</v>
      </c>
    </row>
    <row r="19" spans="1:4" ht="42" x14ac:dyDescent="0.2">
      <c r="A19" s="330"/>
      <c r="B19" s="330"/>
      <c r="C19" s="334" t="s">
        <v>767</v>
      </c>
      <c r="D19" s="331" t="s">
        <v>698</v>
      </c>
    </row>
    <row r="20" spans="1:4" ht="21" x14ac:dyDescent="0.2">
      <c r="A20" s="330"/>
      <c r="B20" s="330"/>
      <c r="C20" s="334" t="s">
        <v>166</v>
      </c>
      <c r="D20" s="331" t="s">
        <v>701</v>
      </c>
    </row>
    <row r="21" spans="1:4" ht="21" x14ac:dyDescent="0.2">
      <c r="A21" s="330"/>
      <c r="B21" s="330"/>
      <c r="C21" s="334" t="s">
        <v>167</v>
      </c>
      <c r="D21" s="331" t="s">
        <v>703</v>
      </c>
    </row>
    <row r="22" spans="1:4" ht="26.25" customHeight="1" x14ac:dyDescent="0.2">
      <c r="A22" s="330"/>
      <c r="B22" s="330"/>
      <c r="C22" s="334" t="s">
        <v>169</v>
      </c>
      <c r="D22" s="331" t="s">
        <v>703</v>
      </c>
    </row>
    <row r="23" spans="1:4" ht="26.25" customHeight="1" x14ac:dyDescent="0.2">
      <c r="A23" s="330"/>
      <c r="B23" s="330"/>
      <c r="C23" s="334" t="s">
        <v>172</v>
      </c>
      <c r="D23" s="331" t="s">
        <v>705</v>
      </c>
    </row>
    <row r="24" spans="1:4" ht="22.5" customHeight="1" x14ac:dyDescent="0.2">
      <c r="A24" s="330"/>
      <c r="B24" s="330"/>
      <c r="C24" s="335" t="s">
        <v>15</v>
      </c>
      <c r="D24" s="331" t="s">
        <v>818</v>
      </c>
    </row>
    <row r="25" spans="1:4" ht="22.5" customHeight="1" x14ac:dyDescent="0.2">
      <c r="A25" s="330"/>
      <c r="B25" s="330"/>
      <c r="C25" s="334" t="s">
        <v>159</v>
      </c>
      <c r="D25" s="331" t="s">
        <v>818</v>
      </c>
    </row>
    <row r="26" spans="1:4" ht="23.25" customHeight="1" x14ac:dyDescent="0.2">
      <c r="A26" s="330"/>
      <c r="B26" s="330"/>
      <c r="C26" s="329" t="s">
        <v>6</v>
      </c>
      <c r="D26" s="331" t="s">
        <v>816</v>
      </c>
    </row>
    <row r="27" spans="1:4" ht="21" customHeight="1" x14ac:dyDescent="0.2">
      <c r="A27" s="330"/>
      <c r="B27" s="330"/>
      <c r="C27" s="336" t="s">
        <v>11</v>
      </c>
      <c r="D27" s="331" t="s">
        <v>816</v>
      </c>
    </row>
    <row r="28" spans="1:4" ht="26.25" hidden="1" customHeight="1" x14ac:dyDescent="0.2">
      <c r="A28" s="1347" t="s">
        <v>716</v>
      </c>
      <c r="B28" s="1347"/>
      <c r="C28" s="1347"/>
      <c r="D28" s="1347"/>
    </row>
    <row r="29" spans="1:4" ht="23.25" hidden="1" customHeight="1" x14ac:dyDescent="0.2">
      <c r="D29" s="330" t="s">
        <v>691</v>
      </c>
    </row>
    <row r="30" spans="1:4" ht="23.25" customHeight="1" x14ac:dyDescent="0.2">
      <c r="B30" s="337">
        <v>2.2000000000000002</v>
      </c>
      <c r="C30" s="329" t="s">
        <v>717</v>
      </c>
      <c r="D30" s="331" t="s">
        <v>819</v>
      </c>
    </row>
    <row r="31" spans="1:4" ht="23.25" customHeight="1" x14ac:dyDescent="0.2">
      <c r="C31" s="333" t="s">
        <v>718</v>
      </c>
      <c r="D31" s="331" t="s">
        <v>820</v>
      </c>
    </row>
    <row r="32" spans="1:4" ht="23.25" customHeight="1" x14ac:dyDescent="0.2">
      <c r="C32" s="333" t="s">
        <v>719</v>
      </c>
      <c r="D32" s="331" t="s">
        <v>817</v>
      </c>
    </row>
    <row r="33" spans="3:4" ht="23.25" customHeight="1" x14ac:dyDescent="0.2">
      <c r="C33" s="333" t="s">
        <v>720</v>
      </c>
      <c r="D33" s="331" t="s">
        <v>821</v>
      </c>
    </row>
    <row r="34" spans="3:4" ht="23.25" customHeight="1" x14ac:dyDescent="0.2">
      <c r="C34" s="333" t="s">
        <v>722</v>
      </c>
      <c r="D34" s="331" t="s">
        <v>822</v>
      </c>
    </row>
    <row r="35" spans="3:4" ht="23.25" customHeight="1" x14ac:dyDescent="0.2">
      <c r="C35" s="333" t="s">
        <v>724</v>
      </c>
      <c r="D35" s="331" t="s">
        <v>823</v>
      </c>
    </row>
    <row r="36" spans="3:4" ht="23.25" customHeight="1" x14ac:dyDescent="0.2">
      <c r="C36" s="333" t="s">
        <v>725</v>
      </c>
      <c r="D36" s="331" t="s">
        <v>824</v>
      </c>
    </row>
    <row r="37" spans="3:4" ht="23.25" customHeight="1" x14ac:dyDescent="0.2">
      <c r="C37" s="333" t="s">
        <v>726</v>
      </c>
      <c r="D37" s="331" t="s">
        <v>825</v>
      </c>
    </row>
    <row r="38" spans="3:4" ht="23.25" customHeight="1" x14ac:dyDescent="0.2">
      <c r="C38" s="333" t="s">
        <v>727</v>
      </c>
      <c r="D38" s="331" t="s">
        <v>826</v>
      </c>
    </row>
    <row r="39" spans="3:4" ht="23.25" customHeight="1" x14ac:dyDescent="0.2">
      <c r="C39" s="333" t="s">
        <v>728</v>
      </c>
      <c r="D39" s="331" t="s">
        <v>827</v>
      </c>
    </row>
    <row r="40" spans="3:4" ht="23.25" customHeight="1" x14ac:dyDescent="0.2">
      <c r="C40" s="333" t="s">
        <v>729</v>
      </c>
      <c r="D40" s="331" t="s">
        <v>828</v>
      </c>
    </row>
    <row r="41" spans="3:4" ht="23.25" customHeight="1" x14ac:dyDescent="0.2">
      <c r="C41" s="333" t="s">
        <v>730</v>
      </c>
      <c r="D41" s="331" t="s">
        <v>829</v>
      </c>
    </row>
    <row r="42" spans="3:4" ht="23.25" customHeight="1" x14ac:dyDescent="0.2">
      <c r="C42" s="333" t="s">
        <v>732</v>
      </c>
      <c r="D42" s="331" t="s">
        <v>830</v>
      </c>
    </row>
    <row r="43" spans="3:4" ht="23.25" customHeight="1" x14ac:dyDescent="0.2">
      <c r="C43" s="333" t="s">
        <v>733</v>
      </c>
      <c r="D43" s="331" t="s">
        <v>731</v>
      </c>
    </row>
    <row r="44" spans="3:4" ht="23.25" customHeight="1" x14ac:dyDescent="0.2">
      <c r="C44" s="333" t="s">
        <v>734</v>
      </c>
      <c r="D44" s="331" t="s">
        <v>831</v>
      </c>
    </row>
    <row r="45" spans="3:4" ht="23.25" customHeight="1" x14ac:dyDescent="0.2">
      <c r="C45" s="338"/>
    </row>
  </sheetData>
  <mergeCells count="2">
    <mergeCell ref="A1:D1"/>
    <mergeCell ref="A28:D28"/>
  </mergeCells>
  <printOptions horizontalCentered="1"/>
  <pageMargins left="0.51181102362204722" right="0.19685039370078741" top="1.1811023622047245" bottom="0.59055118110236227" header="0.51181102362204722" footer="0.51181102362204722"/>
  <pageSetup paperSize="9" scale="83" fitToHeight="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11"/>
  <sheetViews>
    <sheetView view="pageBreakPreview" zoomScale="60" zoomScaleNormal="85" zoomScalePageLayoutView="70" workbookViewId="0">
      <selection activeCell="A7" sqref="A7:I7"/>
    </sheetView>
  </sheetViews>
  <sheetFormatPr defaultRowHeight="26.25" customHeight="1" x14ac:dyDescent="0.2"/>
  <cols>
    <col min="1" max="9" width="9.140625" style="326"/>
    <col min="10" max="10" width="9.140625" style="326" hidden="1" customWidth="1"/>
    <col min="11" max="265" width="9.140625" style="326"/>
    <col min="266" max="266" width="0" style="326" hidden="1" customWidth="1"/>
    <col min="267" max="521" width="9.140625" style="326"/>
    <col min="522" max="522" width="0" style="326" hidden="1" customWidth="1"/>
    <col min="523" max="777" width="9.140625" style="326"/>
    <col min="778" max="778" width="0" style="326" hidden="1" customWidth="1"/>
    <col min="779" max="1033" width="9.140625" style="326"/>
    <col min="1034" max="1034" width="0" style="326" hidden="1" customWidth="1"/>
    <col min="1035" max="1289" width="9.140625" style="326"/>
    <col min="1290" max="1290" width="0" style="326" hidden="1" customWidth="1"/>
    <col min="1291" max="1545" width="9.140625" style="326"/>
    <col min="1546" max="1546" width="0" style="326" hidden="1" customWidth="1"/>
    <col min="1547" max="1801" width="9.140625" style="326"/>
    <col min="1802" max="1802" width="0" style="326" hidden="1" customWidth="1"/>
    <col min="1803" max="2057" width="9.140625" style="326"/>
    <col min="2058" max="2058" width="0" style="326" hidden="1" customWidth="1"/>
    <col min="2059" max="2313" width="9.140625" style="326"/>
    <col min="2314" max="2314" width="0" style="326" hidden="1" customWidth="1"/>
    <col min="2315" max="2569" width="9.140625" style="326"/>
    <col min="2570" max="2570" width="0" style="326" hidden="1" customWidth="1"/>
    <col min="2571" max="2825" width="9.140625" style="326"/>
    <col min="2826" max="2826" width="0" style="326" hidden="1" customWidth="1"/>
    <col min="2827" max="3081" width="9.140625" style="326"/>
    <col min="3082" max="3082" width="0" style="326" hidden="1" customWidth="1"/>
    <col min="3083" max="3337" width="9.140625" style="326"/>
    <col min="3338" max="3338" width="0" style="326" hidden="1" customWidth="1"/>
    <col min="3339" max="3593" width="9.140625" style="326"/>
    <col min="3594" max="3594" width="0" style="326" hidden="1" customWidth="1"/>
    <col min="3595" max="3849" width="9.140625" style="326"/>
    <col min="3850" max="3850" width="0" style="326" hidden="1" customWidth="1"/>
    <col min="3851" max="4105" width="9.140625" style="326"/>
    <col min="4106" max="4106" width="0" style="326" hidden="1" customWidth="1"/>
    <col min="4107" max="4361" width="9.140625" style="326"/>
    <col min="4362" max="4362" width="0" style="326" hidden="1" customWidth="1"/>
    <col min="4363" max="4617" width="9.140625" style="326"/>
    <col min="4618" max="4618" width="0" style="326" hidden="1" customWidth="1"/>
    <col min="4619" max="4873" width="9.140625" style="326"/>
    <col min="4874" max="4874" width="0" style="326" hidden="1" customWidth="1"/>
    <col min="4875" max="5129" width="9.140625" style="326"/>
    <col min="5130" max="5130" width="0" style="326" hidden="1" customWidth="1"/>
    <col min="5131" max="5385" width="9.140625" style="326"/>
    <col min="5386" max="5386" width="0" style="326" hidden="1" customWidth="1"/>
    <col min="5387" max="5641" width="9.140625" style="326"/>
    <col min="5642" max="5642" width="0" style="326" hidden="1" customWidth="1"/>
    <col min="5643" max="5897" width="9.140625" style="326"/>
    <col min="5898" max="5898" width="0" style="326" hidden="1" customWidth="1"/>
    <col min="5899" max="6153" width="9.140625" style="326"/>
    <col min="6154" max="6154" width="0" style="326" hidden="1" customWidth="1"/>
    <col min="6155" max="6409" width="9.140625" style="326"/>
    <col min="6410" max="6410" width="0" style="326" hidden="1" customWidth="1"/>
    <col min="6411" max="6665" width="9.140625" style="326"/>
    <col min="6666" max="6666" width="0" style="326" hidden="1" customWidth="1"/>
    <col min="6667" max="6921" width="9.140625" style="326"/>
    <col min="6922" max="6922" width="0" style="326" hidden="1" customWidth="1"/>
    <col min="6923" max="7177" width="9.140625" style="326"/>
    <col min="7178" max="7178" width="0" style="326" hidden="1" customWidth="1"/>
    <col min="7179" max="7433" width="9.140625" style="326"/>
    <col min="7434" max="7434" width="0" style="326" hidden="1" customWidth="1"/>
    <col min="7435" max="7689" width="9.140625" style="326"/>
    <col min="7690" max="7690" width="0" style="326" hidden="1" customWidth="1"/>
    <col min="7691" max="7945" width="9.140625" style="326"/>
    <col min="7946" max="7946" width="0" style="326" hidden="1" customWidth="1"/>
    <col min="7947" max="8201" width="9.140625" style="326"/>
    <col min="8202" max="8202" width="0" style="326" hidden="1" customWidth="1"/>
    <col min="8203" max="8457" width="9.140625" style="326"/>
    <col min="8458" max="8458" width="0" style="326" hidden="1" customWidth="1"/>
    <col min="8459" max="8713" width="9.140625" style="326"/>
    <col min="8714" max="8714" width="0" style="326" hidden="1" customWidth="1"/>
    <col min="8715" max="8969" width="9.140625" style="326"/>
    <col min="8970" max="8970" width="0" style="326" hidden="1" customWidth="1"/>
    <col min="8971" max="9225" width="9.140625" style="326"/>
    <col min="9226" max="9226" width="0" style="326" hidden="1" customWidth="1"/>
    <col min="9227" max="9481" width="9.140625" style="326"/>
    <col min="9482" max="9482" width="0" style="326" hidden="1" customWidth="1"/>
    <col min="9483" max="9737" width="9.140625" style="326"/>
    <col min="9738" max="9738" width="0" style="326" hidden="1" customWidth="1"/>
    <col min="9739" max="9993" width="9.140625" style="326"/>
    <col min="9994" max="9994" width="0" style="326" hidden="1" customWidth="1"/>
    <col min="9995" max="10249" width="9.140625" style="326"/>
    <col min="10250" max="10250" width="0" style="326" hidden="1" customWidth="1"/>
    <col min="10251" max="10505" width="9.140625" style="326"/>
    <col min="10506" max="10506" width="0" style="326" hidden="1" customWidth="1"/>
    <col min="10507" max="10761" width="9.140625" style="326"/>
    <col min="10762" max="10762" width="0" style="326" hidden="1" customWidth="1"/>
    <col min="10763" max="11017" width="9.140625" style="326"/>
    <col min="11018" max="11018" width="0" style="326" hidden="1" customWidth="1"/>
    <col min="11019" max="11273" width="9.140625" style="326"/>
    <col min="11274" max="11274" width="0" style="326" hidden="1" customWidth="1"/>
    <col min="11275" max="11529" width="9.140625" style="326"/>
    <col min="11530" max="11530" width="0" style="326" hidden="1" customWidth="1"/>
    <col min="11531" max="11785" width="9.140625" style="326"/>
    <col min="11786" max="11786" width="0" style="326" hidden="1" customWidth="1"/>
    <col min="11787" max="12041" width="9.140625" style="326"/>
    <col min="12042" max="12042" width="0" style="326" hidden="1" customWidth="1"/>
    <col min="12043" max="12297" width="9.140625" style="326"/>
    <col min="12298" max="12298" width="0" style="326" hidden="1" customWidth="1"/>
    <col min="12299" max="12553" width="9.140625" style="326"/>
    <col min="12554" max="12554" width="0" style="326" hidden="1" customWidth="1"/>
    <col min="12555" max="12809" width="9.140625" style="326"/>
    <col min="12810" max="12810" width="0" style="326" hidden="1" customWidth="1"/>
    <col min="12811" max="13065" width="9.140625" style="326"/>
    <col min="13066" max="13066" width="0" style="326" hidden="1" customWidth="1"/>
    <col min="13067" max="13321" width="9.140625" style="326"/>
    <col min="13322" max="13322" width="0" style="326" hidden="1" customWidth="1"/>
    <col min="13323" max="13577" width="9.140625" style="326"/>
    <col min="13578" max="13578" width="0" style="326" hidden="1" customWidth="1"/>
    <col min="13579" max="13833" width="9.140625" style="326"/>
    <col min="13834" max="13834" width="0" style="326" hidden="1" customWidth="1"/>
    <col min="13835" max="14089" width="9.140625" style="326"/>
    <col min="14090" max="14090" width="0" style="326" hidden="1" customWidth="1"/>
    <col min="14091" max="14345" width="9.140625" style="326"/>
    <col min="14346" max="14346" width="0" style="326" hidden="1" customWidth="1"/>
    <col min="14347" max="14601" width="9.140625" style="326"/>
    <col min="14602" max="14602" width="0" style="326" hidden="1" customWidth="1"/>
    <col min="14603" max="14857" width="9.140625" style="326"/>
    <col min="14858" max="14858" width="0" style="326" hidden="1" customWidth="1"/>
    <col min="14859" max="15113" width="9.140625" style="326"/>
    <col min="15114" max="15114" width="0" style="326" hidden="1" customWidth="1"/>
    <col min="15115" max="15369" width="9.140625" style="326"/>
    <col min="15370" max="15370" width="0" style="326" hidden="1" customWidth="1"/>
    <col min="15371" max="15625" width="9.140625" style="326"/>
    <col min="15626" max="15626" width="0" style="326" hidden="1" customWidth="1"/>
    <col min="15627" max="15881" width="9.140625" style="326"/>
    <col min="15882" max="15882" width="0" style="326" hidden="1" customWidth="1"/>
    <col min="15883" max="16137" width="9.140625" style="326"/>
    <col min="16138" max="16138" width="0" style="326" hidden="1" customWidth="1"/>
    <col min="16139" max="16384" width="9.140625" style="326"/>
  </cols>
  <sheetData>
    <row r="1" spans="1:10" ht="26.25" customHeight="1" x14ac:dyDescent="0.2">
      <c r="A1" s="1348"/>
      <c r="B1" s="1348"/>
      <c r="C1" s="1348"/>
      <c r="D1" s="1348"/>
      <c r="E1" s="1348"/>
      <c r="F1" s="1348"/>
      <c r="G1" s="1348"/>
      <c r="H1" s="1348"/>
      <c r="I1" s="1348"/>
      <c r="J1" s="1348"/>
    </row>
    <row r="11" spans="1:10" s="327" customFormat="1" ht="28.5" x14ac:dyDescent="0.2">
      <c r="A11" s="1349" t="s">
        <v>1050</v>
      </c>
      <c r="B11" s="1349"/>
      <c r="C11" s="1349"/>
      <c r="D11" s="1349"/>
      <c r="E11" s="1349"/>
      <c r="F11" s="1349"/>
      <c r="G11" s="1349"/>
      <c r="H11" s="1349"/>
      <c r="I11" s="1349"/>
      <c r="J11" s="339"/>
    </row>
  </sheetData>
  <mergeCells count="2">
    <mergeCell ref="A1:J1"/>
    <mergeCell ref="A11:I11"/>
  </mergeCells>
  <printOptions horizontalCentered="1"/>
  <pageMargins left="1.023622047244094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0:N49"/>
  <sheetViews>
    <sheetView view="pageBreakPreview" zoomScaleNormal="115" zoomScaleSheetLayoutView="100" zoomScalePageLayoutView="120" workbookViewId="0">
      <selection activeCell="A7" sqref="A7:I7"/>
    </sheetView>
  </sheetViews>
  <sheetFormatPr defaultRowHeight="12.75" x14ac:dyDescent="0.2"/>
  <cols>
    <col min="1" max="1" width="9.140625" style="341"/>
    <col min="2" max="2" width="15.85546875" style="341" customWidth="1"/>
    <col min="3" max="3" width="10.85546875" style="341" customWidth="1"/>
    <col min="4" max="4" width="10.140625" style="341" bestFit="1" customWidth="1"/>
    <col min="5" max="6" width="9.140625" style="341" customWidth="1"/>
    <col min="7" max="7" width="9.140625" style="341"/>
    <col min="8" max="8" width="10.85546875" style="341" customWidth="1"/>
    <col min="9" max="9" width="12.7109375" style="341" customWidth="1"/>
    <col min="10" max="12" width="9.140625" style="341"/>
    <col min="13" max="13" width="9.85546875" style="341" customWidth="1"/>
    <col min="14" max="14" width="8.28515625" style="341" customWidth="1"/>
    <col min="15" max="257" width="9.140625" style="341"/>
    <col min="258" max="258" width="15.85546875" style="341" customWidth="1"/>
    <col min="259" max="259" width="10.85546875" style="341" customWidth="1"/>
    <col min="260" max="260" width="10.140625" style="341" bestFit="1" customWidth="1"/>
    <col min="261" max="262" width="9.140625" style="341" customWidth="1"/>
    <col min="263" max="263" width="9.140625" style="341"/>
    <col min="264" max="264" width="10.85546875" style="341" customWidth="1"/>
    <col min="265" max="265" width="12.7109375" style="341" customWidth="1"/>
    <col min="266" max="268" width="9.140625" style="341"/>
    <col min="269" max="269" width="9.140625" style="341" customWidth="1"/>
    <col min="270" max="513" width="9.140625" style="341"/>
    <col min="514" max="514" width="15.85546875" style="341" customWidth="1"/>
    <col min="515" max="515" width="10.85546875" style="341" customWidth="1"/>
    <col min="516" max="516" width="10.140625" style="341" bestFit="1" customWidth="1"/>
    <col min="517" max="518" width="9.140625" style="341" customWidth="1"/>
    <col min="519" max="519" width="9.140625" style="341"/>
    <col min="520" max="520" width="10.85546875" style="341" customWidth="1"/>
    <col min="521" max="521" width="12.7109375" style="341" customWidth="1"/>
    <col min="522" max="524" width="9.140625" style="341"/>
    <col min="525" max="525" width="9.140625" style="341" customWidth="1"/>
    <col min="526" max="769" width="9.140625" style="341"/>
    <col min="770" max="770" width="15.85546875" style="341" customWidth="1"/>
    <col min="771" max="771" width="10.85546875" style="341" customWidth="1"/>
    <col min="772" max="772" width="10.140625" style="341" bestFit="1" customWidth="1"/>
    <col min="773" max="774" width="9.140625" style="341" customWidth="1"/>
    <col min="775" max="775" width="9.140625" style="341"/>
    <col min="776" max="776" width="10.85546875" style="341" customWidth="1"/>
    <col min="777" max="777" width="12.7109375" style="341" customWidth="1"/>
    <col min="778" max="780" width="9.140625" style="341"/>
    <col min="781" max="781" width="9.140625" style="341" customWidth="1"/>
    <col min="782" max="1025" width="9.140625" style="341"/>
    <col min="1026" max="1026" width="15.85546875" style="341" customWidth="1"/>
    <col min="1027" max="1027" width="10.85546875" style="341" customWidth="1"/>
    <col min="1028" max="1028" width="10.140625" style="341" bestFit="1" customWidth="1"/>
    <col min="1029" max="1030" width="9.140625" style="341" customWidth="1"/>
    <col min="1031" max="1031" width="9.140625" style="341"/>
    <col min="1032" max="1032" width="10.85546875" style="341" customWidth="1"/>
    <col min="1033" max="1033" width="12.7109375" style="341" customWidth="1"/>
    <col min="1034" max="1036" width="9.140625" style="341"/>
    <col min="1037" max="1037" width="9.140625" style="341" customWidth="1"/>
    <col min="1038" max="1281" width="9.140625" style="341"/>
    <col min="1282" max="1282" width="15.85546875" style="341" customWidth="1"/>
    <col min="1283" max="1283" width="10.85546875" style="341" customWidth="1"/>
    <col min="1284" max="1284" width="10.140625" style="341" bestFit="1" customWidth="1"/>
    <col min="1285" max="1286" width="9.140625" style="341" customWidth="1"/>
    <col min="1287" max="1287" width="9.140625" style="341"/>
    <col min="1288" max="1288" width="10.85546875" style="341" customWidth="1"/>
    <col min="1289" max="1289" width="12.7109375" style="341" customWidth="1"/>
    <col min="1290" max="1292" width="9.140625" style="341"/>
    <col min="1293" max="1293" width="9.140625" style="341" customWidth="1"/>
    <col min="1294" max="1537" width="9.140625" style="341"/>
    <col min="1538" max="1538" width="15.85546875" style="341" customWidth="1"/>
    <col min="1539" max="1539" width="10.85546875" style="341" customWidth="1"/>
    <col min="1540" max="1540" width="10.140625" style="341" bestFit="1" customWidth="1"/>
    <col min="1541" max="1542" width="9.140625" style="341" customWidth="1"/>
    <col min="1543" max="1543" width="9.140625" style="341"/>
    <col min="1544" max="1544" width="10.85546875" style="341" customWidth="1"/>
    <col min="1545" max="1545" width="12.7109375" style="341" customWidth="1"/>
    <col min="1546" max="1548" width="9.140625" style="341"/>
    <col min="1549" max="1549" width="9.140625" style="341" customWidth="1"/>
    <col min="1550" max="1793" width="9.140625" style="341"/>
    <col min="1794" max="1794" width="15.85546875" style="341" customWidth="1"/>
    <col min="1795" max="1795" width="10.85546875" style="341" customWidth="1"/>
    <col min="1796" max="1796" width="10.140625" style="341" bestFit="1" customWidth="1"/>
    <col min="1797" max="1798" width="9.140625" style="341" customWidth="1"/>
    <col min="1799" max="1799" width="9.140625" style="341"/>
    <col min="1800" max="1800" width="10.85546875" style="341" customWidth="1"/>
    <col min="1801" max="1801" width="12.7109375" style="341" customWidth="1"/>
    <col min="1802" max="1804" width="9.140625" style="341"/>
    <col min="1805" max="1805" width="9.140625" style="341" customWidth="1"/>
    <col min="1806" max="2049" width="9.140625" style="341"/>
    <col min="2050" max="2050" width="15.85546875" style="341" customWidth="1"/>
    <col min="2051" max="2051" width="10.85546875" style="341" customWidth="1"/>
    <col min="2052" max="2052" width="10.140625" style="341" bestFit="1" customWidth="1"/>
    <col min="2053" max="2054" width="9.140625" style="341" customWidth="1"/>
    <col min="2055" max="2055" width="9.140625" style="341"/>
    <col min="2056" max="2056" width="10.85546875" style="341" customWidth="1"/>
    <col min="2057" max="2057" width="12.7109375" style="341" customWidth="1"/>
    <col min="2058" max="2060" width="9.140625" style="341"/>
    <col min="2061" max="2061" width="9.140625" style="341" customWidth="1"/>
    <col min="2062" max="2305" width="9.140625" style="341"/>
    <col min="2306" max="2306" width="15.85546875" style="341" customWidth="1"/>
    <col min="2307" max="2307" width="10.85546875" style="341" customWidth="1"/>
    <col min="2308" max="2308" width="10.140625" style="341" bestFit="1" customWidth="1"/>
    <col min="2309" max="2310" width="9.140625" style="341" customWidth="1"/>
    <col min="2311" max="2311" width="9.140625" style="341"/>
    <col min="2312" max="2312" width="10.85546875" style="341" customWidth="1"/>
    <col min="2313" max="2313" width="12.7109375" style="341" customWidth="1"/>
    <col min="2314" max="2316" width="9.140625" style="341"/>
    <col min="2317" max="2317" width="9.140625" style="341" customWidth="1"/>
    <col min="2318" max="2561" width="9.140625" style="341"/>
    <col min="2562" max="2562" width="15.85546875" style="341" customWidth="1"/>
    <col min="2563" max="2563" width="10.85546875" style="341" customWidth="1"/>
    <col min="2564" max="2564" width="10.140625" style="341" bestFit="1" customWidth="1"/>
    <col min="2565" max="2566" width="9.140625" style="341" customWidth="1"/>
    <col min="2567" max="2567" width="9.140625" style="341"/>
    <col min="2568" max="2568" width="10.85546875" style="341" customWidth="1"/>
    <col min="2569" max="2569" width="12.7109375" style="341" customWidth="1"/>
    <col min="2570" max="2572" width="9.140625" style="341"/>
    <col min="2573" max="2573" width="9.140625" style="341" customWidth="1"/>
    <col min="2574" max="2817" width="9.140625" style="341"/>
    <col min="2818" max="2818" width="15.85546875" style="341" customWidth="1"/>
    <col min="2819" max="2819" width="10.85546875" style="341" customWidth="1"/>
    <col min="2820" max="2820" width="10.140625" style="341" bestFit="1" customWidth="1"/>
    <col min="2821" max="2822" width="9.140625" style="341" customWidth="1"/>
    <col min="2823" max="2823" width="9.140625" style="341"/>
    <col min="2824" max="2824" width="10.85546875" style="341" customWidth="1"/>
    <col min="2825" max="2825" width="12.7109375" style="341" customWidth="1"/>
    <col min="2826" max="2828" width="9.140625" style="341"/>
    <col min="2829" max="2829" width="9.140625" style="341" customWidth="1"/>
    <col min="2830" max="3073" width="9.140625" style="341"/>
    <col min="3074" max="3074" width="15.85546875" style="341" customWidth="1"/>
    <col min="3075" max="3075" width="10.85546875" style="341" customWidth="1"/>
    <col min="3076" max="3076" width="10.140625" style="341" bestFit="1" customWidth="1"/>
    <col min="3077" max="3078" width="9.140625" style="341" customWidth="1"/>
    <col min="3079" max="3079" width="9.140625" style="341"/>
    <col min="3080" max="3080" width="10.85546875" style="341" customWidth="1"/>
    <col min="3081" max="3081" width="12.7109375" style="341" customWidth="1"/>
    <col min="3082" max="3084" width="9.140625" style="341"/>
    <col min="3085" max="3085" width="9.140625" style="341" customWidth="1"/>
    <col min="3086" max="3329" width="9.140625" style="341"/>
    <col min="3330" max="3330" width="15.85546875" style="341" customWidth="1"/>
    <col min="3331" max="3331" width="10.85546875" style="341" customWidth="1"/>
    <col min="3332" max="3332" width="10.140625" style="341" bestFit="1" customWidth="1"/>
    <col min="3333" max="3334" width="9.140625" style="341" customWidth="1"/>
    <col min="3335" max="3335" width="9.140625" style="341"/>
    <col min="3336" max="3336" width="10.85546875" style="341" customWidth="1"/>
    <col min="3337" max="3337" width="12.7109375" style="341" customWidth="1"/>
    <col min="3338" max="3340" width="9.140625" style="341"/>
    <col min="3341" max="3341" width="9.140625" style="341" customWidth="1"/>
    <col min="3342" max="3585" width="9.140625" style="341"/>
    <col min="3586" max="3586" width="15.85546875" style="341" customWidth="1"/>
    <col min="3587" max="3587" width="10.85546875" style="341" customWidth="1"/>
    <col min="3588" max="3588" width="10.140625" style="341" bestFit="1" customWidth="1"/>
    <col min="3589" max="3590" width="9.140625" style="341" customWidth="1"/>
    <col min="3591" max="3591" width="9.140625" style="341"/>
    <col min="3592" max="3592" width="10.85546875" style="341" customWidth="1"/>
    <col min="3593" max="3593" width="12.7109375" style="341" customWidth="1"/>
    <col min="3594" max="3596" width="9.140625" style="341"/>
    <col min="3597" max="3597" width="9.140625" style="341" customWidth="1"/>
    <col min="3598" max="3841" width="9.140625" style="341"/>
    <col min="3842" max="3842" width="15.85546875" style="341" customWidth="1"/>
    <col min="3843" max="3843" width="10.85546875" style="341" customWidth="1"/>
    <col min="3844" max="3844" width="10.140625" style="341" bestFit="1" customWidth="1"/>
    <col min="3845" max="3846" width="9.140625" style="341" customWidth="1"/>
    <col min="3847" max="3847" width="9.140625" style="341"/>
    <col min="3848" max="3848" width="10.85546875" style="341" customWidth="1"/>
    <col min="3849" max="3849" width="12.7109375" style="341" customWidth="1"/>
    <col min="3850" max="3852" width="9.140625" style="341"/>
    <col min="3853" max="3853" width="9.140625" style="341" customWidth="1"/>
    <col min="3854" max="4097" width="9.140625" style="341"/>
    <col min="4098" max="4098" width="15.85546875" style="341" customWidth="1"/>
    <col min="4099" max="4099" width="10.85546875" style="341" customWidth="1"/>
    <col min="4100" max="4100" width="10.140625" style="341" bestFit="1" customWidth="1"/>
    <col min="4101" max="4102" width="9.140625" style="341" customWidth="1"/>
    <col min="4103" max="4103" width="9.140625" style="341"/>
    <col min="4104" max="4104" width="10.85546875" style="341" customWidth="1"/>
    <col min="4105" max="4105" width="12.7109375" style="341" customWidth="1"/>
    <col min="4106" max="4108" width="9.140625" style="341"/>
    <col min="4109" max="4109" width="9.140625" style="341" customWidth="1"/>
    <col min="4110" max="4353" width="9.140625" style="341"/>
    <col min="4354" max="4354" width="15.85546875" style="341" customWidth="1"/>
    <col min="4355" max="4355" width="10.85546875" style="341" customWidth="1"/>
    <col min="4356" max="4356" width="10.140625" style="341" bestFit="1" customWidth="1"/>
    <col min="4357" max="4358" width="9.140625" style="341" customWidth="1"/>
    <col min="4359" max="4359" width="9.140625" style="341"/>
    <col min="4360" max="4360" width="10.85546875" style="341" customWidth="1"/>
    <col min="4361" max="4361" width="12.7109375" style="341" customWidth="1"/>
    <col min="4362" max="4364" width="9.140625" style="341"/>
    <col min="4365" max="4365" width="9.140625" style="341" customWidth="1"/>
    <col min="4366" max="4609" width="9.140625" style="341"/>
    <col min="4610" max="4610" width="15.85546875" style="341" customWidth="1"/>
    <col min="4611" max="4611" width="10.85546875" style="341" customWidth="1"/>
    <col min="4612" max="4612" width="10.140625" style="341" bestFit="1" customWidth="1"/>
    <col min="4613" max="4614" width="9.140625" style="341" customWidth="1"/>
    <col min="4615" max="4615" width="9.140625" style="341"/>
    <col min="4616" max="4616" width="10.85546875" style="341" customWidth="1"/>
    <col min="4617" max="4617" width="12.7109375" style="341" customWidth="1"/>
    <col min="4618" max="4620" width="9.140625" style="341"/>
    <col min="4621" max="4621" width="9.140625" style="341" customWidth="1"/>
    <col min="4622" max="4865" width="9.140625" style="341"/>
    <col min="4866" max="4866" width="15.85546875" style="341" customWidth="1"/>
    <col min="4867" max="4867" width="10.85546875" style="341" customWidth="1"/>
    <col min="4868" max="4868" width="10.140625" style="341" bestFit="1" customWidth="1"/>
    <col min="4869" max="4870" width="9.140625" style="341" customWidth="1"/>
    <col min="4871" max="4871" width="9.140625" style="341"/>
    <col min="4872" max="4872" width="10.85546875" style="341" customWidth="1"/>
    <col min="4873" max="4873" width="12.7109375" style="341" customWidth="1"/>
    <col min="4874" max="4876" width="9.140625" style="341"/>
    <col min="4877" max="4877" width="9.140625" style="341" customWidth="1"/>
    <col min="4878" max="5121" width="9.140625" style="341"/>
    <col min="5122" max="5122" width="15.85546875" style="341" customWidth="1"/>
    <col min="5123" max="5123" width="10.85546875" style="341" customWidth="1"/>
    <col min="5124" max="5124" width="10.140625" style="341" bestFit="1" customWidth="1"/>
    <col min="5125" max="5126" width="9.140625" style="341" customWidth="1"/>
    <col min="5127" max="5127" width="9.140625" style="341"/>
    <col min="5128" max="5128" width="10.85546875" style="341" customWidth="1"/>
    <col min="5129" max="5129" width="12.7109375" style="341" customWidth="1"/>
    <col min="5130" max="5132" width="9.140625" style="341"/>
    <col min="5133" max="5133" width="9.140625" style="341" customWidth="1"/>
    <col min="5134" max="5377" width="9.140625" style="341"/>
    <col min="5378" max="5378" width="15.85546875" style="341" customWidth="1"/>
    <col min="5379" max="5379" width="10.85546875" style="341" customWidth="1"/>
    <col min="5380" max="5380" width="10.140625" style="341" bestFit="1" customWidth="1"/>
    <col min="5381" max="5382" width="9.140625" style="341" customWidth="1"/>
    <col min="5383" max="5383" width="9.140625" style="341"/>
    <col min="5384" max="5384" width="10.85546875" style="341" customWidth="1"/>
    <col min="5385" max="5385" width="12.7109375" style="341" customWidth="1"/>
    <col min="5386" max="5388" width="9.140625" style="341"/>
    <col min="5389" max="5389" width="9.140625" style="341" customWidth="1"/>
    <col min="5390" max="5633" width="9.140625" style="341"/>
    <col min="5634" max="5634" width="15.85546875" style="341" customWidth="1"/>
    <col min="5635" max="5635" width="10.85546875" style="341" customWidth="1"/>
    <col min="5636" max="5636" width="10.140625" style="341" bestFit="1" customWidth="1"/>
    <col min="5637" max="5638" width="9.140625" style="341" customWidth="1"/>
    <col min="5639" max="5639" width="9.140625" style="341"/>
    <col min="5640" max="5640" width="10.85546875" style="341" customWidth="1"/>
    <col min="5641" max="5641" width="12.7109375" style="341" customWidth="1"/>
    <col min="5642" max="5644" width="9.140625" style="341"/>
    <col min="5645" max="5645" width="9.140625" style="341" customWidth="1"/>
    <col min="5646" max="5889" width="9.140625" style="341"/>
    <col min="5890" max="5890" width="15.85546875" style="341" customWidth="1"/>
    <col min="5891" max="5891" width="10.85546875" style="341" customWidth="1"/>
    <col min="5892" max="5892" width="10.140625" style="341" bestFit="1" customWidth="1"/>
    <col min="5893" max="5894" width="9.140625" style="341" customWidth="1"/>
    <col min="5895" max="5895" width="9.140625" style="341"/>
    <col min="5896" max="5896" width="10.85546875" style="341" customWidth="1"/>
    <col min="5897" max="5897" width="12.7109375" style="341" customWidth="1"/>
    <col min="5898" max="5900" width="9.140625" style="341"/>
    <col min="5901" max="5901" width="9.140625" style="341" customWidth="1"/>
    <col min="5902" max="6145" width="9.140625" style="341"/>
    <col min="6146" max="6146" width="15.85546875" style="341" customWidth="1"/>
    <col min="6147" max="6147" width="10.85546875" style="341" customWidth="1"/>
    <col min="6148" max="6148" width="10.140625" style="341" bestFit="1" customWidth="1"/>
    <col min="6149" max="6150" width="9.140625" style="341" customWidth="1"/>
    <col min="6151" max="6151" width="9.140625" style="341"/>
    <col min="6152" max="6152" width="10.85546875" style="341" customWidth="1"/>
    <col min="6153" max="6153" width="12.7109375" style="341" customWidth="1"/>
    <col min="6154" max="6156" width="9.140625" style="341"/>
    <col min="6157" max="6157" width="9.140625" style="341" customWidth="1"/>
    <col min="6158" max="6401" width="9.140625" style="341"/>
    <col min="6402" max="6402" width="15.85546875" style="341" customWidth="1"/>
    <col min="6403" max="6403" width="10.85546875" style="341" customWidth="1"/>
    <col min="6404" max="6404" width="10.140625" style="341" bestFit="1" customWidth="1"/>
    <col min="6405" max="6406" width="9.140625" style="341" customWidth="1"/>
    <col min="6407" max="6407" width="9.140625" style="341"/>
    <col min="6408" max="6408" width="10.85546875" style="341" customWidth="1"/>
    <col min="6409" max="6409" width="12.7109375" style="341" customWidth="1"/>
    <col min="6410" max="6412" width="9.140625" style="341"/>
    <col min="6413" max="6413" width="9.140625" style="341" customWidth="1"/>
    <col min="6414" max="6657" width="9.140625" style="341"/>
    <col min="6658" max="6658" width="15.85546875" style="341" customWidth="1"/>
    <col min="6659" max="6659" width="10.85546875" style="341" customWidth="1"/>
    <col min="6660" max="6660" width="10.140625" style="341" bestFit="1" customWidth="1"/>
    <col min="6661" max="6662" width="9.140625" style="341" customWidth="1"/>
    <col min="6663" max="6663" width="9.140625" style="341"/>
    <col min="6664" max="6664" width="10.85546875" style="341" customWidth="1"/>
    <col min="6665" max="6665" width="12.7109375" style="341" customWidth="1"/>
    <col min="6666" max="6668" width="9.140625" style="341"/>
    <col min="6669" max="6669" width="9.140625" style="341" customWidth="1"/>
    <col min="6670" max="6913" width="9.140625" style="341"/>
    <col min="6914" max="6914" width="15.85546875" style="341" customWidth="1"/>
    <col min="6915" max="6915" width="10.85546875" style="341" customWidth="1"/>
    <col min="6916" max="6916" width="10.140625" style="341" bestFit="1" customWidth="1"/>
    <col min="6917" max="6918" width="9.140625" style="341" customWidth="1"/>
    <col min="6919" max="6919" width="9.140625" style="341"/>
    <col min="6920" max="6920" width="10.85546875" style="341" customWidth="1"/>
    <col min="6921" max="6921" width="12.7109375" style="341" customWidth="1"/>
    <col min="6922" max="6924" width="9.140625" style="341"/>
    <col min="6925" max="6925" width="9.140625" style="341" customWidth="1"/>
    <col min="6926" max="7169" width="9.140625" style="341"/>
    <col min="7170" max="7170" width="15.85546875" style="341" customWidth="1"/>
    <col min="7171" max="7171" width="10.85546875" style="341" customWidth="1"/>
    <col min="7172" max="7172" width="10.140625" style="341" bestFit="1" customWidth="1"/>
    <col min="7173" max="7174" width="9.140625" style="341" customWidth="1"/>
    <col min="7175" max="7175" width="9.140625" style="341"/>
    <col min="7176" max="7176" width="10.85546875" style="341" customWidth="1"/>
    <col min="7177" max="7177" width="12.7109375" style="341" customWidth="1"/>
    <col min="7178" max="7180" width="9.140625" style="341"/>
    <col min="7181" max="7181" width="9.140625" style="341" customWidth="1"/>
    <col min="7182" max="7425" width="9.140625" style="341"/>
    <col min="7426" max="7426" width="15.85546875" style="341" customWidth="1"/>
    <col min="7427" max="7427" width="10.85546875" style="341" customWidth="1"/>
    <col min="7428" max="7428" width="10.140625" style="341" bestFit="1" customWidth="1"/>
    <col min="7429" max="7430" width="9.140625" style="341" customWidth="1"/>
    <col min="7431" max="7431" width="9.140625" style="341"/>
    <col min="7432" max="7432" width="10.85546875" style="341" customWidth="1"/>
    <col min="7433" max="7433" width="12.7109375" style="341" customWidth="1"/>
    <col min="7434" max="7436" width="9.140625" style="341"/>
    <col min="7437" max="7437" width="9.140625" style="341" customWidth="1"/>
    <col min="7438" max="7681" width="9.140625" style="341"/>
    <col min="7682" max="7682" width="15.85546875" style="341" customWidth="1"/>
    <col min="7683" max="7683" width="10.85546875" style="341" customWidth="1"/>
    <col min="7684" max="7684" width="10.140625" style="341" bestFit="1" customWidth="1"/>
    <col min="7685" max="7686" width="9.140625" style="341" customWidth="1"/>
    <col min="7687" max="7687" width="9.140625" style="341"/>
    <col min="7688" max="7688" width="10.85546875" style="341" customWidth="1"/>
    <col min="7689" max="7689" width="12.7109375" style="341" customWidth="1"/>
    <col min="7690" max="7692" width="9.140625" style="341"/>
    <col min="7693" max="7693" width="9.140625" style="341" customWidth="1"/>
    <col min="7694" max="7937" width="9.140625" style="341"/>
    <col min="7938" max="7938" width="15.85546875" style="341" customWidth="1"/>
    <col min="7939" max="7939" width="10.85546875" style="341" customWidth="1"/>
    <col min="7940" max="7940" width="10.140625" style="341" bestFit="1" customWidth="1"/>
    <col min="7941" max="7942" width="9.140625" style="341" customWidth="1"/>
    <col min="7943" max="7943" width="9.140625" style="341"/>
    <col min="7944" max="7944" width="10.85546875" style="341" customWidth="1"/>
    <col min="7945" max="7945" width="12.7109375" style="341" customWidth="1"/>
    <col min="7946" max="7948" width="9.140625" style="341"/>
    <col min="7949" max="7949" width="9.140625" style="341" customWidth="1"/>
    <col min="7950" max="8193" width="9.140625" style="341"/>
    <col min="8194" max="8194" width="15.85546875" style="341" customWidth="1"/>
    <col min="8195" max="8195" width="10.85546875" style="341" customWidth="1"/>
    <col min="8196" max="8196" width="10.140625" style="341" bestFit="1" customWidth="1"/>
    <col min="8197" max="8198" width="9.140625" style="341" customWidth="1"/>
    <col min="8199" max="8199" width="9.140625" style="341"/>
    <col min="8200" max="8200" width="10.85546875" style="341" customWidth="1"/>
    <col min="8201" max="8201" width="12.7109375" style="341" customWidth="1"/>
    <col min="8202" max="8204" width="9.140625" style="341"/>
    <col min="8205" max="8205" width="9.140625" style="341" customWidth="1"/>
    <col min="8206" max="8449" width="9.140625" style="341"/>
    <col min="8450" max="8450" width="15.85546875" style="341" customWidth="1"/>
    <col min="8451" max="8451" width="10.85546875" style="341" customWidth="1"/>
    <col min="8452" max="8452" width="10.140625" style="341" bestFit="1" customWidth="1"/>
    <col min="8453" max="8454" width="9.140625" style="341" customWidth="1"/>
    <col min="8455" max="8455" width="9.140625" style="341"/>
    <col min="8456" max="8456" width="10.85546875" style="341" customWidth="1"/>
    <col min="8457" max="8457" width="12.7109375" style="341" customWidth="1"/>
    <col min="8458" max="8460" width="9.140625" style="341"/>
    <col min="8461" max="8461" width="9.140625" style="341" customWidth="1"/>
    <col min="8462" max="8705" width="9.140625" style="341"/>
    <col min="8706" max="8706" width="15.85546875" style="341" customWidth="1"/>
    <col min="8707" max="8707" width="10.85546875" style="341" customWidth="1"/>
    <col min="8708" max="8708" width="10.140625" style="341" bestFit="1" customWidth="1"/>
    <col min="8709" max="8710" width="9.140625" style="341" customWidth="1"/>
    <col min="8711" max="8711" width="9.140625" style="341"/>
    <col min="8712" max="8712" width="10.85546875" style="341" customWidth="1"/>
    <col min="8713" max="8713" width="12.7109375" style="341" customWidth="1"/>
    <col min="8714" max="8716" width="9.140625" style="341"/>
    <col min="8717" max="8717" width="9.140625" style="341" customWidth="1"/>
    <col min="8718" max="8961" width="9.140625" style="341"/>
    <col min="8962" max="8962" width="15.85546875" style="341" customWidth="1"/>
    <col min="8963" max="8963" width="10.85546875" style="341" customWidth="1"/>
    <col min="8964" max="8964" width="10.140625" style="341" bestFit="1" customWidth="1"/>
    <col min="8965" max="8966" width="9.140625" style="341" customWidth="1"/>
    <col min="8967" max="8967" width="9.140625" style="341"/>
    <col min="8968" max="8968" width="10.85546875" style="341" customWidth="1"/>
    <col min="8969" max="8969" width="12.7109375" style="341" customWidth="1"/>
    <col min="8970" max="8972" width="9.140625" style="341"/>
    <col min="8973" max="8973" width="9.140625" style="341" customWidth="1"/>
    <col min="8974" max="9217" width="9.140625" style="341"/>
    <col min="9218" max="9218" width="15.85546875" style="341" customWidth="1"/>
    <col min="9219" max="9219" width="10.85546875" style="341" customWidth="1"/>
    <col min="9220" max="9220" width="10.140625" style="341" bestFit="1" customWidth="1"/>
    <col min="9221" max="9222" width="9.140625" style="341" customWidth="1"/>
    <col min="9223" max="9223" width="9.140625" style="341"/>
    <col min="9224" max="9224" width="10.85546875" style="341" customWidth="1"/>
    <col min="9225" max="9225" width="12.7109375" style="341" customWidth="1"/>
    <col min="9226" max="9228" width="9.140625" style="341"/>
    <col min="9229" max="9229" width="9.140625" style="341" customWidth="1"/>
    <col min="9230" max="9473" width="9.140625" style="341"/>
    <col min="9474" max="9474" width="15.85546875" style="341" customWidth="1"/>
    <col min="9475" max="9475" width="10.85546875" style="341" customWidth="1"/>
    <col min="9476" max="9476" width="10.140625" style="341" bestFit="1" customWidth="1"/>
    <col min="9477" max="9478" width="9.140625" style="341" customWidth="1"/>
    <col min="9479" max="9479" width="9.140625" style="341"/>
    <col min="9480" max="9480" width="10.85546875" style="341" customWidth="1"/>
    <col min="9481" max="9481" width="12.7109375" style="341" customWidth="1"/>
    <col min="9482" max="9484" width="9.140625" style="341"/>
    <col min="9485" max="9485" width="9.140625" style="341" customWidth="1"/>
    <col min="9486" max="9729" width="9.140625" style="341"/>
    <col min="9730" max="9730" width="15.85546875" style="341" customWidth="1"/>
    <col min="9731" max="9731" width="10.85546875" style="341" customWidth="1"/>
    <col min="9732" max="9732" width="10.140625" style="341" bestFit="1" customWidth="1"/>
    <col min="9733" max="9734" width="9.140625" style="341" customWidth="1"/>
    <col min="9735" max="9735" width="9.140625" style="341"/>
    <col min="9736" max="9736" width="10.85546875" style="341" customWidth="1"/>
    <col min="9737" max="9737" width="12.7109375" style="341" customWidth="1"/>
    <col min="9738" max="9740" width="9.140625" style="341"/>
    <col min="9741" max="9741" width="9.140625" style="341" customWidth="1"/>
    <col min="9742" max="9985" width="9.140625" style="341"/>
    <col min="9986" max="9986" width="15.85546875" style="341" customWidth="1"/>
    <col min="9987" max="9987" width="10.85546875" style="341" customWidth="1"/>
    <col min="9988" max="9988" width="10.140625" style="341" bestFit="1" customWidth="1"/>
    <col min="9989" max="9990" width="9.140625" style="341" customWidth="1"/>
    <col min="9991" max="9991" width="9.140625" style="341"/>
    <col min="9992" max="9992" width="10.85546875" style="341" customWidth="1"/>
    <col min="9993" max="9993" width="12.7109375" style="341" customWidth="1"/>
    <col min="9994" max="9996" width="9.140625" style="341"/>
    <col min="9997" max="9997" width="9.140625" style="341" customWidth="1"/>
    <col min="9998" max="10241" width="9.140625" style="341"/>
    <col min="10242" max="10242" width="15.85546875" style="341" customWidth="1"/>
    <col min="10243" max="10243" width="10.85546875" style="341" customWidth="1"/>
    <col min="10244" max="10244" width="10.140625" style="341" bestFit="1" customWidth="1"/>
    <col min="10245" max="10246" width="9.140625" style="341" customWidth="1"/>
    <col min="10247" max="10247" width="9.140625" style="341"/>
    <col min="10248" max="10248" width="10.85546875" style="341" customWidth="1"/>
    <col min="10249" max="10249" width="12.7109375" style="341" customWidth="1"/>
    <col min="10250" max="10252" width="9.140625" style="341"/>
    <col min="10253" max="10253" width="9.140625" style="341" customWidth="1"/>
    <col min="10254" max="10497" width="9.140625" style="341"/>
    <col min="10498" max="10498" width="15.85546875" style="341" customWidth="1"/>
    <col min="10499" max="10499" width="10.85546875" style="341" customWidth="1"/>
    <col min="10500" max="10500" width="10.140625" style="341" bestFit="1" customWidth="1"/>
    <col min="10501" max="10502" width="9.140625" style="341" customWidth="1"/>
    <col min="10503" max="10503" width="9.140625" style="341"/>
    <col min="10504" max="10504" width="10.85546875" style="341" customWidth="1"/>
    <col min="10505" max="10505" width="12.7109375" style="341" customWidth="1"/>
    <col min="10506" max="10508" width="9.140625" style="341"/>
    <col min="10509" max="10509" width="9.140625" style="341" customWidth="1"/>
    <col min="10510" max="10753" width="9.140625" style="341"/>
    <col min="10754" max="10754" width="15.85546875" style="341" customWidth="1"/>
    <col min="10755" max="10755" width="10.85546875" style="341" customWidth="1"/>
    <col min="10756" max="10756" width="10.140625" style="341" bestFit="1" customWidth="1"/>
    <col min="10757" max="10758" width="9.140625" style="341" customWidth="1"/>
    <col min="10759" max="10759" width="9.140625" style="341"/>
    <col min="10760" max="10760" width="10.85546875" style="341" customWidth="1"/>
    <col min="10761" max="10761" width="12.7109375" style="341" customWidth="1"/>
    <col min="10762" max="10764" width="9.140625" style="341"/>
    <col min="10765" max="10765" width="9.140625" style="341" customWidth="1"/>
    <col min="10766" max="11009" width="9.140625" style="341"/>
    <col min="11010" max="11010" width="15.85546875" style="341" customWidth="1"/>
    <col min="11011" max="11011" width="10.85546875" style="341" customWidth="1"/>
    <col min="11012" max="11012" width="10.140625" style="341" bestFit="1" customWidth="1"/>
    <col min="11013" max="11014" width="9.140625" style="341" customWidth="1"/>
    <col min="11015" max="11015" width="9.140625" style="341"/>
    <col min="11016" max="11016" width="10.85546875" style="341" customWidth="1"/>
    <col min="11017" max="11017" width="12.7109375" style="341" customWidth="1"/>
    <col min="11018" max="11020" width="9.140625" style="341"/>
    <col min="11021" max="11021" width="9.140625" style="341" customWidth="1"/>
    <col min="11022" max="11265" width="9.140625" style="341"/>
    <col min="11266" max="11266" width="15.85546875" style="341" customWidth="1"/>
    <col min="11267" max="11267" width="10.85546875" style="341" customWidth="1"/>
    <col min="11268" max="11268" width="10.140625" style="341" bestFit="1" customWidth="1"/>
    <col min="11269" max="11270" width="9.140625" style="341" customWidth="1"/>
    <col min="11271" max="11271" width="9.140625" style="341"/>
    <col min="11272" max="11272" width="10.85546875" style="341" customWidth="1"/>
    <col min="11273" max="11273" width="12.7109375" style="341" customWidth="1"/>
    <col min="11274" max="11276" width="9.140625" style="341"/>
    <col min="11277" max="11277" width="9.140625" style="341" customWidth="1"/>
    <col min="11278" max="11521" width="9.140625" style="341"/>
    <col min="11522" max="11522" width="15.85546875" style="341" customWidth="1"/>
    <col min="11523" max="11523" width="10.85546875" style="341" customWidth="1"/>
    <col min="11524" max="11524" width="10.140625" style="341" bestFit="1" customWidth="1"/>
    <col min="11525" max="11526" width="9.140625" style="341" customWidth="1"/>
    <col min="11527" max="11527" width="9.140625" style="341"/>
    <col min="11528" max="11528" width="10.85546875" style="341" customWidth="1"/>
    <col min="11529" max="11529" width="12.7109375" style="341" customWidth="1"/>
    <col min="11530" max="11532" width="9.140625" style="341"/>
    <col min="11533" max="11533" width="9.140625" style="341" customWidth="1"/>
    <col min="11534" max="11777" width="9.140625" style="341"/>
    <col min="11778" max="11778" width="15.85546875" style="341" customWidth="1"/>
    <col min="11779" max="11779" width="10.85546875" style="341" customWidth="1"/>
    <col min="11780" max="11780" width="10.140625" style="341" bestFit="1" customWidth="1"/>
    <col min="11781" max="11782" width="9.140625" style="341" customWidth="1"/>
    <col min="11783" max="11783" width="9.140625" style="341"/>
    <col min="11784" max="11784" width="10.85546875" style="341" customWidth="1"/>
    <col min="11785" max="11785" width="12.7109375" style="341" customWidth="1"/>
    <col min="11786" max="11788" width="9.140625" style="341"/>
    <col min="11789" max="11789" width="9.140625" style="341" customWidth="1"/>
    <col min="11790" max="12033" width="9.140625" style="341"/>
    <col min="12034" max="12034" width="15.85546875" style="341" customWidth="1"/>
    <col min="12035" max="12035" width="10.85546875" style="341" customWidth="1"/>
    <col min="12036" max="12036" width="10.140625" style="341" bestFit="1" customWidth="1"/>
    <col min="12037" max="12038" width="9.140625" style="341" customWidth="1"/>
    <col min="12039" max="12039" width="9.140625" style="341"/>
    <col min="12040" max="12040" width="10.85546875" style="341" customWidth="1"/>
    <col min="12041" max="12041" width="12.7109375" style="341" customWidth="1"/>
    <col min="12042" max="12044" width="9.140625" style="341"/>
    <col min="12045" max="12045" width="9.140625" style="341" customWidth="1"/>
    <col min="12046" max="12289" width="9.140625" style="341"/>
    <col min="12290" max="12290" width="15.85546875" style="341" customWidth="1"/>
    <col min="12291" max="12291" width="10.85546875" style="341" customWidth="1"/>
    <col min="12292" max="12292" width="10.140625" style="341" bestFit="1" customWidth="1"/>
    <col min="12293" max="12294" width="9.140625" style="341" customWidth="1"/>
    <col min="12295" max="12295" width="9.140625" style="341"/>
    <col min="12296" max="12296" width="10.85546875" style="341" customWidth="1"/>
    <col min="12297" max="12297" width="12.7109375" style="341" customWidth="1"/>
    <col min="12298" max="12300" width="9.140625" style="341"/>
    <col min="12301" max="12301" width="9.140625" style="341" customWidth="1"/>
    <col min="12302" max="12545" width="9.140625" style="341"/>
    <col min="12546" max="12546" width="15.85546875" style="341" customWidth="1"/>
    <col min="12547" max="12547" width="10.85546875" style="341" customWidth="1"/>
    <col min="12548" max="12548" width="10.140625" style="341" bestFit="1" customWidth="1"/>
    <col min="12549" max="12550" width="9.140625" style="341" customWidth="1"/>
    <col min="12551" max="12551" width="9.140625" style="341"/>
    <col min="12552" max="12552" width="10.85546875" style="341" customWidth="1"/>
    <col min="12553" max="12553" width="12.7109375" style="341" customWidth="1"/>
    <col min="12554" max="12556" width="9.140625" style="341"/>
    <col min="12557" max="12557" width="9.140625" style="341" customWidth="1"/>
    <col min="12558" max="12801" width="9.140625" style="341"/>
    <col min="12802" max="12802" width="15.85546875" style="341" customWidth="1"/>
    <col min="12803" max="12803" width="10.85546875" style="341" customWidth="1"/>
    <col min="12804" max="12804" width="10.140625" style="341" bestFit="1" customWidth="1"/>
    <col min="12805" max="12806" width="9.140625" style="341" customWidth="1"/>
    <col min="12807" max="12807" width="9.140625" style="341"/>
    <col min="12808" max="12808" width="10.85546875" style="341" customWidth="1"/>
    <col min="12809" max="12809" width="12.7109375" style="341" customWidth="1"/>
    <col min="12810" max="12812" width="9.140625" style="341"/>
    <col min="12813" max="12813" width="9.140625" style="341" customWidth="1"/>
    <col min="12814" max="13057" width="9.140625" style="341"/>
    <col min="13058" max="13058" width="15.85546875" style="341" customWidth="1"/>
    <col min="13059" max="13059" width="10.85546875" style="341" customWidth="1"/>
    <col min="13060" max="13060" width="10.140625" style="341" bestFit="1" customWidth="1"/>
    <col min="13061" max="13062" width="9.140625" style="341" customWidth="1"/>
    <col min="13063" max="13063" width="9.140625" style="341"/>
    <col min="13064" max="13064" width="10.85546875" style="341" customWidth="1"/>
    <col min="13065" max="13065" width="12.7109375" style="341" customWidth="1"/>
    <col min="13066" max="13068" width="9.140625" style="341"/>
    <col min="13069" max="13069" width="9.140625" style="341" customWidth="1"/>
    <col min="13070" max="13313" width="9.140625" style="341"/>
    <col min="13314" max="13314" width="15.85546875" style="341" customWidth="1"/>
    <col min="13315" max="13315" width="10.85546875" style="341" customWidth="1"/>
    <col min="13316" max="13316" width="10.140625" style="341" bestFit="1" customWidth="1"/>
    <col min="13317" max="13318" width="9.140625" style="341" customWidth="1"/>
    <col min="13319" max="13319" width="9.140625" style="341"/>
    <col min="13320" max="13320" width="10.85546875" style="341" customWidth="1"/>
    <col min="13321" max="13321" width="12.7109375" style="341" customWidth="1"/>
    <col min="13322" max="13324" width="9.140625" style="341"/>
    <col min="13325" max="13325" width="9.140625" style="341" customWidth="1"/>
    <col min="13326" max="13569" width="9.140625" style="341"/>
    <col min="13570" max="13570" width="15.85546875" style="341" customWidth="1"/>
    <col min="13571" max="13571" width="10.85546875" style="341" customWidth="1"/>
    <col min="13572" max="13572" width="10.140625" style="341" bestFit="1" customWidth="1"/>
    <col min="13573" max="13574" width="9.140625" style="341" customWidth="1"/>
    <col min="13575" max="13575" width="9.140625" style="341"/>
    <col min="13576" max="13576" width="10.85546875" style="341" customWidth="1"/>
    <col min="13577" max="13577" width="12.7109375" style="341" customWidth="1"/>
    <col min="13578" max="13580" width="9.140625" style="341"/>
    <col min="13581" max="13581" width="9.140625" style="341" customWidth="1"/>
    <col min="13582" max="13825" width="9.140625" style="341"/>
    <col min="13826" max="13826" width="15.85546875" style="341" customWidth="1"/>
    <col min="13827" max="13827" width="10.85546875" style="341" customWidth="1"/>
    <col min="13828" max="13828" width="10.140625" style="341" bestFit="1" customWidth="1"/>
    <col min="13829" max="13830" width="9.140625" style="341" customWidth="1"/>
    <col min="13831" max="13831" width="9.140625" style="341"/>
    <col min="13832" max="13832" width="10.85546875" style="341" customWidth="1"/>
    <col min="13833" max="13833" width="12.7109375" style="341" customWidth="1"/>
    <col min="13834" max="13836" width="9.140625" style="341"/>
    <col min="13837" max="13837" width="9.140625" style="341" customWidth="1"/>
    <col min="13838" max="14081" width="9.140625" style="341"/>
    <col min="14082" max="14082" width="15.85546875" style="341" customWidth="1"/>
    <col min="14083" max="14083" width="10.85546875" style="341" customWidth="1"/>
    <col min="14084" max="14084" width="10.140625" style="341" bestFit="1" customWidth="1"/>
    <col min="14085" max="14086" width="9.140625" style="341" customWidth="1"/>
    <col min="14087" max="14087" width="9.140625" style="341"/>
    <col min="14088" max="14088" width="10.85546875" style="341" customWidth="1"/>
    <col min="14089" max="14089" width="12.7109375" style="341" customWidth="1"/>
    <col min="14090" max="14092" width="9.140625" style="341"/>
    <col min="14093" max="14093" width="9.140625" style="341" customWidth="1"/>
    <col min="14094" max="14337" width="9.140625" style="341"/>
    <col min="14338" max="14338" width="15.85546875" style="341" customWidth="1"/>
    <col min="14339" max="14339" width="10.85546875" style="341" customWidth="1"/>
    <col min="14340" max="14340" width="10.140625" style="341" bestFit="1" customWidth="1"/>
    <col min="14341" max="14342" width="9.140625" style="341" customWidth="1"/>
    <col min="14343" max="14343" width="9.140625" style="341"/>
    <col min="14344" max="14344" width="10.85546875" style="341" customWidth="1"/>
    <col min="14345" max="14345" width="12.7109375" style="341" customWidth="1"/>
    <col min="14346" max="14348" width="9.140625" style="341"/>
    <col min="14349" max="14349" width="9.140625" style="341" customWidth="1"/>
    <col min="14350" max="14593" width="9.140625" style="341"/>
    <col min="14594" max="14594" width="15.85546875" style="341" customWidth="1"/>
    <col min="14595" max="14595" width="10.85546875" style="341" customWidth="1"/>
    <col min="14596" max="14596" width="10.140625" style="341" bestFit="1" customWidth="1"/>
    <col min="14597" max="14598" width="9.140625" style="341" customWidth="1"/>
    <col min="14599" max="14599" width="9.140625" style="341"/>
    <col min="14600" max="14600" width="10.85546875" style="341" customWidth="1"/>
    <col min="14601" max="14601" width="12.7109375" style="341" customWidth="1"/>
    <col min="14602" max="14604" width="9.140625" style="341"/>
    <col min="14605" max="14605" width="9.140625" style="341" customWidth="1"/>
    <col min="14606" max="14849" width="9.140625" style="341"/>
    <col min="14850" max="14850" width="15.85546875" style="341" customWidth="1"/>
    <col min="14851" max="14851" width="10.85546875" style="341" customWidth="1"/>
    <col min="14852" max="14852" width="10.140625" style="341" bestFit="1" customWidth="1"/>
    <col min="14853" max="14854" width="9.140625" style="341" customWidth="1"/>
    <col min="14855" max="14855" width="9.140625" style="341"/>
    <col min="14856" max="14856" width="10.85546875" style="341" customWidth="1"/>
    <col min="14857" max="14857" width="12.7109375" style="341" customWidth="1"/>
    <col min="14858" max="14860" width="9.140625" style="341"/>
    <col min="14861" max="14861" width="9.140625" style="341" customWidth="1"/>
    <col min="14862" max="15105" width="9.140625" style="341"/>
    <col min="15106" max="15106" width="15.85546875" style="341" customWidth="1"/>
    <col min="15107" max="15107" width="10.85546875" style="341" customWidth="1"/>
    <col min="15108" max="15108" width="10.140625" style="341" bestFit="1" customWidth="1"/>
    <col min="15109" max="15110" width="9.140625" style="341" customWidth="1"/>
    <col min="15111" max="15111" width="9.140625" style="341"/>
    <col min="15112" max="15112" width="10.85546875" style="341" customWidth="1"/>
    <col min="15113" max="15113" width="12.7109375" style="341" customWidth="1"/>
    <col min="15114" max="15116" width="9.140625" style="341"/>
    <col min="15117" max="15117" width="9.140625" style="341" customWidth="1"/>
    <col min="15118" max="15361" width="9.140625" style="341"/>
    <col min="15362" max="15362" width="15.85546875" style="341" customWidth="1"/>
    <col min="15363" max="15363" width="10.85546875" style="341" customWidth="1"/>
    <col min="15364" max="15364" width="10.140625" style="341" bestFit="1" customWidth="1"/>
    <col min="15365" max="15366" width="9.140625" style="341" customWidth="1"/>
    <col min="15367" max="15367" width="9.140625" style="341"/>
    <col min="15368" max="15368" width="10.85546875" style="341" customWidth="1"/>
    <col min="15369" max="15369" width="12.7109375" style="341" customWidth="1"/>
    <col min="15370" max="15372" width="9.140625" style="341"/>
    <col min="15373" max="15373" width="9.140625" style="341" customWidth="1"/>
    <col min="15374" max="15617" width="9.140625" style="341"/>
    <col min="15618" max="15618" width="15.85546875" style="341" customWidth="1"/>
    <col min="15619" max="15619" width="10.85546875" style="341" customWidth="1"/>
    <col min="15620" max="15620" width="10.140625" style="341" bestFit="1" customWidth="1"/>
    <col min="15621" max="15622" width="9.140625" style="341" customWidth="1"/>
    <col min="15623" max="15623" width="9.140625" style="341"/>
    <col min="15624" max="15624" width="10.85546875" style="341" customWidth="1"/>
    <col min="15625" max="15625" width="12.7109375" style="341" customWidth="1"/>
    <col min="15626" max="15628" width="9.140625" style="341"/>
    <col min="15629" max="15629" width="9.140625" style="341" customWidth="1"/>
    <col min="15630" max="15873" width="9.140625" style="341"/>
    <col min="15874" max="15874" width="15.85546875" style="341" customWidth="1"/>
    <col min="15875" max="15875" width="10.85546875" style="341" customWidth="1"/>
    <col min="15876" max="15876" width="10.140625" style="341" bestFit="1" customWidth="1"/>
    <col min="15877" max="15878" width="9.140625" style="341" customWidth="1"/>
    <col min="15879" max="15879" width="9.140625" style="341"/>
    <col min="15880" max="15880" width="10.85546875" style="341" customWidth="1"/>
    <col min="15881" max="15881" width="12.7109375" style="341" customWidth="1"/>
    <col min="15882" max="15884" width="9.140625" style="341"/>
    <col min="15885" max="15885" width="9.140625" style="341" customWidth="1"/>
    <col min="15886" max="16129" width="9.140625" style="341"/>
    <col min="16130" max="16130" width="15.85546875" style="341" customWidth="1"/>
    <col min="16131" max="16131" width="10.85546875" style="341" customWidth="1"/>
    <col min="16132" max="16132" width="10.140625" style="341" bestFit="1" customWidth="1"/>
    <col min="16133" max="16134" width="9.140625" style="341" customWidth="1"/>
    <col min="16135" max="16135" width="9.140625" style="341"/>
    <col min="16136" max="16136" width="10.85546875" style="341" customWidth="1"/>
    <col min="16137" max="16137" width="12.7109375" style="341" customWidth="1"/>
    <col min="16138" max="16140" width="9.140625" style="341"/>
    <col min="16141" max="16141" width="9.140625" style="341" customWidth="1"/>
    <col min="16142" max="16384" width="9.140625" style="341"/>
  </cols>
  <sheetData>
    <row r="10" spans="4:4" x14ac:dyDescent="0.2">
      <c r="D10" s="340"/>
    </row>
    <row r="19" spans="13:13" x14ac:dyDescent="0.2">
      <c r="M19" s="1350"/>
    </row>
    <row r="20" spans="13:13" x14ac:dyDescent="0.2">
      <c r="M20" s="1350"/>
    </row>
    <row r="21" spans="13:13" x14ac:dyDescent="0.2">
      <c r="M21" s="1350"/>
    </row>
    <row r="22" spans="13:13" x14ac:dyDescent="0.2">
      <c r="M22" s="1350"/>
    </row>
    <row r="24" spans="13:13" ht="13.5" customHeight="1" x14ac:dyDescent="0.2"/>
    <row r="35" spans="1:14" ht="18.75" x14ac:dyDescent="0.2">
      <c r="L35" s="430" t="s">
        <v>1231</v>
      </c>
      <c r="M35" s="430"/>
      <c r="N35" s="430"/>
    </row>
    <row r="36" spans="1:14" s="342" customFormat="1" x14ac:dyDescent="0.2">
      <c r="B36" s="342" t="s">
        <v>735</v>
      </c>
      <c r="F36" s="343"/>
      <c r="G36" s="343"/>
      <c r="H36" s="344" t="s">
        <v>21</v>
      </c>
      <c r="I36" s="341">
        <v>2414.2750999999998</v>
      </c>
      <c r="J36" s="345">
        <f>I36/I42*100</f>
        <v>31.949690027376331</v>
      </c>
      <c r="L36" s="346"/>
    </row>
    <row r="37" spans="1:14" s="342" customFormat="1" ht="13.5" customHeight="1" x14ac:dyDescent="0.2">
      <c r="B37" s="341" t="s">
        <v>29</v>
      </c>
      <c r="C37" s="347">
        <v>3599.558</v>
      </c>
      <c r="D37" s="348">
        <f>C37/C42*100</f>
        <v>47.635318085980636</v>
      </c>
      <c r="F37" s="343"/>
      <c r="G37" s="343"/>
      <c r="H37" s="341" t="s">
        <v>20</v>
      </c>
      <c r="I37" s="341">
        <v>2772.1412</v>
      </c>
      <c r="J37" s="345">
        <f>I37/I42*100</f>
        <v>36.685567461686141</v>
      </c>
      <c r="L37" s="1351"/>
      <c r="M37" s="1351"/>
      <c r="N37" s="1351"/>
    </row>
    <row r="38" spans="1:14" s="342" customFormat="1" x14ac:dyDescent="0.2">
      <c r="B38" s="341" t="s">
        <v>736</v>
      </c>
      <c r="C38" s="347">
        <v>3777.1021999999998</v>
      </c>
      <c r="D38" s="348">
        <f>C38/C42*100</f>
        <v>49.984877237776765</v>
      </c>
      <c r="F38" s="343"/>
      <c r="G38" s="343"/>
      <c r="H38" s="341" t="s">
        <v>22</v>
      </c>
      <c r="I38" s="341">
        <v>357.72559999999999</v>
      </c>
      <c r="J38" s="345">
        <f>I38/I42*100</f>
        <v>4.734018105416907</v>
      </c>
      <c r="L38" s="346"/>
    </row>
    <row r="39" spans="1:14" s="342" customFormat="1" x14ac:dyDescent="0.2">
      <c r="B39" s="341" t="s">
        <v>30</v>
      </c>
      <c r="C39" s="347">
        <v>163.614</v>
      </c>
      <c r="D39" s="348">
        <f>C39/C42*100</f>
        <v>2.1652116546863911</v>
      </c>
      <c r="F39" s="343"/>
      <c r="G39" s="343"/>
      <c r="H39" s="341" t="s">
        <v>23</v>
      </c>
      <c r="I39" s="341">
        <v>941.37739999999997</v>
      </c>
      <c r="J39" s="345">
        <f>I39/I42*100</f>
        <v>12.457866184668624</v>
      </c>
      <c r="L39" s="346"/>
    </row>
    <row r="40" spans="1:14" s="342" customFormat="1" x14ac:dyDescent="0.2">
      <c r="B40" s="341" t="s">
        <v>28</v>
      </c>
      <c r="C40" s="347">
        <v>16.215699999999998</v>
      </c>
      <c r="D40" s="348">
        <f>C40/C42*100</f>
        <v>0.21459302155621224</v>
      </c>
      <c r="F40" s="343"/>
      <c r="G40" s="343"/>
      <c r="H40" s="341" t="s">
        <v>24</v>
      </c>
      <c r="I40" s="341">
        <v>1070.9706000000001</v>
      </c>
      <c r="J40" s="345">
        <f>I40/I42*100</f>
        <v>14.172858220851985</v>
      </c>
      <c r="K40" s="349"/>
      <c r="L40" s="346"/>
    </row>
    <row r="41" spans="1:14" s="342" customFormat="1" x14ac:dyDescent="0.2">
      <c r="C41" s="350"/>
      <c r="D41" s="351"/>
      <c r="F41" s="343"/>
      <c r="G41" s="343"/>
      <c r="H41" s="344"/>
      <c r="I41" s="352"/>
      <c r="J41" s="345"/>
    </row>
    <row r="42" spans="1:14" s="342" customFormat="1" ht="15.75" x14ac:dyDescent="0.2">
      <c r="A42" s="343"/>
      <c r="B42" s="343"/>
      <c r="C42" s="355">
        <f>SUM(C37:C40)</f>
        <v>7556.4898999999996</v>
      </c>
      <c r="D42" s="428">
        <f>SUM(D37:D41)</f>
        <v>100</v>
      </c>
      <c r="E42" s="343"/>
      <c r="F42" s="343"/>
      <c r="G42" s="343"/>
      <c r="H42" s="344"/>
      <c r="I42" s="353">
        <f>SUM(I36:I40)</f>
        <v>7556.4899000000005</v>
      </c>
      <c r="J42" s="354">
        <f>SUM(J36:J40)</f>
        <v>100</v>
      </c>
    </row>
    <row r="43" spans="1:14" s="342" customFormat="1" x14ac:dyDescent="0.2">
      <c r="A43" s="343"/>
      <c r="B43" s="343"/>
      <c r="D43" s="343"/>
      <c r="E43" s="343"/>
      <c r="F43" s="343"/>
      <c r="G43" s="343"/>
      <c r="H43" s="349"/>
      <c r="I43" s="356"/>
      <c r="J43" s="351"/>
    </row>
    <row r="44" spans="1:14" s="342" customFormat="1" x14ac:dyDescent="0.2">
      <c r="A44" s="343"/>
      <c r="B44" s="343"/>
      <c r="D44" s="357"/>
      <c r="E44" s="343"/>
      <c r="F44" s="343"/>
      <c r="G44" s="343"/>
      <c r="H44" s="343"/>
      <c r="I44" s="358"/>
      <c r="J44" s="359"/>
    </row>
    <row r="45" spans="1:14" s="342" customFormat="1" x14ac:dyDescent="0.2">
      <c r="A45" s="343"/>
      <c r="B45" s="343"/>
      <c r="C45" s="343"/>
      <c r="D45" s="359"/>
      <c r="E45" s="343"/>
      <c r="F45" s="343"/>
      <c r="G45" s="343"/>
      <c r="H45" s="343"/>
    </row>
    <row r="46" spans="1:14" s="342" customFormat="1" x14ac:dyDescent="0.2">
      <c r="A46" s="343"/>
      <c r="B46" s="343"/>
      <c r="C46" s="343"/>
      <c r="D46" s="343"/>
      <c r="E46" s="343"/>
      <c r="F46" s="343"/>
      <c r="G46" s="343"/>
      <c r="H46" s="343"/>
      <c r="I46" s="343"/>
      <c r="J46" s="343"/>
    </row>
    <row r="47" spans="1:14" s="342" customFormat="1" x14ac:dyDescent="0.2">
      <c r="A47" s="343"/>
      <c r="B47" s="343"/>
      <c r="C47" s="343"/>
      <c r="D47" s="343"/>
      <c r="E47" s="343"/>
      <c r="F47" s="343"/>
      <c r="G47" s="343"/>
      <c r="H47" s="343"/>
      <c r="I47" s="343"/>
      <c r="J47" s="343"/>
    </row>
    <row r="48" spans="1:14" s="342" customFormat="1" x14ac:dyDescent="0.2">
      <c r="H48" s="341"/>
      <c r="I48" s="341"/>
      <c r="J48" s="341"/>
      <c r="K48" s="341"/>
    </row>
    <row r="49" spans="8:11" s="346" customFormat="1" x14ac:dyDescent="0.2">
      <c r="H49" s="341"/>
      <c r="I49" s="341"/>
      <c r="J49" s="341"/>
      <c r="K49" s="341"/>
    </row>
  </sheetData>
  <mergeCells count="2">
    <mergeCell ref="M19:M22"/>
    <mergeCell ref="L37:N37"/>
  </mergeCells>
  <printOptions horizontalCentered="1"/>
  <pageMargins left="0.59055118110236227" right="0.39370078740157483" top="0.78740157480314965" bottom="0.59055118110236227" header="0.31496062992125984" footer="0.31496062992125984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0"/>
  <sheetViews>
    <sheetView view="pageBreakPreview" zoomScaleNormal="85" zoomScaleSheetLayoutView="100" zoomScalePageLayoutView="220" workbookViewId="0">
      <selection activeCell="A7" sqref="A7:I7"/>
    </sheetView>
  </sheetViews>
  <sheetFormatPr defaultColWidth="9" defaultRowHeight="20.25" x14ac:dyDescent="0.2"/>
  <cols>
    <col min="1" max="1" width="12" style="361" customWidth="1"/>
    <col min="2" max="4" width="14.28515625" style="361" customWidth="1"/>
    <col min="5" max="5" width="13" style="361" bestFit="1" customWidth="1"/>
    <col min="6" max="6" width="14.42578125" style="361" bestFit="1" customWidth="1"/>
    <col min="7" max="11" width="9" style="361"/>
    <col min="12" max="12" width="10.7109375" style="361" customWidth="1"/>
    <col min="13" max="13" width="9" style="361"/>
    <col min="14" max="14" width="13.7109375" style="361" customWidth="1"/>
    <col min="15" max="15" width="11.140625" style="361" bestFit="1" customWidth="1"/>
    <col min="16" max="16" width="6" style="361" bestFit="1" customWidth="1"/>
    <col min="17" max="256" width="9" style="361"/>
    <col min="257" max="257" width="12" style="361" customWidth="1"/>
    <col min="258" max="260" width="14.28515625" style="361" customWidth="1"/>
    <col min="261" max="261" width="13" style="361" bestFit="1" customWidth="1"/>
    <col min="262" max="262" width="14.42578125" style="361" bestFit="1" customWidth="1"/>
    <col min="263" max="267" width="9" style="361"/>
    <col min="268" max="268" width="10.7109375" style="361" customWidth="1"/>
    <col min="269" max="269" width="9" style="361"/>
    <col min="270" max="270" width="10" style="361" customWidth="1"/>
    <col min="271" max="271" width="9" style="361"/>
    <col min="272" max="272" width="13.28515625" style="361" customWidth="1"/>
    <col min="273" max="512" width="9" style="361"/>
    <col min="513" max="513" width="12" style="361" customWidth="1"/>
    <col min="514" max="516" width="14.28515625" style="361" customWidth="1"/>
    <col min="517" max="517" width="13" style="361" bestFit="1" customWidth="1"/>
    <col min="518" max="518" width="14.42578125" style="361" bestFit="1" customWidth="1"/>
    <col min="519" max="523" width="9" style="361"/>
    <col min="524" max="524" width="10.7109375" style="361" customWidth="1"/>
    <col min="525" max="525" width="9" style="361"/>
    <col min="526" max="526" width="10" style="361" customWidth="1"/>
    <col min="527" max="527" width="9" style="361"/>
    <col min="528" max="528" width="13.28515625" style="361" customWidth="1"/>
    <col min="529" max="768" width="9" style="361"/>
    <col min="769" max="769" width="12" style="361" customWidth="1"/>
    <col min="770" max="772" width="14.28515625" style="361" customWidth="1"/>
    <col min="773" max="773" width="13" style="361" bestFit="1" customWidth="1"/>
    <col min="774" max="774" width="14.42578125" style="361" bestFit="1" customWidth="1"/>
    <col min="775" max="779" width="9" style="361"/>
    <col min="780" max="780" width="10.7109375" style="361" customWidth="1"/>
    <col min="781" max="781" width="9" style="361"/>
    <col min="782" max="782" width="10" style="361" customWidth="1"/>
    <col min="783" max="783" width="9" style="361"/>
    <col min="784" max="784" width="13.28515625" style="361" customWidth="1"/>
    <col min="785" max="1024" width="9" style="361"/>
    <col min="1025" max="1025" width="12" style="361" customWidth="1"/>
    <col min="1026" max="1028" width="14.28515625" style="361" customWidth="1"/>
    <col min="1029" max="1029" width="13" style="361" bestFit="1" customWidth="1"/>
    <col min="1030" max="1030" width="14.42578125" style="361" bestFit="1" customWidth="1"/>
    <col min="1031" max="1035" width="9" style="361"/>
    <col min="1036" max="1036" width="10.7109375" style="361" customWidth="1"/>
    <col min="1037" max="1037" width="9" style="361"/>
    <col min="1038" max="1038" width="10" style="361" customWidth="1"/>
    <col min="1039" max="1039" width="9" style="361"/>
    <col min="1040" max="1040" width="13.28515625" style="361" customWidth="1"/>
    <col min="1041" max="1280" width="9" style="361"/>
    <col min="1281" max="1281" width="12" style="361" customWidth="1"/>
    <col min="1282" max="1284" width="14.28515625" style="361" customWidth="1"/>
    <col min="1285" max="1285" width="13" style="361" bestFit="1" customWidth="1"/>
    <col min="1286" max="1286" width="14.42578125" style="361" bestFit="1" customWidth="1"/>
    <col min="1287" max="1291" width="9" style="361"/>
    <col min="1292" max="1292" width="10.7109375" style="361" customWidth="1"/>
    <col min="1293" max="1293" width="9" style="361"/>
    <col min="1294" max="1294" width="10" style="361" customWidth="1"/>
    <col min="1295" max="1295" width="9" style="361"/>
    <col min="1296" max="1296" width="13.28515625" style="361" customWidth="1"/>
    <col min="1297" max="1536" width="9" style="361"/>
    <col min="1537" max="1537" width="12" style="361" customWidth="1"/>
    <col min="1538" max="1540" width="14.28515625" style="361" customWidth="1"/>
    <col min="1541" max="1541" width="13" style="361" bestFit="1" customWidth="1"/>
    <col min="1542" max="1542" width="14.42578125" style="361" bestFit="1" customWidth="1"/>
    <col min="1543" max="1547" width="9" style="361"/>
    <col min="1548" max="1548" width="10.7109375" style="361" customWidth="1"/>
    <col min="1549" max="1549" width="9" style="361"/>
    <col min="1550" max="1550" width="10" style="361" customWidth="1"/>
    <col min="1551" max="1551" width="9" style="361"/>
    <col min="1552" max="1552" width="13.28515625" style="361" customWidth="1"/>
    <col min="1553" max="1792" width="9" style="361"/>
    <col min="1793" max="1793" width="12" style="361" customWidth="1"/>
    <col min="1794" max="1796" width="14.28515625" style="361" customWidth="1"/>
    <col min="1797" max="1797" width="13" style="361" bestFit="1" customWidth="1"/>
    <col min="1798" max="1798" width="14.42578125" style="361" bestFit="1" customWidth="1"/>
    <col min="1799" max="1803" width="9" style="361"/>
    <col min="1804" max="1804" width="10.7109375" style="361" customWidth="1"/>
    <col min="1805" max="1805" width="9" style="361"/>
    <col min="1806" max="1806" width="10" style="361" customWidth="1"/>
    <col min="1807" max="1807" width="9" style="361"/>
    <col min="1808" max="1808" width="13.28515625" style="361" customWidth="1"/>
    <col min="1809" max="2048" width="9" style="361"/>
    <col min="2049" max="2049" width="12" style="361" customWidth="1"/>
    <col min="2050" max="2052" width="14.28515625" style="361" customWidth="1"/>
    <col min="2053" max="2053" width="13" style="361" bestFit="1" customWidth="1"/>
    <col min="2054" max="2054" width="14.42578125" style="361" bestFit="1" customWidth="1"/>
    <col min="2055" max="2059" width="9" style="361"/>
    <col min="2060" max="2060" width="10.7109375" style="361" customWidth="1"/>
    <col min="2061" max="2061" width="9" style="361"/>
    <col min="2062" max="2062" width="10" style="361" customWidth="1"/>
    <col min="2063" max="2063" width="9" style="361"/>
    <col min="2064" max="2064" width="13.28515625" style="361" customWidth="1"/>
    <col min="2065" max="2304" width="9" style="361"/>
    <col min="2305" max="2305" width="12" style="361" customWidth="1"/>
    <col min="2306" max="2308" width="14.28515625" style="361" customWidth="1"/>
    <col min="2309" max="2309" width="13" style="361" bestFit="1" customWidth="1"/>
    <col min="2310" max="2310" width="14.42578125" style="361" bestFit="1" customWidth="1"/>
    <col min="2311" max="2315" width="9" style="361"/>
    <col min="2316" max="2316" width="10.7109375" style="361" customWidth="1"/>
    <col min="2317" max="2317" width="9" style="361"/>
    <col min="2318" max="2318" width="10" style="361" customWidth="1"/>
    <col min="2319" max="2319" width="9" style="361"/>
    <col min="2320" max="2320" width="13.28515625" style="361" customWidth="1"/>
    <col min="2321" max="2560" width="9" style="361"/>
    <col min="2561" max="2561" width="12" style="361" customWidth="1"/>
    <col min="2562" max="2564" width="14.28515625" style="361" customWidth="1"/>
    <col min="2565" max="2565" width="13" style="361" bestFit="1" customWidth="1"/>
    <col min="2566" max="2566" width="14.42578125" style="361" bestFit="1" customWidth="1"/>
    <col min="2567" max="2571" width="9" style="361"/>
    <col min="2572" max="2572" width="10.7109375" style="361" customWidth="1"/>
    <col min="2573" max="2573" width="9" style="361"/>
    <col min="2574" max="2574" width="10" style="361" customWidth="1"/>
    <col min="2575" max="2575" width="9" style="361"/>
    <col min="2576" max="2576" width="13.28515625" style="361" customWidth="1"/>
    <col min="2577" max="2816" width="9" style="361"/>
    <col min="2817" max="2817" width="12" style="361" customWidth="1"/>
    <col min="2818" max="2820" width="14.28515625" style="361" customWidth="1"/>
    <col min="2821" max="2821" width="13" style="361" bestFit="1" customWidth="1"/>
    <col min="2822" max="2822" width="14.42578125" style="361" bestFit="1" customWidth="1"/>
    <col min="2823" max="2827" width="9" style="361"/>
    <col min="2828" max="2828" width="10.7109375" style="361" customWidth="1"/>
    <col min="2829" max="2829" width="9" style="361"/>
    <col min="2830" max="2830" width="10" style="361" customWidth="1"/>
    <col min="2831" max="2831" width="9" style="361"/>
    <col min="2832" max="2832" width="13.28515625" style="361" customWidth="1"/>
    <col min="2833" max="3072" width="9" style="361"/>
    <col min="3073" max="3073" width="12" style="361" customWidth="1"/>
    <col min="3074" max="3076" width="14.28515625" style="361" customWidth="1"/>
    <col min="3077" max="3077" width="13" style="361" bestFit="1" customWidth="1"/>
    <col min="3078" max="3078" width="14.42578125" style="361" bestFit="1" customWidth="1"/>
    <col min="3079" max="3083" width="9" style="361"/>
    <col min="3084" max="3084" width="10.7109375" style="361" customWidth="1"/>
    <col min="3085" max="3085" width="9" style="361"/>
    <col min="3086" max="3086" width="10" style="361" customWidth="1"/>
    <col min="3087" max="3087" width="9" style="361"/>
    <col min="3088" max="3088" width="13.28515625" style="361" customWidth="1"/>
    <col min="3089" max="3328" width="9" style="361"/>
    <col min="3329" max="3329" width="12" style="361" customWidth="1"/>
    <col min="3330" max="3332" width="14.28515625" style="361" customWidth="1"/>
    <col min="3333" max="3333" width="13" style="361" bestFit="1" customWidth="1"/>
    <col min="3334" max="3334" width="14.42578125" style="361" bestFit="1" customWidth="1"/>
    <col min="3335" max="3339" width="9" style="361"/>
    <col min="3340" max="3340" width="10.7109375" style="361" customWidth="1"/>
    <col min="3341" max="3341" width="9" style="361"/>
    <col min="3342" max="3342" width="10" style="361" customWidth="1"/>
    <col min="3343" max="3343" width="9" style="361"/>
    <col min="3344" max="3344" width="13.28515625" style="361" customWidth="1"/>
    <col min="3345" max="3584" width="9" style="361"/>
    <col min="3585" max="3585" width="12" style="361" customWidth="1"/>
    <col min="3586" max="3588" width="14.28515625" style="361" customWidth="1"/>
    <col min="3589" max="3589" width="13" style="361" bestFit="1" customWidth="1"/>
    <col min="3590" max="3590" width="14.42578125" style="361" bestFit="1" customWidth="1"/>
    <col min="3591" max="3595" width="9" style="361"/>
    <col min="3596" max="3596" width="10.7109375" style="361" customWidth="1"/>
    <col min="3597" max="3597" width="9" style="361"/>
    <col min="3598" max="3598" width="10" style="361" customWidth="1"/>
    <col min="3599" max="3599" width="9" style="361"/>
    <col min="3600" max="3600" width="13.28515625" style="361" customWidth="1"/>
    <col min="3601" max="3840" width="9" style="361"/>
    <col min="3841" max="3841" width="12" style="361" customWidth="1"/>
    <col min="3842" max="3844" width="14.28515625" style="361" customWidth="1"/>
    <col min="3845" max="3845" width="13" style="361" bestFit="1" customWidth="1"/>
    <col min="3846" max="3846" width="14.42578125" style="361" bestFit="1" customWidth="1"/>
    <col min="3847" max="3851" width="9" style="361"/>
    <col min="3852" max="3852" width="10.7109375" style="361" customWidth="1"/>
    <col min="3853" max="3853" width="9" style="361"/>
    <col min="3854" max="3854" width="10" style="361" customWidth="1"/>
    <col min="3855" max="3855" width="9" style="361"/>
    <col min="3856" max="3856" width="13.28515625" style="361" customWidth="1"/>
    <col min="3857" max="4096" width="9" style="361"/>
    <col min="4097" max="4097" width="12" style="361" customWidth="1"/>
    <col min="4098" max="4100" width="14.28515625" style="361" customWidth="1"/>
    <col min="4101" max="4101" width="13" style="361" bestFit="1" customWidth="1"/>
    <col min="4102" max="4102" width="14.42578125" style="361" bestFit="1" customWidth="1"/>
    <col min="4103" max="4107" width="9" style="361"/>
    <col min="4108" max="4108" width="10.7109375" style="361" customWidth="1"/>
    <col min="4109" max="4109" width="9" style="361"/>
    <col min="4110" max="4110" width="10" style="361" customWidth="1"/>
    <col min="4111" max="4111" width="9" style="361"/>
    <col min="4112" max="4112" width="13.28515625" style="361" customWidth="1"/>
    <col min="4113" max="4352" width="9" style="361"/>
    <col min="4353" max="4353" width="12" style="361" customWidth="1"/>
    <col min="4354" max="4356" width="14.28515625" style="361" customWidth="1"/>
    <col min="4357" max="4357" width="13" style="361" bestFit="1" customWidth="1"/>
    <col min="4358" max="4358" width="14.42578125" style="361" bestFit="1" customWidth="1"/>
    <col min="4359" max="4363" width="9" style="361"/>
    <col min="4364" max="4364" width="10.7109375" style="361" customWidth="1"/>
    <col min="4365" max="4365" width="9" style="361"/>
    <col min="4366" max="4366" width="10" style="361" customWidth="1"/>
    <col min="4367" max="4367" width="9" style="361"/>
    <col min="4368" max="4368" width="13.28515625" style="361" customWidth="1"/>
    <col min="4369" max="4608" width="9" style="361"/>
    <col min="4609" max="4609" width="12" style="361" customWidth="1"/>
    <col min="4610" max="4612" width="14.28515625" style="361" customWidth="1"/>
    <col min="4613" max="4613" width="13" style="361" bestFit="1" customWidth="1"/>
    <col min="4614" max="4614" width="14.42578125" style="361" bestFit="1" customWidth="1"/>
    <col min="4615" max="4619" width="9" style="361"/>
    <col min="4620" max="4620" width="10.7109375" style="361" customWidth="1"/>
    <col min="4621" max="4621" width="9" style="361"/>
    <col min="4622" max="4622" width="10" style="361" customWidth="1"/>
    <col min="4623" max="4623" width="9" style="361"/>
    <col min="4624" max="4624" width="13.28515625" style="361" customWidth="1"/>
    <col min="4625" max="4864" width="9" style="361"/>
    <col min="4865" max="4865" width="12" style="361" customWidth="1"/>
    <col min="4866" max="4868" width="14.28515625" style="361" customWidth="1"/>
    <col min="4869" max="4869" width="13" style="361" bestFit="1" customWidth="1"/>
    <col min="4870" max="4870" width="14.42578125" style="361" bestFit="1" customWidth="1"/>
    <col min="4871" max="4875" width="9" style="361"/>
    <col min="4876" max="4876" width="10.7109375" style="361" customWidth="1"/>
    <col min="4877" max="4877" width="9" style="361"/>
    <col min="4878" max="4878" width="10" style="361" customWidth="1"/>
    <col min="4879" max="4879" width="9" style="361"/>
    <col min="4880" max="4880" width="13.28515625" style="361" customWidth="1"/>
    <col min="4881" max="5120" width="9" style="361"/>
    <col min="5121" max="5121" width="12" style="361" customWidth="1"/>
    <col min="5122" max="5124" width="14.28515625" style="361" customWidth="1"/>
    <col min="5125" max="5125" width="13" style="361" bestFit="1" customWidth="1"/>
    <col min="5126" max="5126" width="14.42578125" style="361" bestFit="1" customWidth="1"/>
    <col min="5127" max="5131" width="9" style="361"/>
    <col min="5132" max="5132" width="10.7109375" style="361" customWidth="1"/>
    <col min="5133" max="5133" width="9" style="361"/>
    <col min="5134" max="5134" width="10" style="361" customWidth="1"/>
    <col min="5135" max="5135" width="9" style="361"/>
    <col min="5136" max="5136" width="13.28515625" style="361" customWidth="1"/>
    <col min="5137" max="5376" width="9" style="361"/>
    <col min="5377" max="5377" width="12" style="361" customWidth="1"/>
    <col min="5378" max="5380" width="14.28515625" style="361" customWidth="1"/>
    <col min="5381" max="5381" width="13" style="361" bestFit="1" customWidth="1"/>
    <col min="5382" max="5382" width="14.42578125" style="361" bestFit="1" customWidth="1"/>
    <col min="5383" max="5387" width="9" style="361"/>
    <col min="5388" max="5388" width="10.7109375" style="361" customWidth="1"/>
    <col min="5389" max="5389" width="9" style="361"/>
    <col min="5390" max="5390" width="10" style="361" customWidth="1"/>
    <col min="5391" max="5391" width="9" style="361"/>
    <col min="5392" max="5392" width="13.28515625" style="361" customWidth="1"/>
    <col min="5393" max="5632" width="9" style="361"/>
    <col min="5633" max="5633" width="12" style="361" customWidth="1"/>
    <col min="5634" max="5636" width="14.28515625" style="361" customWidth="1"/>
    <col min="5637" max="5637" width="13" style="361" bestFit="1" customWidth="1"/>
    <col min="5638" max="5638" width="14.42578125" style="361" bestFit="1" customWidth="1"/>
    <col min="5639" max="5643" width="9" style="361"/>
    <col min="5644" max="5644" width="10.7109375" style="361" customWidth="1"/>
    <col min="5645" max="5645" width="9" style="361"/>
    <col min="5646" max="5646" width="10" style="361" customWidth="1"/>
    <col min="5647" max="5647" width="9" style="361"/>
    <col min="5648" max="5648" width="13.28515625" style="361" customWidth="1"/>
    <col min="5649" max="5888" width="9" style="361"/>
    <col min="5889" max="5889" width="12" style="361" customWidth="1"/>
    <col min="5890" max="5892" width="14.28515625" style="361" customWidth="1"/>
    <col min="5893" max="5893" width="13" style="361" bestFit="1" customWidth="1"/>
    <col min="5894" max="5894" width="14.42578125" style="361" bestFit="1" customWidth="1"/>
    <col min="5895" max="5899" width="9" style="361"/>
    <col min="5900" max="5900" width="10.7109375" style="361" customWidth="1"/>
    <col min="5901" max="5901" width="9" style="361"/>
    <col min="5902" max="5902" width="10" style="361" customWidth="1"/>
    <col min="5903" max="5903" width="9" style="361"/>
    <col min="5904" max="5904" width="13.28515625" style="361" customWidth="1"/>
    <col min="5905" max="6144" width="9" style="361"/>
    <col min="6145" max="6145" width="12" style="361" customWidth="1"/>
    <col min="6146" max="6148" width="14.28515625" style="361" customWidth="1"/>
    <col min="6149" max="6149" width="13" style="361" bestFit="1" customWidth="1"/>
    <col min="6150" max="6150" width="14.42578125" style="361" bestFit="1" customWidth="1"/>
    <col min="6151" max="6155" width="9" style="361"/>
    <col min="6156" max="6156" width="10.7109375" style="361" customWidth="1"/>
    <col min="6157" max="6157" width="9" style="361"/>
    <col min="6158" max="6158" width="10" style="361" customWidth="1"/>
    <col min="6159" max="6159" width="9" style="361"/>
    <col min="6160" max="6160" width="13.28515625" style="361" customWidth="1"/>
    <col min="6161" max="6400" width="9" style="361"/>
    <col min="6401" max="6401" width="12" style="361" customWidth="1"/>
    <col min="6402" max="6404" width="14.28515625" style="361" customWidth="1"/>
    <col min="6405" max="6405" width="13" style="361" bestFit="1" customWidth="1"/>
    <col min="6406" max="6406" width="14.42578125" style="361" bestFit="1" customWidth="1"/>
    <col min="6407" max="6411" width="9" style="361"/>
    <col min="6412" max="6412" width="10.7109375" style="361" customWidth="1"/>
    <col min="6413" max="6413" width="9" style="361"/>
    <col min="6414" max="6414" width="10" style="361" customWidth="1"/>
    <col min="6415" max="6415" width="9" style="361"/>
    <col min="6416" max="6416" width="13.28515625" style="361" customWidth="1"/>
    <col min="6417" max="6656" width="9" style="361"/>
    <col min="6657" max="6657" width="12" style="361" customWidth="1"/>
    <col min="6658" max="6660" width="14.28515625" style="361" customWidth="1"/>
    <col min="6661" max="6661" width="13" style="361" bestFit="1" customWidth="1"/>
    <col min="6662" max="6662" width="14.42578125" style="361" bestFit="1" customWidth="1"/>
    <col min="6663" max="6667" width="9" style="361"/>
    <col min="6668" max="6668" width="10.7109375" style="361" customWidth="1"/>
    <col min="6669" max="6669" width="9" style="361"/>
    <col min="6670" max="6670" width="10" style="361" customWidth="1"/>
    <col min="6671" max="6671" width="9" style="361"/>
    <col min="6672" max="6672" width="13.28515625" style="361" customWidth="1"/>
    <col min="6673" max="6912" width="9" style="361"/>
    <col min="6913" max="6913" width="12" style="361" customWidth="1"/>
    <col min="6914" max="6916" width="14.28515625" style="361" customWidth="1"/>
    <col min="6917" max="6917" width="13" style="361" bestFit="1" customWidth="1"/>
    <col min="6918" max="6918" width="14.42578125" style="361" bestFit="1" customWidth="1"/>
    <col min="6919" max="6923" width="9" style="361"/>
    <col min="6924" max="6924" width="10.7109375" style="361" customWidth="1"/>
    <col min="6925" max="6925" width="9" style="361"/>
    <col min="6926" max="6926" width="10" style="361" customWidth="1"/>
    <col min="6927" max="6927" width="9" style="361"/>
    <col min="6928" max="6928" width="13.28515625" style="361" customWidth="1"/>
    <col min="6929" max="7168" width="9" style="361"/>
    <col min="7169" max="7169" width="12" style="361" customWidth="1"/>
    <col min="7170" max="7172" width="14.28515625" style="361" customWidth="1"/>
    <col min="7173" max="7173" width="13" style="361" bestFit="1" customWidth="1"/>
    <col min="7174" max="7174" width="14.42578125" style="361" bestFit="1" customWidth="1"/>
    <col min="7175" max="7179" width="9" style="361"/>
    <col min="7180" max="7180" width="10.7109375" style="361" customWidth="1"/>
    <col min="7181" max="7181" width="9" style="361"/>
    <col min="7182" max="7182" width="10" style="361" customWidth="1"/>
    <col min="7183" max="7183" width="9" style="361"/>
    <col min="7184" max="7184" width="13.28515625" style="361" customWidth="1"/>
    <col min="7185" max="7424" width="9" style="361"/>
    <col min="7425" max="7425" width="12" style="361" customWidth="1"/>
    <col min="7426" max="7428" width="14.28515625" style="361" customWidth="1"/>
    <col min="7429" max="7429" width="13" style="361" bestFit="1" customWidth="1"/>
    <col min="7430" max="7430" width="14.42578125" style="361" bestFit="1" customWidth="1"/>
    <col min="7431" max="7435" width="9" style="361"/>
    <col min="7436" max="7436" width="10.7109375" style="361" customWidth="1"/>
    <col min="7437" max="7437" width="9" style="361"/>
    <col min="7438" max="7438" width="10" style="361" customWidth="1"/>
    <col min="7439" max="7439" width="9" style="361"/>
    <col min="7440" max="7440" width="13.28515625" style="361" customWidth="1"/>
    <col min="7441" max="7680" width="9" style="361"/>
    <col min="7681" max="7681" width="12" style="361" customWidth="1"/>
    <col min="7682" max="7684" width="14.28515625" style="361" customWidth="1"/>
    <col min="7685" max="7685" width="13" style="361" bestFit="1" customWidth="1"/>
    <col min="7686" max="7686" width="14.42578125" style="361" bestFit="1" customWidth="1"/>
    <col min="7687" max="7691" width="9" style="361"/>
    <col min="7692" max="7692" width="10.7109375" style="361" customWidth="1"/>
    <col min="7693" max="7693" width="9" style="361"/>
    <col min="7694" max="7694" width="10" style="361" customWidth="1"/>
    <col min="7695" max="7695" width="9" style="361"/>
    <col min="7696" max="7696" width="13.28515625" style="361" customWidth="1"/>
    <col min="7697" max="7936" width="9" style="361"/>
    <col min="7937" max="7937" width="12" style="361" customWidth="1"/>
    <col min="7938" max="7940" width="14.28515625" style="361" customWidth="1"/>
    <col min="7941" max="7941" width="13" style="361" bestFit="1" customWidth="1"/>
    <col min="7942" max="7942" width="14.42578125" style="361" bestFit="1" customWidth="1"/>
    <col min="7943" max="7947" width="9" style="361"/>
    <col min="7948" max="7948" width="10.7109375" style="361" customWidth="1"/>
    <col min="7949" max="7949" width="9" style="361"/>
    <col min="7950" max="7950" width="10" style="361" customWidth="1"/>
    <col min="7951" max="7951" width="9" style="361"/>
    <col min="7952" max="7952" width="13.28515625" style="361" customWidth="1"/>
    <col min="7953" max="8192" width="9" style="361"/>
    <col min="8193" max="8193" width="12" style="361" customWidth="1"/>
    <col min="8194" max="8196" width="14.28515625" style="361" customWidth="1"/>
    <col min="8197" max="8197" width="13" style="361" bestFit="1" customWidth="1"/>
    <col min="8198" max="8198" width="14.42578125" style="361" bestFit="1" customWidth="1"/>
    <col min="8199" max="8203" width="9" style="361"/>
    <col min="8204" max="8204" width="10.7109375" style="361" customWidth="1"/>
    <col min="8205" max="8205" width="9" style="361"/>
    <col min="8206" max="8206" width="10" style="361" customWidth="1"/>
    <col min="8207" max="8207" width="9" style="361"/>
    <col min="8208" max="8208" width="13.28515625" style="361" customWidth="1"/>
    <col min="8209" max="8448" width="9" style="361"/>
    <col min="8449" max="8449" width="12" style="361" customWidth="1"/>
    <col min="8450" max="8452" width="14.28515625" style="361" customWidth="1"/>
    <col min="8453" max="8453" width="13" style="361" bestFit="1" customWidth="1"/>
    <col min="8454" max="8454" width="14.42578125" style="361" bestFit="1" customWidth="1"/>
    <col min="8455" max="8459" width="9" style="361"/>
    <col min="8460" max="8460" width="10.7109375" style="361" customWidth="1"/>
    <col min="8461" max="8461" width="9" style="361"/>
    <col min="8462" max="8462" width="10" style="361" customWidth="1"/>
    <col min="8463" max="8463" width="9" style="361"/>
    <col min="8464" max="8464" width="13.28515625" style="361" customWidth="1"/>
    <col min="8465" max="8704" width="9" style="361"/>
    <col min="8705" max="8705" width="12" style="361" customWidth="1"/>
    <col min="8706" max="8708" width="14.28515625" style="361" customWidth="1"/>
    <col min="8709" max="8709" width="13" style="361" bestFit="1" customWidth="1"/>
    <col min="8710" max="8710" width="14.42578125" style="361" bestFit="1" customWidth="1"/>
    <col min="8711" max="8715" width="9" style="361"/>
    <col min="8716" max="8716" width="10.7109375" style="361" customWidth="1"/>
    <col min="8717" max="8717" width="9" style="361"/>
    <col min="8718" max="8718" width="10" style="361" customWidth="1"/>
    <col min="8719" max="8719" width="9" style="361"/>
    <col min="8720" max="8720" width="13.28515625" style="361" customWidth="1"/>
    <col min="8721" max="8960" width="9" style="361"/>
    <col min="8961" max="8961" width="12" style="361" customWidth="1"/>
    <col min="8962" max="8964" width="14.28515625" style="361" customWidth="1"/>
    <col min="8965" max="8965" width="13" style="361" bestFit="1" customWidth="1"/>
    <col min="8966" max="8966" width="14.42578125" style="361" bestFit="1" customWidth="1"/>
    <col min="8967" max="8971" width="9" style="361"/>
    <col min="8972" max="8972" width="10.7109375" style="361" customWidth="1"/>
    <col min="8973" max="8973" width="9" style="361"/>
    <col min="8974" max="8974" width="10" style="361" customWidth="1"/>
    <col min="8975" max="8975" width="9" style="361"/>
    <col min="8976" max="8976" width="13.28515625" style="361" customWidth="1"/>
    <col min="8977" max="9216" width="9" style="361"/>
    <col min="9217" max="9217" width="12" style="361" customWidth="1"/>
    <col min="9218" max="9220" width="14.28515625" style="361" customWidth="1"/>
    <col min="9221" max="9221" width="13" style="361" bestFit="1" customWidth="1"/>
    <col min="9222" max="9222" width="14.42578125" style="361" bestFit="1" customWidth="1"/>
    <col min="9223" max="9227" width="9" style="361"/>
    <col min="9228" max="9228" width="10.7109375" style="361" customWidth="1"/>
    <col min="9229" max="9229" width="9" style="361"/>
    <col min="9230" max="9230" width="10" style="361" customWidth="1"/>
    <col min="9231" max="9231" width="9" style="361"/>
    <col min="9232" max="9232" width="13.28515625" style="361" customWidth="1"/>
    <col min="9233" max="9472" width="9" style="361"/>
    <col min="9473" max="9473" width="12" style="361" customWidth="1"/>
    <col min="9474" max="9476" width="14.28515625" style="361" customWidth="1"/>
    <col min="9477" max="9477" width="13" style="361" bestFit="1" customWidth="1"/>
    <col min="9478" max="9478" width="14.42578125" style="361" bestFit="1" customWidth="1"/>
    <col min="9479" max="9483" width="9" style="361"/>
    <col min="9484" max="9484" width="10.7109375" style="361" customWidth="1"/>
    <col min="9485" max="9485" width="9" style="361"/>
    <col min="9486" max="9486" width="10" style="361" customWidth="1"/>
    <col min="9487" max="9487" width="9" style="361"/>
    <col min="9488" max="9488" width="13.28515625" style="361" customWidth="1"/>
    <col min="9489" max="9728" width="9" style="361"/>
    <col min="9729" max="9729" width="12" style="361" customWidth="1"/>
    <col min="9730" max="9732" width="14.28515625" style="361" customWidth="1"/>
    <col min="9733" max="9733" width="13" style="361" bestFit="1" customWidth="1"/>
    <col min="9734" max="9734" width="14.42578125" style="361" bestFit="1" customWidth="1"/>
    <col min="9735" max="9739" width="9" style="361"/>
    <col min="9740" max="9740" width="10.7109375" style="361" customWidth="1"/>
    <col min="9741" max="9741" width="9" style="361"/>
    <col min="9742" max="9742" width="10" style="361" customWidth="1"/>
    <col min="9743" max="9743" width="9" style="361"/>
    <col min="9744" max="9744" width="13.28515625" style="361" customWidth="1"/>
    <col min="9745" max="9984" width="9" style="361"/>
    <col min="9985" max="9985" width="12" style="361" customWidth="1"/>
    <col min="9986" max="9988" width="14.28515625" style="361" customWidth="1"/>
    <col min="9989" max="9989" width="13" style="361" bestFit="1" customWidth="1"/>
    <col min="9990" max="9990" width="14.42578125" style="361" bestFit="1" customWidth="1"/>
    <col min="9991" max="9995" width="9" style="361"/>
    <col min="9996" max="9996" width="10.7109375" style="361" customWidth="1"/>
    <col min="9997" max="9997" width="9" style="361"/>
    <col min="9998" max="9998" width="10" style="361" customWidth="1"/>
    <col min="9999" max="9999" width="9" style="361"/>
    <col min="10000" max="10000" width="13.28515625" style="361" customWidth="1"/>
    <col min="10001" max="10240" width="9" style="361"/>
    <col min="10241" max="10241" width="12" style="361" customWidth="1"/>
    <col min="10242" max="10244" width="14.28515625" style="361" customWidth="1"/>
    <col min="10245" max="10245" width="13" style="361" bestFit="1" customWidth="1"/>
    <col min="10246" max="10246" width="14.42578125" style="361" bestFit="1" customWidth="1"/>
    <col min="10247" max="10251" width="9" style="361"/>
    <col min="10252" max="10252" width="10.7109375" style="361" customWidth="1"/>
    <col min="10253" max="10253" width="9" style="361"/>
    <col min="10254" max="10254" width="10" style="361" customWidth="1"/>
    <col min="10255" max="10255" width="9" style="361"/>
    <col min="10256" max="10256" width="13.28515625" style="361" customWidth="1"/>
    <col min="10257" max="10496" width="9" style="361"/>
    <col min="10497" max="10497" width="12" style="361" customWidth="1"/>
    <col min="10498" max="10500" width="14.28515625" style="361" customWidth="1"/>
    <col min="10501" max="10501" width="13" style="361" bestFit="1" customWidth="1"/>
    <col min="10502" max="10502" width="14.42578125" style="361" bestFit="1" customWidth="1"/>
    <col min="10503" max="10507" width="9" style="361"/>
    <col min="10508" max="10508" width="10.7109375" style="361" customWidth="1"/>
    <col min="10509" max="10509" width="9" style="361"/>
    <col min="10510" max="10510" width="10" style="361" customWidth="1"/>
    <col min="10511" max="10511" width="9" style="361"/>
    <col min="10512" max="10512" width="13.28515625" style="361" customWidth="1"/>
    <col min="10513" max="10752" width="9" style="361"/>
    <col min="10753" max="10753" width="12" style="361" customWidth="1"/>
    <col min="10754" max="10756" width="14.28515625" style="361" customWidth="1"/>
    <col min="10757" max="10757" width="13" style="361" bestFit="1" customWidth="1"/>
    <col min="10758" max="10758" width="14.42578125" style="361" bestFit="1" customWidth="1"/>
    <col min="10759" max="10763" width="9" style="361"/>
    <col min="10764" max="10764" width="10.7109375" style="361" customWidth="1"/>
    <col min="10765" max="10765" width="9" style="361"/>
    <col min="10766" max="10766" width="10" style="361" customWidth="1"/>
    <col min="10767" max="10767" width="9" style="361"/>
    <col min="10768" max="10768" width="13.28515625" style="361" customWidth="1"/>
    <col min="10769" max="11008" width="9" style="361"/>
    <col min="11009" max="11009" width="12" style="361" customWidth="1"/>
    <col min="11010" max="11012" width="14.28515625" style="361" customWidth="1"/>
    <col min="11013" max="11013" width="13" style="361" bestFit="1" customWidth="1"/>
    <col min="11014" max="11014" width="14.42578125" style="361" bestFit="1" customWidth="1"/>
    <col min="11015" max="11019" width="9" style="361"/>
    <col min="11020" max="11020" width="10.7109375" style="361" customWidth="1"/>
    <col min="11021" max="11021" width="9" style="361"/>
    <col min="11022" max="11022" width="10" style="361" customWidth="1"/>
    <col min="11023" max="11023" width="9" style="361"/>
    <col min="11024" max="11024" width="13.28515625" style="361" customWidth="1"/>
    <col min="11025" max="11264" width="9" style="361"/>
    <col min="11265" max="11265" width="12" style="361" customWidth="1"/>
    <col min="11266" max="11268" width="14.28515625" style="361" customWidth="1"/>
    <col min="11269" max="11269" width="13" style="361" bestFit="1" customWidth="1"/>
    <col min="11270" max="11270" width="14.42578125" style="361" bestFit="1" customWidth="1"/>
    <col min="11271" max="11275" width="9" style="361"/>
    <col min="11276" max="11276" width="10.7109375" style="361" customWidth="1"/>
    <col min="11277" max="11277" width="9" style="361"/>
    <col min="11278" max="11278" width="10" style="361" customWidth="1"/>
    <col min="11279" max="11279" width="9" style="361"/>
    <col min="11280" max="11280" width="13.28515625" style="361" customWidth="1"/>
    <col min="11281" max="11520" width="9" style="361"/>
    <col min="11521" max="11521" width="12" style="361" customWidth="1"/>
    <col min="11522" max="11524" width="14.28515625" style="361" customWidth="1"/>
    <col min="11525" max="11525" width="13" style="361" bestFit="1" customWidth="1"/>
    <col min="11526" max="11526" width="14.42578125" style="361" bestFit="1" customWidth="1"/>
    <col min="11527" max="11531" width="9" style="361"/>
    <col min="11532" max="11532" width="10.7109375" style="361" customWidth="1"/>
    <col min="11533" max="11533" width="9" style="361"/>
    <col min="11534" max="11534" width="10" style="361" customWidth="1"/>
    <col min="11535" max="11535" width="9" style="361"/>
    <col min="11536" max="11536" width="13.28515625" style="361" customWidth="1"/>
    <col min="11537" max="11776" width="9" style="361"/>
    <col min="11777" max="11777" width="12" style="361" customWidth="1"/>
    <col min="11778" max="11780" width="14.28515625" style="361" customWidth="1"/>
    <col min="11781" max="11781" width="13" style="361" bestFit="1" customWidth="1"/>
    <col min="11782" max="11782" width="14.42578125" style="361" bestFit="1" customWidth="1"/>
    <col min="11783" max="11787" width="9" style="361"/>
    <col min="11788" max="11788" width="10.7109375" style="361" customWidth="1"/>
    <col min="11789" max="11789" width="9" style="361"/>
    <col min="11790" max="11790" width="10" style="361" customWidth="1"/>
    <col min="11791" max="11791" width="9" style="361"/>
    <col min="11792" max="11792" width="13.28515625" style="361" customWidth="1"/>
    <col min="11793" max="12032" width="9" style="361"/>
    <col min="12033" max="12033" width="12" style="361" customWidth="1"/>
    <col min="12034" max="12036" width="14.28515625" style="361" customWidth="1"/>
    <col min="12037" max="12037" width="13" style="361" bestFit="1" customWidth="1"/>
    <col min="12038" max="12038" width="14.42578125" style="361" bestFit="1" customWidth="1"/>
    <col min="12039" max="12043" width="9" style="361"/>
    <col min="12044" max="12044" width="10.7109375" style="361" customWidth="1"/>
    <col min="12045" max="12045" width="9" style="361"/>
    <col min="12046" max="12046" width="10" style="361" customWidth="1"/>
    <col min="12047" max="12047" width="9" style="361"/>
    <col min="12048" max="12048" width="13.28515625" style="361" customWidth="1"/>
    <col min="12049" max="12288" width="9" style="361"/>
    <col min="12289" max="12289" width="12" style="361" customWidth="1"/>
    <col min="12290" max="12292" width="14.28515625" style="361" customWidth="1"/>
    <col min="12293" max="12293" width="13" style="361" bestFit="1" customWidth="1"/>
    <col min="12294" max="12294" width="14.42578125" style="361" bestFit="1" customWidth="1"/>
    <col min="12295" max="12299" width="9" style="361"/>
    <col min="12300" max="12300" width="10.7109375" style="361" customWidth="1"/>
    <col min="12301" max="12301" width="9" style="361"/>
    <col min="12302" max="12302" width="10" style="361" customWidth="1"/>
    <col min="12303" max="12303" width="9" style="361"/>
    <col min="12304" max="12304" width="13.28515625" style="361" customWidth="1"/>
    <col min="12305" max="12544" width="9" style="361"/>
    <col min="12545" max="12545" width="12" style="361" customWidth="1"/>
    <col min="12546" max="12548" width="14.28515625" style="361" customWidth="1"/>
    <col min="12549" max="12549" width="13" style="361" bestFit="1" customWidth="1"/>
    <col min="12550" max="12550" width="14.42578125" style="361" bestFit="1" customWidth="1"/>
    <col min="12551" max="12555" width="9" style="361"/>
    <col min="12556" max="12556" width="10.7109375" style="361" customWidth="1"/>
    <col min="12557" max="12557" width="9" style="361"/>
    <col min="12558" max="12558" width="10" style="361" customWidth="1"/>
    <col min="12559" max="12559" width="9" style="361"/>
    <col min="12560" max="12560" width="13.28515625" style="361" customWidth="1"/>
    <col min="12561" max="12800" width="9" style="361"/>
    <col min="12801" max="12801" width="12" style="361" customWidth="1"/>
    <col min="12802" max="12804" width="14.28515625" style="361" customWidth="1"/>
    <col min="12805" max="12805" width="13" style="361" bestFit="1" customWidth="1"/>
    <col min="12806" max="12806" width="14.42578125" style="361" bestFit="1" customWidth="1"/>
    <col min="12807" max="12811" width="9" style="361"/>
    <col min="12812" max="12812" width="10.7109375" style="361" customWidth="1"/>
    <col min="12813" max="12813" width="9" style="361"/>
    <col min="12814" max="12814" width="10" style="361" customWidth="1"/>
    <col min="12815" max="12815" width="9" style="361"/>
    <col min="12816" max="12816" width="13.28515625" style="361" customWidth="1"/>
    <col min="12817" max="13056" width="9" style="361"/>
    <col min="13057" max="13057" width="12" style="361" customWidth="1"/>
    <col min="13058" max="13060" width="14.28515625" style="361" customWidth="1"/>
    <col min="13061" max="13061" width="13" style="361" bestFit="1" customWidth="1"/>
    <col min="13062" max="13062" width="14.42578125" style="361" bestFit="1" customWidth="1"/>
    <col min="13063" max="13067" width="9" style="361"/>
    <col min="13068" max="13068" width="10.7109375" style="361" customWidth="1"/>
    <col min="13069" max="13069" width="9" style="361"/>
    <col min="13070" max="13070" width="10" style="361" customWidth="1"/>
    <col min="13071" max="13071" width="9" style="361"/>
    <col min="13072" max="13072" width="13.28515625" style="361" customWidth="1"/>
    <col min="13073" max="13312" width="9" style="361"/>
    <col min="13313" max="13313" width="12" style="361" customWidth="1"/>
    <col min="13314" max="13316" width="14.28515625" style="361" customWidth="1"/>
    <col min="13317" max="13317" width="13" style="361" bestFit="1" customWidth="1"/>
    <col min="13318" max="13318" width="14.42578125" style="361" bestFit="1" customWidth="1"/>
    <col min="13319" max="13323" width="9" style="361"/>
    <col min="13324" max="13324" width="10.7109375" style="361" customWidth="1"/>
    <col min="13325" max="13325" width="9" style="361"/>
    <col min="13326" max="13326" width="10" style="361" customWidth="1"/>
    <col min="13327" max="13327" width="9" style="361"/>
    <col min="13328" max="13328" width="13.28515625" style="361" customWidth="1"/>
    <col min="13329" max="13568" width="9" style="361"/>
    <col min="13569" max="13569" width="12" style="361" customWidth="1"/>
    <col min="13570" max="13572" width="14.28515625" style="361" customWidth="1"/>
    <col min="13573" max="13573" width="13" style="361" bestFit="1" customWidth="1"/>
    <col min="13574" max="13574" width="14.42578125" style="361" bestFit="1" customWidth="1"/>
    <col min="13575" max="13579" width="9" style="361"/>
    <col min="13580" max="13580" width="10.7109375" style="361" customWidth="1"/>
    <col min="13581" max="13581" width="9" style="361"/>
    <col min="13582" max="13582" width="10" style="361" customWidth="1"/>
    <col min="13583" max="13583" width="9" style="361"/>
    <col min="13584" max="13584" width="13.28515625" style="361" customWidth="1"/>
    <col min="13585" max="13824" width="9" style="361"/>
    <col min="13825" max="13825" width="12" style="361" customWidth="1"/>
    <col min="13826" max="13828" width="14.28515625" style="361" customWidth="1"/>
    <col min="13829" max="13829" width="13" style="361" bestFit="1" customWidth="1"/>
    <col min="13830" max="13830" width="14.42578125" style="361" bestFit="1" customWidth="1"/>
    <col min="13831" max="13835" width="9" style="361"/>
    <col min="13836" max="13836" width="10.7109375" style="361" customWidth="1"/>
    <col min="13837" max="13837" width="9" style="361"/>
    <col min="13838" max="13838" width="10" style="361" customWidth="1"/>
    <col min="13839" max="13839" width="9" style="361"/>
    <col min="13840" max="13840" width="13.28515625" style="361" customWidth="1"/>
    <col min="13841" max="14080" width="9" style="361"/>
    <col min="14081" max="14081" width="12" style="361" customWidth="1"/>
    <col min="14082" max="14084" width="14.28515625" style="361" customWidth="1"/>
    <col min="14085" max="14085" width="13" style="361" bestFit="1" customWidth="1"/>
    <col min="14086" max="14086" width="14.42578125" style="361" bestFit="1" customWidth="1"/>
    <col min="14087" max="14091" width="9" style="361"/>
    <col min="14092" max="14092" width="10.7109375" style="361" customWidth="1"/>
    <col min="14093" max="14093" width="9" style="361"/>
    <col min="14094" max="14094" width="10" style="361" customWidth="1"/>
    <col min="14095" max="14095" width="9" style="361"/>
    <col min="14096" max="14096" width="13.28515625" style="361" customWidth="1"/>
    <col min="14097" max="14336" width="9" style="361"/>
    <col min="14337" max="14337" width="12" style="361" customWidth="1"/>
    <col min="14338" max="14340" width="14.28515625" style="361" customWidth="1"/>
    <col min="14341" max="14341" width="13" style="361" bestFit="1" customWidth="1"/>
    <col min="14342" max="14342" width="14.42578125" style="361" bestFit="1" customWidth="1"/>
    <col min="14343" max="14347" width="9" style="361"/>
    <col min="14348" max="14348" width="10.7109375" style="361" customWidth="1"/>
    <col min="14349" max="14349" width="9" style="361"/>
    <col min="14350" max="14350" width="10" style="361" customWidth="1"/>
    <col min="14351" max="14351" width="9" style="361"/>
    <col min="14352" max="14352" width="13.28515625" style="361" customWidth="1"/>
    <col min="14353" max="14592" width="9" style="361"/>
    <col min="14593" max="14593" width="12" style="361" customWidth="1"/>
    <col min="14594" max="14596" width="14.28515625" style="361" customWidth="1"/>
    <col min="14597" max="14597" width="13" style="361" bestFit="1" customWidth="1"/>
    <col min="14598" max="14598" width="14.42578125" style="361" bestFit="1" customWidth="1"/>
    <col min="14599" max="14603" width="9" style="361"/>
    <col min="14604" max="14604" width="10.7109375" style="361" customWidth="1"/>
    <col min="14605" max="14605" width="9" style="361"/>
    <col min="14606" max="14606" width="10" style="361" customWidth="1"/>
    <col min="14607" max="14607" width="9" style="361"/>
    <col min="14608" max="14608" width="13.28515625" style="361" customWidth="1"/>
    <col min="14609" max="14848" width="9" style="361"/>
    <col min="14849" max="14849" width="12" style="361" customWidth="1"/>
    <col min="14850" max="14852" width="14.28515625" style="361" customWidth="1"/>
    <col min="14853" max="14853" width="13" style="361" bestFit="1" customWidth="1"/>
    <col min="14854" max="14854" width="14.42578125" style="361" bestFit="1" customWidth="1"/>
    <col min="14855" max="14859" width="9" style="361"/>
    <col min="14860" max="14860" width="10.7109375" style="361" customWidth="1"/>
    <col min="14861" max="14861" width="9" style="361"/>
    <col min="14862" max="14862" width="10" style="361" customWidth="1"/>
    <col min="14863" max="14863" width="9" style="361"/>
    <col min="14864" max="14864" width="13.28515625" style="361" customWidth="1"/>
    <col min="14865" max="15104" width="9" style="361"/>
    <col min="15105" max="15105" width="12" style="361" customWidth="1"/>
    <col min="15106" max="15108" width="14.28515625" style="361" customWidth="1"/>
    <col min="15109" max="15109" width="13" style="361" bestFit="1" customWidth="1"/>
    <col min="15110" max="15110" width="14.42578125" style="361" bestFit="1" customWidth="1"/>
    <col min="15111" max="15115" width="9" style="361"/>
    <col min="15116" max="15116" width="10.7109375" style="361" customWidth="1"/>
    <col min="15117" max="15117" width="9" style="361"/>
    <col min="15118" max="15118" width="10" style="361" customWidth="1"/>
    <col min="15119" max="15119" width="9" style="361"/>
    <col min="15120" max="15120" width="13.28515625" style="361" customWidth="1"/>
    <col min="15121" max="15360" width="9" style="361"/>
    <col min="15361" max="15361" width="12" style="361" customWidth="1"/>
    <col min="15362" max="15364" width="14.28515625" style="361" customWidth="1"/>
    <col min="15365" max="15365" width="13" style="361" bestFit="1" customWidth="1"/>
    <col min="15366" max="15366" width="14.42578125" style="361" bestFit="1" customWidth="1"/>
    <col min="15367" max="15371" width="9" style="361"/>
    <col min="15372" max="15372" width="10.7109375" style="361" customWidth="1"/>
    <col min="15373" max="15373" width="9" style="361"/>
    <col min="15374" max="15374" width="10" style="361" customWidth="1"/>
    <col min="15375" max="15375" width="9" style="361"/>
    <col min="15376" max="15376" width="13.28515625" style="361" customWidth="1"/>
    <col min="15377" max="15616" width="9" style="361"/>
    <col min="15617" max="15617" width="12" style="361" customWidth="1"/>
    <col min="15618" max="15620" width="14.28515625" style="361" customWidth="1"/>
    <col min="15621" max="15621" width="13" style="361" bestFit="1" customWidth="1"/>
    <col min="15622" max="15622" width="14.42578125" style="361" bestFit="1" customWidth="1"/>
    <col min="15623" max="15627" width="9" style="361"/>
    <col min="15628" max="15628" width="10.7109375" style="361" customWidth="1"/>
    <col min="15629" max="15629" width="9" style="361"/>
    <col min="15630" max="15630" width="10" style="361" customWidth="1"/>
    <col min="15631" max="15631" width="9" style="361"/>
    <col min="15632" max="15632" width="13.28515625" style="361" customWidth="1"/>
    <col min="15633" max="15872" width="9" style="361"/>
    <col min="15873" max="15873" width="12" style="361" customWidth="1"/>
    <col min="15874" max="15876" width="14.28515625" style="361" customWidth="1"/>
    <col min="15877" max="15877" width="13" style="361" bestFit="1" customWidth="1"/>
    <col min="15878" max="15878" width="14.42578125" style="361" bestFit="1" customWidth="1"/>
    <col min="15879" max="15883" width="9" style="361"/>
    <col min="15884" max="15884" width="10.7109375" style="361" customWidth="1"/>
    <col min="15885" max="15885" width="9" style="361"/>
    <col min="15886" max="15886" width="10" style="361" customWidth="1"/>
    <col min="15887" max="15887" width="9" style="361"/>
    <col min="15888" max="15888" width="13.28515625" style="361" customWidth="1"/>
    <col min="15889" max="16128" width="9" style="361"/>
    <col min="16129" max="16129" width="12" style="361" customWidth="1"/>
    <col min="16130" max="16132" width="14.28515625" style="361" customWidth="1"/>
    <col min="16133" max="16133" width="13" style="361" bestFit="1" customWidth="1"/>
    <col min="16134" max="16134" width="14.42578125" style="361" bestFit="1" customWidth="1"/>
    <col min="16135" max="16139" width="9" style="361"/>
    <col min="16140" max="16140" width="10.7109375" style="361" customWidth="1"/>
    <col min="16141" max="16141" width="9" style="361"/>
    <col min="16142" max="16142" width="10" style="361" customWidth="1"/>
    <col min="16143" max="16143" width="9" style="361"/>
    <col min="16144" max="16144" width="13.28515625" style="361" customWidth="1"/>
    <col min="16145" max="16384" width="9" style="361"/>
  </cols>
  <sheetData>
    <row r="1" spans="1:16" ht="5.25" customHeight="1" x14ac:dyDescent="0.2">
      <c r="A1" s="360"/>
    </row>
    <row r="2" spans="1:16" s="362" customFormat="1" ht="18.75" x14ac:dyDescent="0.2">
      <c r="A2" s="1353" t="s">
        <v>1233</v>
      </c>
      <c r="B2" s="1354"/>
      <c r="C2" s="1354"/>
      <c r="D2" s="1355"/>
    </row>
    <row r="3" spans="1:16" s="362" customFormat="1" ht="18.75" x14ac:dyDescent="0.2">
      <c r="A3" s="1012" t="s">
        <v>0</v>
      </c>
      <c r="B3" s="1012" t="s">
        <v>737</v>
      </c>
      <c r="C3" s="1012" t="s">
        <v>754</v>
      </c>
      <c r="D3" s="1012" t="s">
        <v>1232</v>
      </c>
    </row>
    <row r="4" spans="1:16" s="362" customFormat="1" ht="18.75" x14ac:dyDescent="0.2">
      <c r="A4" s="1009" t="s">
        <v>738</v>
      </c>
      <c r="B4" s="1010">
        <v>10274.7142</v>
      </c>
      <c r="C4" s="1010">
        <v>11552.23</v>
      </c>
      <c r="D4" s="1010">
        <v>11055.6535</v>
      </c>
    </row>
    <row r="5" spans="1:16" s="362" customFormat="1" ht="18.75" x14ac:dyDescent="0.2">
      <c r="A5" s="1009" t="s">
        <v>739</v>
      </c>
      <c r="B5" s="1010">
        <v>8156.3642</v>
      </c>
      <c r="C5" s="1010">
        <v>7406.49</v>
      </c>
      <c r="D5" s="1010">
        <v>7556.48</v>
      </c>
      <c r="J5" s="362" t="s">
        <v>740</v>
      </c>
    </row>
    <row r="6" spans="1:16" s="362" customFormat="1" ht="37.5" customHeight="1" x14ac:dyDescent="0.2">
      <c r="A6" s="1009" t="s">
        <v>741</v>
      </c>
      <c r="B6" s="1011">
        <v>7373.29</v>
      </c>
      <c r="C6" s="1015">
        <v>5641.35</v>
      </c>
      <c r="D6" s="1016" t="s">
        <v>742</v>
      </c>
    </row>
    <row r="7" spans="1:16" ht="11.25" customHeight="1" x14ac:dyDescent="0.2"/>
    <row r="13" spans="1:16" x14ac:dyDescent="0.2">
      <c r="N13" s="1356">
        <f>7857067822.83+120898413.4</f>
        <v>7977966236.2299995</v>
      </c>
      <c r="O13" s="1356"/>
      <c r="P13" s="1356"/>
    </row>
    <row r="15" spans="1:16" x14ac:dyDescent="0.2">
      <c r="N15" s="361" t="s">
        <v>743</v>
      </c>
    </row>
    <row r="21" spans="1:16" x14ac:dyDescent="0.2">
      <c r="N21" s="363" t="s">
        <v>739</v>
      </c>
      <c r="O21" s="363" t="s">
        <v>741</v>
      </c>
      <c r="P21" s="363" t="s">
        <v>744</v>
      </c>
    </row>
    <row r="22" spans="1:16" x14ac:dyDescent="0.2">
      <c r="M22" s="361" t="str">
        <f>+B3</f>
        <v xml:space="preserve"> ปี 2564</v>
      </c>
      <c r="N22" s="1003">
        <f>+B5</f>
        <v>8156.3642</v>
      </c>
      <c r="O22" s="429">
        <f>+B6</f>
        <v>7373.29</v>
      </c>
      <c r="P22" s="1005">
        <f>O22*100/N22</f>
        <v>90.399224693767351</v>
      </c>
    </row>
    <row r="23" spans="1:16" x14ac:dyDescent="0.2">
      <c r="M23" s="361" t="str">
        <f>+C3</f>
        <v xml:space="preserve"> ปี 2565</v>
      </c>
      <c r="N23" s="1004">
        <f>+C5</f>
        <v>7406.49</v>
      </c>
      <c r="O23" s="364">
        <f>+C6</f>
        <v>5641.35</v>
      </c>
      <c r="P23" s="1005">
        <f>+O23*100/N23</f>
        <v>76.167658364488446</v>
      </c>
    </row>
    <row r="25" spans="1:16" ht="21" x14ac:dyDescent="0.2">
      <c r="A25" s="365"/>
      <c r="B25" s="366"/>
      <c r="M25" s="367"/>
    </row>
    <row r="26" spans="1:16" ht="20.25" customHeight="1" x14ac:dyDescent="0.2">
      <c r="A26" s="368" t="s">
        <v>745</v>
      </c>
      <c r="B26" s="1008" t="s">
        <v>1235</v>
      </c>
      <c r="C26" s="1008"/>
      <c r="D26" s="1008"/>
      <c r="E26" s="1008"/>
      <c r="F26" s="1008"/>
      <c r="G26" s="1008"/>
      <c r="H26" s="1008"/>
      <c r="I26" s="1008"/>
      <c r="J26" s="1008"/>
      <c r="K26" s="1008"/>
      <c r="L26" s="1008"/>
      <c r="M26" s="367"/>
    </row>
    <row r="27" spans="1:16" ht="20.25" customHeight="1" x14ac:dyDescent="0.2">
      <c r="A27" s="368"/>
      <c r="B27" s="1352" t="s">
        <v>1234</v>
      </c>
      <c r="C27" s="1352"/>
      <c r="D27" s="1352"/>
      <c r="E27" s="1352"/>
      <c r="F27" s="1352"/>
      <c r="G27" s="1352"/>
      <c r="H27" s="1352"/>
      <c r="I27" s="1352"/>
      <c r="J27" s="1352"/>
      <c r="K27" s="1352"/>
      <c r="L27" s="1352"/>
      <c r="M27" s="367"/>
    </row>
    <row r="28" spans="1:16" x14ac:dyDescent="0.2">
      <c r="A28" s="368"/>
      <c r="B28" s="1352" t="s">
        <v>1273</v>
      </c>
      <c r="C28" s="1352"/>
      <c r="D28" s="1352"/>
      <c r="E28" s="1352"/>
      <c r="F28" s="1352"/>
      <c r="G28" s="1352"/>
      <c r="H28" s="1352"/>
      <c r="I28" s="1352"/>
      <c r="J28" s="1352"/>
      <c r="K28" s="1352"/>
      <c r="L28" s="1352"/>
      <c r="M28" s="367"/>
    </row>
    <row r="29" spans="1:16" s="368" customFormat="1" ht="18.75" x14ac:dyDescent="0.2">
      <c r="B29" s="1352" t="s">
        <v>1279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369"/>
    </row>
    <row r="30" spans="1:16" x14ac:dyDescent="0.2">
      <c r="B30" s="1352" t="s">
        <v>1280</v>
      </c>
      <c r="C30" s="1352"/>
      <c r="D30" s="1352"/>
      <c r="E30" s="1352"/>
      <c r="F30" s="1352"/>
      <c r="G30" s="1352"/>
      <c r="H30" s="1352"/>
      <c r="I30" s="1352"/>
      <c r="J30" s="1352"/>
      <c r="K30" s="1352"/>
      <c r="L30" s="1352"/>
      <c r="M30" s="367"/>
    </row>
    <row r="31" spans="1:16" x14ac:dyDescent="0.2">
      <c r="B31" s="1352" t="s">
        <v>1278</v>
      </c>
      <c r="C31" s="1352"/>
      <c r="D31" s="1352"/>
      <c r="E31" s="1352"/>
      <c r="F31" s="1352"/>
      <c r="G31" s="1352"/>
      <c r="H31" s="1352"/>
      <c r="I31" s="1352"/>
      <c r="J31" s="1352"/>
      <c r="K31" s="1352"/>
      <c r="L31" s="1352"/>
      <c r="M31" s="367"/>
    </row>
    <row r="32" spans="1:16" x14ac:dyDescent="0.2">
      <c r="B32" s="1352"/>
      <c r="C32" s="1352"/>
      <c r="D32" s="1352"/>
      <c r="E32" s="1352"/>
      <c r="F32" s="1352"/>
      <c r="G32" s="1352"/>
      <c r="H32" s="1352"/>
      <c r="I32" s="1352"/>
      <c r="J32" s="1352"/>
      <c r="K32" s="1352"/>
      <c r="L32" s="1352"/>
      <c r="M32" s="367"/>
    </row>
    <row r="33" spans="1:13" x14ac:dyDescent="0.2">
      <c r="A33" s="367"/>
      <c r="B33" s="1352"/>
      <c r="C33" s="1352"/>
      <c r="D33" s="1352"/>
      <c r="E33" s="1352"/>
      <c r="F33" s="1352"/>
      <c r="G33" s="1352"/>
      <c r="H33" s="1352"/>
      <c r="I33" s="1352"/>
      <c r="J33" s="1352"/>
      <c r="K33" s="1352"/>
      <c r="L33" s="1352"/>
      <c r="M33" s="367"/>
    </row>
    <row r="34" spans="1:13" x14ac:dyDescent="0.2">
      <c r="B34" s="1357"/>
      <c r="C34" s="1357"/>
      <c r="D34" s="1357"/>
      <c r="E34" s="1357"/>
      <c r="F34" s="1357"/>
      <c r="G34" s="1357"/>
      <c r="H34" s="1357"/>
      <c r="I34" s="1357"/>
      <c r="J34" s="1357"/>
      <c r="K34" s="1357"/>
      <c r="L34" s="1357"/>
    </row>
    <row r="35" spans="1:13" ht="21" x14ac:dyDescent="0.2">
      <c r="A35" s="370"/>
      <c r="B35" s="1357"/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</row>
    <row r="36" spans="1:13" x14ac:dyDescent="0.2">
      <c r="A36" s="371"/>
      <c r="B36" s="1357"/>
      <c r="C36" s="1357"/>
      <c r="D36" s="1357"/>
      <c r="E36" s="1357"/>
      <c r="F36" s="1357"/>
      <c r="G36" s="1357"/>
      <c r="H36" s="1357"/>
      <c r="I36" s="1357"/>
      <c r="J36" s="1357"/>
      <c r="K36" s="1357"/>
      <c r="L36" s="1357"/>
    </row>
    <row r="37" spans="1:13" x14ac:dyDescent="0.2">
      <c r="A37" s="371"/>
      <c r="B37" s="372"/>
      <c r="C37" s="372"/>
      <c r="D37" s="372"/>
    </row>
    <row r="38" spans="1:13" x14ac:dyDescent="0.2">
      <c r="A38" s="371"/>
      <c r="B38" s="372"/>
      <c r="C38" s="372"/>
      <c r="D38" s="372"/>
    </row>
    <row r="39" spans="1:13" x14ac:dyDescent="0.2">
      <c r="A39" s="371"/>
      <c r="B39" s="372"/>
      <c r="C39" s="372"/>
      <c r="D39" s="372"/>
    </row>
    <row r="40" spans="1:13" x14ac:dyDescent="0.2">
      <c r="A40" s="371"/>
      <c r="B40" s="372"/>
      <c r="C40" s="372"/>
      <c r="D40" s="372"/>
    </row>
  </sheetData>
  <mergeCells count="12">
    <mergeCell ref="B36:L36"/>
    <mergeCell ref="B31:L31"/>
    <mergeCell ref="B32:L32"/>
    <mergeCell ref="B33:L33"/>
    <mergeCell ref="B34:L34"/>
    <mergeCell ref="B35:L35"/>
    <mergeCell ref="B29:L29"/>
    <mergeCell ref="B30:L30"/>
    <mergeCell ref="A2:D2"/>
    <mergeCell ref="N13:P13"/>
    <mergeCell ref="B27:L27"/>
    <mergeCell ref="B28:L28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80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36"/>
  <sheetViews>
    <sheetView view="pageBreakPreview" zoomScaleNormal="85" zoomScaleSheetLayoutView="100" workbookViewId="0">
      <selection activeCell="A7" sqref="A7:I7"/>
    </sheetView>
  </sheetViews>
  <sheetFormatPr defaultColWidth="9" defaultRowHeight="20.25" x14ac:dyDescent="0.2"/>
  <cols>
    <col min="1" max="1" width="9.42578125" style="361" customWidth="1"/>
    <col min="2" max="2" width="15.28515625" style="361" customWidth="1"/>
    <col min="3" max="3" width="15.140625" style="361" customWidth="1"/>
    <col min="4" max="4" width="14.28515625" style="361" customWidth="1"/>
    <col min="5" max="5" width="13" style="361" bestFit="1" customWidth="1"/>
    <col min="6" max="6" width="14.42578125" style="361" bestFit="1" customWidth="1"/>
    <col min="7" max="11" width="9" style="361"/>
    <col min="12" max="12" width="12.28515625" style="361" customWidth="1"/>
    <col min="13" max="13" width="9" style="361"/>
    <col min="14" max="14" width="10.5703125" style="361" customWidth="1"/>
    <col min="15" max="15" width="20.7109375" style="361" customWidth="1"/>
    <col min="16" max="16" width="12.7109375" style="361" bestFit="1" customWidth="1"/>
    <col min="17" max="17" width="10" style="361" bestFit="1" customWidth="1"/>
    <col min="18" max="256" width="9" style="361"/>
    <col min="257" max="257" width="9.42578125" style="361" customWidth="1"/>
    <col min="258" max="258" width="15.28515625" style="361" customWidth="1"/>
    <col min="259" max="259" width="15.140625" style="361" customWidth="1"/>
    <col min="260" max="260" width="14.28515625" style="361" customWidth="1"/>
    <col min="261" max="261" width="13" style="361" bestFit="1" customWidth="1"/>
    <col min="262" max="262" width="14.42578125" style="361" bestFit="1" customWidth="1"/>
    <col min="263" max="267" width="9" style="361"/>
    <col min="268" max="268" width="12.28515625" style="361" customWidth="1"/>
    <col min="269" max="269" width="9" style="361"/>
    <col min="270" max="270" width="10.5703125" style="361" customWidth="1"/>
    <col min="271" max="271" width="9.28515625" style="361" customWidth="1"/>
    <col min="272" max="272" width="12.7109375" style="361" bestFit="1" customWidth="1"/>
    <col min="273" max="512" width="9" style="361"/>
    <col min="513" max="513" width="9.42578125" style="361" customWidth="1"/>
    <col min="514" max="514" width="15.28515625" style="361" customWidth="1"/>
    <col min="515" max="515" width="15.140625" style="361" customWidth="1"/>
    <col min="516" max="516" width="14.28515625" style="361" customWidth="1"/>
    <col min="517" max="517" width="13" style="361" bestFit="1" customWidth="1"/>
    <col min="518" max="518" width="14.42578125" style="361" bestFit="1" customWidth="1"/>
    <col min="519" max="523" width="9" style="361"/>
    <col min="524" max="524" width="12.28515625" style="361" customWidth="1"/>
    <col min="525" max="525" width="9" style="361"/>
    <col min="526" max="526" width="10.5703125" style="361" customWidth="1"/>
    <col min="527" max="527" width="9.28515625" style="361" customWidth="1"/>
    <col min="528" max="528" width="12.7109375" style="361" bestFit="1" customWidth="1"/>
    <col min="529" max="768" width="9" style="361"/>
    <col min="769" max="769" width="9.42578125" style="361" customWidth="1"/>
    <col min="770" max="770" width="15.28515625" style="361" customWidth="1"/>
    <col min="771" max="771" width="15.140625" style="361" customWidth="1"/>
    <col min="772" max="772" width="14.28515625" style="361" customWidth="1"/>
    <col min="773" max="773" width="13" style="361" bestFit="1" customWidth="1"/>
    <col min="774" max="774" width="14.42578125" style="361" bestFit="1" customWidth="1"/>
    <col min="775" max="779" width="9" style="361"/>
    <col min="780" max="780" width="12.28515625" style="361" customWidth="1"/>
    <col min="781" max="781" width="9" style="361"/>
    <col min="782" max="782" width="10.5703125" style="361" customWidth="1"/>
    <col min="783" max="783" width="9.28515625" style="361" customWidth="1"/>
    <col min="784" max="784" width="12.7109375" style="361" bestFit="1" customWidth="1"/>
    <col min="785" max="1024" width="9" style="361"/>
    <col min="1025" max="1025" width="9.42578125" style="361" customWidth="1"/>
    <col min="1026" max="1026" width="15.28515625" style="361" customWidth="1"/>
    <col min="1027" max="1027" width="15.140625" style="361" customWidth="1"/>
    <col min="1028" max="1028" width="14.28515625" style="361" customWidth="1"/>
    <col min="1029" max="1029" width="13" style="361" bestFit="1" customWidth="1"/>
    <col min="1030" max="1030" width="14.42578125" style="361" bestFit="1" customWidth="1"/>
    <col min="1031" max="1035" width="9" style="361"/>
    <col min="1036" max="1036" width="12.28515625" style="361" customWidth="1"/>
    <col min="1037" max="1037" width="9" style="361"/>
    <col min="1038" max="1038" width="10.5703125" style="361" customWidth="1"/>
    <col min="1039" max="1039" width="9.28515625" style="361" customWidth="1"/>
    <col min="1040" max="1040" width="12.7109375" style="361" bestFit="1" customWidth="1"/>
    <col min="1041" max="1280" width="9" style="361"/>
    <col min="1281" max="1281" width="9.42578125" style="361" customWidth="1"/>
    <col min="1282" max="1282" width="15.28515625" style="361" customWidth="1"/>
    <col min="1283" max="1283" width="15.140625" style="361" customWidth="1"/>
    <col min="1284" max="1284" width="14.28515625" style="361" customWidth="1"/>
    <col min="1285" max="1285" width="13" style="361" bestFit="1" customWidth="1"/>
    <col min="1286" max="1286" width="14.42578125" style="361" bestFit="1" customWidth="1"/>
    <col min="1287" max="1291" width="9" style="361"/>
    <col min="1292" max="1292" width="12.28515625" style="361" customWidth="1"/>
    <col min="1293" max="1293" width="9" style="361"/>
    <col min="1294" max="1294" width="10.5703125" style="361" customWidth="1"/>
    <col min="1295" max="1295" width="9.28515625" style="361" customWidth="1"/>
    <col min="1296" max="1296" width="12.7109375" style="361" bestFit="1" customWidth="1"/>
    <col min="1297" max="1536" width="9" style="361"/>
    <col min="1537" max="1537" width="9.42578125" style="361" customWidth="1"/>
    <col min="1538" max="1538" width="15.28515625" style="361" customWidth="1"/>
    <col min="1539" max="1539" width="15.140625" style="361" customWidth="1"/>
    <col min="1540" max="1540" width="14.28515625" style="361" customWidth="1"/>
    <col min="1541" max="1541" width="13" style="361" bestFit="1" customWidth="1"/>
    <col min="1542" max="1542" width="14.42578125" style="361" bestFit="1" customWidth="1"/>
    <col min="1543" max="1547" width="9" style="361"/>
    <col min="1548" max="1548" width="12.28515625" style="361" customWidth="1"/>
    <col min="1549" max="1549" width="9" style="361"/>
    <col min="1550" max="1550" width="10.5703125" style="361" customWidth="1"/>
    <col min="1551" max="1551" width="9.28515625" style="361" customWidth="1"/>
    <col min="1552" max="1552" width="12.7109375" style="361" bestFit="1" customWidth="1"/>
    <col min="1553" max="1792" width="9" style="361"/>
    <col min="1793" max="1793" width="9.42578125" style="361" customWidth="1"/>
    <col min="1794" max="1794" width="15.28515625" style="361" customWidth="1"/>
    <col min="1795" max="1795" width="15.140625" style="361" customWidth="1"/>
    <col min="1796" max="1796" width="14.28515625" style="361" customWidth="1"/>
    <col min="1797" max="1797" width="13" style="361" bestFit="1" customWidth="1"/>
    <col min="1798" max="1798" width="14.42578125" style="361" bestFit="1" customWidth="1"/>
    <col min="1799" max="1803" width="9" style="361"/>
    <col min="1804" max="1804" width="12.28515625" style="361" customWidth="1"/>
    <col min="1805" max="1805" width="9" style="361"/>
    <col min="1806" max="1806" width="10.5703125" style="361" customWidth="1"/>
    <col min="1807" max="1807" width="9.28515625" style="361" customWidth="1"/>
    <col min="1808" max="1808" width="12.7109375" style="361" bestFit="1" customWidth="1"/>
    <col min="1809" max="2048" width="9" style="361"/>
    <col min="2049" max="2049" width="9.42578125" style="361" customWidth="1"/>
    <col min="2050" max="2050" width="15.28515625" style="361" customWidth="1"/>
    <col min="2051" max="2051" width="15.140625" style="361" customWidth="1"/>
    <col min="2052" max="2052" width="14.28515625" style="361" customWidth="1"/>
    <col min="2053" max="2053" width="13" style="361" bestFit="1" customWidth="1"/>
    <col min="2054" max="2054" width="14.42578125" style="361" bestFit="1" customWidth="1"/>
    <col min="2055" max="2059" width="9" style="361"/>
    <col min="2060" max="2060" width="12.28515625" style="361" customWidth="1"/>
    <col min="2061" max="2061" width="9" style="361"/>
    <col min="2062" max="2062" width="10.5703125" style="361" customWidth="1"/>
    <col min="2063" max="2063" width="9.28515625" style="361" customWidth="1"/>
    <col min="2064" max="2064" width="12.7109375" style="361" bestFit="1" customWidth="1"/>
    <col min="2065" max="2304" width="9" style="361"/>
    <col min="2305" max="2305" width="9.42578125" style="361" customWidth="1"/>
    <col min="2306" max="2306" width="15.28515625" style="361" customWidth="1"/>
    <col min="2307" max="2307" width="15.140625" style="361" customWidth="1"/>
    <col min="2308" max="2308" width="14.28515625" style="361" customWidth="1"/>
    <col min="2309" max="2309" width="13" style="361" bestFit="1" customWidth="1"/>
    <col min="2310" max="2310" width="14.42578125" style="361" bestFit="1" customWidth="1"/>
    <col min="2311" max="2315" width="9" style="361"/>
    <col min="2316" max="2316" width="12.28515625" style="361" customWidth="1"/>
    <col min="2317" max="2317" width="9" style="361"/>
    <col min="2318" max="2318" width="10.5703125" style="361" customWidth="1"/>
    <col min="2319" max="2319" width="9.28515625" style="361" customWidth="1"/>
    <col min="2320" max="2320" width="12.7109375" style="361" bestFit="1" customWidth="1"/>
    <col min="2321" max="2560" width="9" style="361"/>
    <col min="2561" max="2561" width="9.42578125" style="361" customWidth="1"/>
    <col min="2562" max="2562" width="15.28515625" style="361" customWidth="1"/>
    <col min="2563" max="2563" width="15.140625" style="361" customWidth="1"/>
    <col min="2564" max="2564" width="14.28515625" style="361" customWidth="1"/>
    <col min="2565" max="2565" width="13" style="361" bestFit="1" customWidth="1"/>
    <col min="2566" max="2566" width="14.42578125" style="361" bestFit="1" customWidth="1"/>
    <col min="2567" max="2571" width="9" style="361"/>
    <col min="2572" max="2572" width="12.28515625" style="361" customWidth="1"/>
    <col min="2573" max="2573" width="9" style="361"/>
    <col min="2574" max="2574" width="10.5703125" style="361" customWidth="1"/>
    <col min="2575" max="2575" width="9.28515625" style="361" customWidth="1"/>
    <col min="2576" max="2576" width="12.7109375" style="361" bestFit="1" customWidth="1"/>
    <col min="2577" max="2816" width="9" style="361"/>
    <col min="2817" max="2817" width="9.42578125" style="361" customWidth="1"/>
    <col min="2818" max="2818" width="15.28515625" style="361" customWidth="1"/>
    <col min="2819" max="2819" width="15.140625" style="361" customWidth="1"/>
    <col min="2820" max="2820" width="14.28515625" style="361" customWidth="1"/>
    <col min="2821" max="2821" width="13" style="361" bestFit="1" customWidth="1"/>
    <col min="2822" max="2822" width="14.42578125" style="361" bestFit="1" customWidth="1"/>
    <col min="2823" max="2827" width="9" style="361"/>
    <col min="2828" max="2828" width="12.28515625" style="361" customWidth="1"/>
    <col min="2829" max="2829" width="9" style="361"/>
    <col min="2830" max="2830" width="10.5703125" style="361" customWidth="1"/>
    <col min="2831" max="2831" width="9.28515625" style="361" customWidth="1"/>
    <col min="2832" max="2832" width="12.7109375" style="361" bestFit="1" customWidth="1"/>
    <col min="2833" max="3072" width="9" style="361"/>
    <col min="3073" max="3073" width="9.42578125" style="361" customWidth="1"/>
    <col min="3074" max="3074" width="15.28515625" style="361" customWidth="1"/>
    <col min="3075" max="3075" width="15.140625" style="361" customWidth="1"/>
    <col min="3076" max="3076" width="14.28515625" style="361" customWidth="1"/>
    <col min="3077" max="3077" width="13" style="361" bestFit="1" customWidth="1"/>
    <col min="3078" max="3078" width="14.42578125" style="361" bestFit="1" customWidth="1"/>
    <col min="3079" max="3083" width="9" style="361"/>
    <col min="3084" max="3084" width="12.28515625" style="361" customWidth="1"/>
    <col min="3085" max="3085" width="9" style="361"/>
    <col min="3086" max="3086" width="10.5703125" style="361" customWidth="1"/>
    <col min="3087" max="3087" width="9.28515625" style="361" customWidth="1"/>
    <col min="3088" max="3088" width="12.7109375" style="361" bestFit="1" customWidth="1"/>
    <col min="3089" max="3328" width="9" style="361"/>
    <col min="3329" max="3329" width="9.42578125" style="361" customWidth="1"/>
    <col min="3330" max="3330" width="15.28515625" style="361" customWidth="1"/>
    <col min="3331" max="3331" width="15.140625" style="361" customWidth="1"/>
    <col min="3332" max="3332" width="14.28515625" style="361" customWidth="1"/>
    <col min="3333" max="3333" width="13" style="361" bestFit="1" customWidth="1"/>
    <col min="3334" max="3334" width="14.42578125" style="361" bestFit="1" customWidth="1"/>
    <col min="3335" max="3339" width="9" style="361"/>
    <col min="3340" max="3340" width="12.28515625" style="361" customWidth="1"/>
    <col min="3341" max="3341" width="9" style="361"/>
    <col min="3342" max="3342" width="10.5703125" style="361" customWidth="1"/>
    <col min="3343" max="3343" width="9.28515625" style="361" customWidth="1"/>
    <col min="3344" max="3344" width="12.7109375" style="361" bestFit="1" customWidth="1"/>
    <col min="3345" max="3584" width="9" style="361"/>
    <col min="3585" max="3585" width="9.42578125" style="361" customWidth="1"/>
    <col min="3586" max="3586" width="15.28515625" style="361" customWidth="1"/>
    <col min="3587" max="3587" width="15.140625" style="361" customWidth="1"/>
    <col min="3588" max="3588" width="14.28515625" style="361" customWidth="1"/>
    <col min="3589" max="3589" width="13" style="361" bestFit="1" customWidth="1"/>
    <col min="3590" max="3590" width="14.42578125" style="361" bestFit="1" customWidth="1"/>
    <col min="3591" max="3595" width="9" style="361"/>
    <col min="3596" max="3596" width="12.28515625" style="361" customWidth="1"/>
    <col min="3597" max="3597" width="9" style="361"/>
    <col min="3598" max="3598" width="10.5703125" style="361" customWidth="1"/>
    <col min="3599" max="3599" width="9.28515625" style="361" customWidth="1"/>
    <col min="3600" max="3600" width="12.7109375" style="361" bestFit="1" customWidth="1"/>
    <col min="3601" max="3840" width="9" style="361"/>
    <col min="3841" max="3841" width="9.42578125" style="361" customWidth="1"/>
    <col min="3842" max="3842" width="15.28515625" style="361" customWidth="1"/>
    <col min="3843" max="3843" width="15.140625" style="361" customWidth="1"/>
    <col min="3844" max="3844" width="14.28515625" style="361" customWidth="1"/>
    <col min="3845" max="3845" width="13" style="361" bestFit="1" customWidth="1"/>
    <col min="3846" max="3846" width="14.42578125" style="361" bestFit="1" customWidth="1"/>
    <col min="3847" max="3851" width="9" style="361"/>
    <col min="3852" max="3852" width="12.28515625" style="361" customWidth="1"/>
    <col min="3853" max="3853" width="9" style="361"/>
    <col min="3854" max="3854" width="10.5703125" style="361" customWidth="1"/>
    <col min="3855" max="3855" width="9.28515625" style="361" customWidth="1"/>
    <col min="3856" max="3856" width="12.7109375" style="361" bestFit="1" customWidth="1"/>
    <col min="3857" max="4096" width="9" style="361"/>
    <col min="4097" max="4097" width="9.42578125" style="361" customWidth="1"/>
    <col min="4098" max="4098" width="15.28515625" style="361" customWidth="1"/>
    <col min="4099" max="4099" width="15.140625" style="361" customWidth="1"/>
    <col min="4100" max="4100" width="14.28515625" style="361" customWidth="1"/>
    <col min="4101" max="4101" width="13" style="361" bestFit="1" customWidth="1"/>
    <col min="4102" max="4102" width="14.42578125" style="361" bestFit="1" customWidth="1"/>
    <col min="4103" max="4107" width="9" style="361"/>
    <col min="4108" max="4108" width="12.28515625" style="361" customWidth="1"/>
    <col min="4109" max="4109" width="9" style="361"/>
    <col min="4110" max="4110" width="10.5703125" style="361" customWidth="1"/>
    <col min="4111" max="4111" width="9.28515625" style="361" customWidth="1"/>
    <col min="4112" max="4112" width="12.7109375" style="361" bestFit="1" customWidth="1"/>
    <col min="4113" max="4352" width="9" style="361"/>
    <col min="4353" max="4353" width="9.42578125" style="361" customWidth="1"/>
    <col min="4354" max="4354" width="15.28515625" style="361" customWidth="1"/>
    <col min="4355" max="4355" width="15.140625" style="361" customWidth="1"/>
    <col min="4356" max="4356" width="14.28515625" style="361" customWidth="1"/>
    <col min="4357" max="4357" width="13" style="361" bestFit="1" customWidth="1"/>
    <col min="4358" max="4358" width="14.42578125" style="361" bestFit="1" customWidth="1"/>
    <col min="4359" max="4363" width="9" style="361"/>
    <col min="4364" max="4364" width="12.28515625" style="361" customWidth="1"/>
    <col min="4365" max="4365" width="9" style="361"/>
    <col min="4366" max="4366" width="10.5703125" style="361" customWidth="1"/>
    <col min="4367" max="4367" width="9.28515625" style="361" customWidth="1"/>
    <col min="4368" max="4368" width="12.7109375" style="361" bestFit="1" customWidth="1"/>
    <col min="4369" max="4608" width="9" style="361"/>
    <col min="4609" max="4609" width="9.42578125" style="361" customWidth="1"/>
    <col min="4610" max="4610" width="15.28515625" style="361" customWidth="1"/>
    <col min="4611" max="4611" width="15.140625" style="361" customWidth="1"/>
    <col min="4612" max="4612" width="14.28515625" style="361" customWidth="1"/>
    <col min="4613" max="4613" width="13" style="361" bestFit="1" customWidth="1"/>
    <col min="4614" max="4614" width="14.42578125" style="361" bestFit="1" customWidth="1"/>
    <col min="4615" max="4619" width="9" style="361"/>
    <col min="4620" max="4620" width="12.28515625" style="361" customWidth="1"/>
    <col min="4621" max="4621" width="9" style="361"/>
    <col min="4622" max="4622" width="10.5703125" style="361" customWidth="1"/>
    <col min="4623" max="4623" width="9.28515625" style="361" customWidth="1"/>
    <col min="4624" max="4624" width="12.7109375" style="361" bestFit="1" customWidth="1"/>
    <col min="4625" max="4864" width="9" style="361"/>
    <col min="4865" max="4865" width="9.42578125" style="361" customWidth="1"/>
    <col min="4866" max="4866" width="15.28515625" style="361" customWidth="1"/>
    <col min="4867" max="4867" width="15.140625" style="361" customWidth="1"/>
    <col min="4868" max="4868" width="14.28515625" style="361" customWidth="1"/>
    <col min="4869" max="4869" width="13" style="361" bestFit="1" customWidth="1"/>
    <col min="4870" max="4870" width="14.42578125" style="361" bestFit="1" customWidth="1"/>
    <col min="4871" max="4875" width="9" style="361"/>
    <col min="4876" max="4876" width="12.28515625" style="361" customWidth="1"/>
    <col min="4877" max="4877" width="9" style="361"/>
    <col min="4878" max="4878" width="10.5703125" style="361" customWidth="1"/>
    <col min="4879" max="4879" width="9.28515625" style="361" customWidth="1"/>
    <col min="4880" max="4880" width="12.7109375" style="361" bestFit="1" customWidth="1"/>
    <col min="4881" max="5120" width="9" style="361"/>
    <col min="5121" max="5121" width="9.42578125" style="361" customWidth="1"/>
    <col min="5122" max="5122" width="15.28515625" style="361" customWidth="1"/>
    <col min="5123" max="5123" width="15.140625" style="361" customWidth="1"/>
    <col min="5124" max="5124" width="14.28515625" style="361" customWidth="1"/>
    <col min="5125" max="5125" width="13" style="361" bestFit="1" customWidth="1"/>
    <col min="5126" max="5126" width="14.42578125" style="361" bestFit="1" customWidth="1"/>
    <col min="5127" max="5131" width="9" style="361"/>
    <col min="5132" max="5132" width="12.28515625" style="361" customWidth="1"/>
    <col min="5133" max="5133" width="9" style="361"/>
    <col min="5134" max="5134" width="10.5703125" style="361" customWidth="1"/>
    <col min="5135" max="5135" width="9.28515625" style="361" customWidth="1"/>
    <col min="5136" max="5136" width="12.7109375" style="361" bestFit="1" customWidth="1"/>
    <col min="5137" max="5376" width="9" style="361"/>
    <col min="5377" max="5377" width="9.42578125" style="361" customWidth="1"/>
    <col min="5378" max="5378" width="15.28515625" style="361" customWidth="1"/>
    <col min="5379" max="5379" width="15.140625" style="361" customWidth="1"/>
    <col min="5380" max="5380" width="14.28515625" style="361" customWidth="1"/>
    <col min="5381" max="5381" width="13" style="361" bestFit="1" customWidth="1"/>
    <col min="5382" max="5382" width="14.42578125" style="361" bestFit="1" customWidth="1"/>
    <col min="5383" max="5387" width="9" style="361"/>
    <col min="5388" max="5388" width="12.28515625" style="361" customWidth="1"/>
    <col min="5389" max="5389" width="9" style="361"/>
    <col min="5390" max="5390" width="10.5703125" style="361" customWidth="1"/>
    <col min="5391" max="5391" width="9.28515625" style="361" customWidth="1"/>
    <col min="5392" max="5392" width="12.7109375" style="361" bestFit="1" customWidth="1"/>
    <col min="5393" max="5632" width="9" style="361"/>
    <col min="5633" max="5633" width="9.42578125" style="361" customWidth="1"/>
    <col min="5634" max="5634" width="15.28515625" style="361" customWidth="1"/>
    <col min="5635" max="5635" width="15.140625" style="361" customWidth="1"/>
    <col min="5636" max="5636" width="14.28515625" style="361" customWidth="1"/>
    <col min="5637" max="5637" width="13" style="361" bestFit="1" customWidth="1"/>
    <col min="5638" max="5638" width="14.42578125" style="361" bestFit="1" customWidth="1"/>
    <col min="5639" max="5643" width="9" style="361"/>
    <col min="5644" max="5644" width="12.28515625" style="361" customWidth="1"/>
    <col min="5645" max="5645" width="9" style="361"/>
    <col min="5646" max="5646" width="10.5703125" style="361" customWidth="1"/>
    <col min="5647" max="5647" width="9.28515625" style="361" customWidth="1"/>
    <col min="5648" max="5648" width="12.7109375" style="361" bestFit="1" customWidth="1"/>
    <col min="5649" max="5888" width="9" style="361"/>
    <col min="5889" max="5889" width="9.42578125" style="361" customWidth="1"/>
    <col min="5890" max="5890" width="15.28515625" style="361" customWidth="1"/>
    <col min="5891" max="5891" width="15.140625" style="361" customWidth="1"/>
    <col min="5892" max="5892" width="14.28515625" style="361" customWidth="1"/>
    <col min="5893" max="5893" width="13" style="361" bestFit="1" customWidth="1"/>
    <col min="5894" max="5894" width="14.42578125" style="361" bestFit="1" customWidth="1"/>
    <col min="5895" max="5899" width="9" style="361"/>
    <col min="5900" max="5900" width="12.28515625" style="361" customWidth="1"/>
    <col min="5901" max="5901" width="9" style="361"/>
    <col min="5902" max="5902" width="10.5703125" style="361" customWidth="1"/>
    <col min="5903" max="5903" width="9.28515625" style="361" customWidth="1"/>
    <col min="5904" max="5904" width="12.7109375" style="361" bestFit="1" customWidth="1"/>
    <col min="5905" max="6144" width="9" style="361"/>
    <col min="6145" max="6145" width="9.42578125" style="361" customWidth="1"/>
    <col min="6146" max="6146" width="15.28515625" style="361" customWidth="1"/>
    <col min="6147" max="6147" width="15.140625" style="361" customWidth="1"/>
    <col min="6148" max="6148" width="14.28515625" style="361" customWidth="1"/>
    <col min="6149" max="6149" width="13" style="361" bestFit="1" customWidth="1"/>
    <col min="6150" max="6150" width="14.42578125" style="361" bestFit="1" customWidth="1"/>
    <col min="6151" max="6155" width="9" style="361"/>
    <col min="6156" max="6156" width="12.28515625" style="361" customWidth="1"/>
    <col min="6157" max="6157" width="9" style="361"/>
    <col min="6158" max="6158" width="10.5703125" style="361" customWidth="1"/>
    <col min="6159" max="6159" width="9.28515625" style="361" customWidth="1"/>
    <col min="6160" max="6160" width="12.7109375" style="361" bestFit="1" customWidth="1"/>
    <col min="6161" max="6400" width="9" style="361"/>
    <col min="6401" max="6401" width="9.42578125" style="361" customWidth="1"/>
    <col min="6402" max="6402" width="15.28515625" style="361" customWidth="1"/>
    <col min="6403" max="6403" width="15.140625" style="361" customWidth="1"/>
    <col min="6404" max="6404" width="14.28515625" style="361" customWidth="1"/>
    <col min="6405" max="6405" width="13" style="361" bestFit="1" customWidth="1"/>
    <col min="6406" max="6406" width="14.42578125" style="361" bestFit="1" customWidth="1"/>
    <col min="6407" max="6411" width="9" style="361"/>
    <col min="6412" max="6412" width="12.28515625" style="361" customWidth="1"/>
    <col min="6413" max="6413" width="9" style="361"/>
    <col min="6414" max="6414" width="10.5703125" style="361" customWidth="1"/>
    <col min="6415" max="6415" width="9.28515625" style="361" customWidth="1"/>
    <col min="6416" max="6416" width="12.7109375" style="361" bestFit="1" customWidth="1"/>
    <col min="6417" max="6656" width="9" style="361"/>
    <col min="6657" max="6657" width="9.42578125" style="361" customWidth="1"/>
    <col min="6658" max="6658" width="15.28515625" style="361" customWidth="1"/>
    <col min="6659" max="6659" width="15.140625" style="361" customWidth="1"/>
    <col min="6660" max="6660" width="14.28515625" style="361" customWidth="1"/>
    <col min="6661" max="6661" width="13" style="361" bestFit="1" customWidth="1"/>
    <col min="6662" max="6662" width="14.42578125" style="361" bestFit="1" customWidth="1"/>
    <col min="6663" max="6667" width="9" style="361"/>
    <col min="6668" max="6668" width="12.28515625" style="361" customWidth="1"/>
    <col min="6669" max="6669" width="9" style="361"/>
    <col min="6670" max="6670" width="10.5703125" style="361" customWidth="1"/>
    <col min="6671" max="6671" width="9.28515625" style="361" customWidth="1"/>
    <col min="6672" max="6672" width="12.7109375" style="361" bestFit="1" customWidth="1"/>
    <col min="6673" max="6912" width="9" style="361"/>
    <col min="6913" max="6913" width="9.42578125" style="361" customWidth="1"/>
    <col min="6914" max="6914" width="15.28515625" style="361" customWidth="1"/>
    <col min="6915" max="6915" width="15.140625" style="361" customWidth="1"/>
    <col min="6916" max="6916" width="14.28515625" style="361" customWidth="1"/>
    <col min="6917" max="6917" width="13" style="361" bestFit="1" customWidth="1"/>
    <col min="6918" max="6918" width="14.42578125" style="361" bestFit="1" customWidth="1"/>
    <col min="6919" max="6923" width="9" style="361"/>
    <col min="6924" max="6924" width="12.28515625" style="361" customWidth="1"/>
    <col min="6925" max="6925" width="9" style="361"/>
    <col min="6926" max="6926" width="10.5703125" style="361" customWidth="1"/>
    <col min="6927" max="6927" width="9.28515625" style="361" customWidth="1"/>
    <col min="6928" max="6928" width="12.7109375" style="361" bestFit="1" customWidth="1"/>
    <col min="6929" max="7168" width="9" style="361"/>
    <col min="7169" max="7169" width="9.42578125" style="361" customWidth="1"/>
    <col min="7170" max="7170" width="15.28515625" style="361" customWidth="1"/>
    <col min="7171" max="7171" width="15.140625" style="361" customWidth="1"/>
    <col min="7172" max="7172" width="14.28515625" style="361" customWidth="1"/>
    <col min="7173" max="7173" width="13" style="361" bestFit="1" customWidth="1"/>
    <col min="7174" max="7174" width="14.42578125" style="361" bestFit="1" customWidth="1"/>
    <col min="7175" max="7179" width="9" style="361"/>
    <col min="7180" max="7180" width="12.28515625" style="361" customWidth="1"/>
    <col min="7181" max="7181" width="9" style="361"/>
    <col min="7182" max="7182" width="10.5703125" style="361" customWidth="1"/>
    <col min="7183" max="7183" width="9.28515625" style="361" customWidth="1"/>
    <col min="7184" max="7184" width="12.7109375" style="361" bestFit="1" customWidth="1"/>
    <col min="7185" max="7424" width="9" style="361"/>
    <col min="7425" max="7425" width="9.42578125" style="361" customWidth="1"/>
    <col min="7426" max="7426" width="15.28515625" style="361" customWidth="1"/>
    <col min="7427" max="7427" width="15.140625" style="361" customWidth="1"/>
    <col min="7428" max="7428" width="14.28515625" style="361" customWidth="1"/>
    <col min="7429" max="7429" width="13" style="361" bestFit="1" customWidth="1"/>
    <col min="7430" max="7430" width="14.42578125" style="361" bestFit="1" customWidth="1"/>
    <col min="7431" max="7435" width="9" style="361"/>
    <col min="7436" max="7436" width="12.28515625" style="361" customWidth="1"/>
    <col min="7437" max="7437" width="9" style="361"/>
    <col min="7438" max="7438" width="10.5703125" style="361" customWidth="1"/>
    <col min="7439" max="7439" width="9.28515625" style="361" customWidth="1"/>
    <col min="7440" max="7440" width="12.7109375" style="361" bestFit="1" customWidth="1"/>
    <col min="7441" max="7680" width="9" style="361"/>
    <col min="7681" max="7681" width="9.42578125" style="361" customWidth="1"/>
    <col min="7682" max="7682" width="15.28515625" style="361" customWidth="1"/>
    <col min="7683" max="7683" width="15.140625" style="361" customWidth="1"/>
    <col min="7684" max="7684" width="14.28515625" style="361" customWidth="1"/>
    <col min="7685" max="7685" width="13" style="361" bestFit="1" customWidth="1"/>
    <col min="7686" max="7686" width="14.42578125" style="361" bestFit="1" customWidth="1"/>
    <col min="7687" max="7691" width="9" style="361"/>
    <col min="7692" max="7692" width="12.28515625" style="361" customWidth="1"/>
    <col min="7693" max="7693" width="9" style="361"/>
    <col min="7694" max="7694" width="10.5703125" style="361" customWidth="1"/>
    <col min="7695" max="7695" width="9.28515625" style="361" customWidth="1"/>
    <col min="7696" max="7696" width="12.7109375" style="361" bestFit="1" customWidth="1"/>
    <col min="7697" max="7936" width="9" style="361"/>
    <col min="7937" max="7937" width="9.42578125" style="361" customWidth="1"/>
    <col min="7938" max="7938" width="15.28515625" style="361" customWidth="1"/>
    <col min="7939" max="7939" width="15.140625" style="361" customWidth="1"/>
    <col min="7940" max="7940" width="14.28515625" style="361" customWidth="1"/>
    <col min="7941" max="7941" width="13" style="361" bestFit="1" customWidth="1"/>
    <col min="7942" max="7942" width="14.42578125" style="361" bestFit="1" customWidth="1"/>
    <col min="7943" max="7947" width="9" style="361"/>
    <col min="7948" max="7948" width="12.28515625" style="361" customWidth="1"/>
    <col min="7949" max="7949" width="9" style="361"/>
    <col min="7950" max="7950" width="10.5703125" style="361" customWidth="1"/>
    <col min="7951" max="7951" width="9.28515625" style="361" customWidth="1"/>
    <col min="7952" max="7952" width="12.7109375" style="361" bestFit="1" customWidth="1"/>
    <col min="7953" max="8192" width="9" style="361"/>
    <col min="8193" max="8193" width="9.42578125" style="361" customWidth="1"/>
    <col min="8194" max="8194" width="15.28515625" style="361" customWidth="1"/>
    <col min="8195" max="8195" width="15.140625" style="361" customWidth="1"/>
    <col min="8196" max="8196" width="14.28515625" style="361" customWidth="1"/>
    <col min="8197" max="8197" width="13" style="361" bestFit="1" customWidth="1"/>
    <col min="8198" max="8198" width="14.42578125" style="361" bestFit="1" customWidth="1"/>
    <col min="8199" max="8203" width="9" style="361"/>
    <col min="8204" max="8204" width="12.28515625" style="361" customWidth="1"/>
    <col min="8205" max="8205" width="9" style="361"/>
    <col min="8206" max="8206" width="10.5703125" style="361" customWidth="1"/>
    <col min="8207" max="8207" width="9.28515625" style="361" customWidth="1"/>
    <col min="8208" max="8208" width="12.7109375" style="361" bestFit="1" customWidth="1"/>
    <col min="8209" max="8448" width="9" style="361"/>
    <col min="8449" max="8449" width="9.42578125" style="361" customWidth="1"/>
    <col min="8450" max="8450" width="15.28515625" style="361" customWidth="1"/>
    <col min="8451" max="8451" width="15.140625" style="361" customWidth="1"/>
    <col min="8452" max="8452" width="14.28515625" style="361" customWidth="1"/>
    <col min="8453" max="8453" width="13" style="361" bestFit="1" customWidth="1"/>
    <col min="8454" max="8454" width="14.42578125" style="361" bestFit="1" customWidth="1"/>
    <col min="8455" max="8459" width="9" style="361"/>
    <col min="8460" max="8460" width="12.28515625" style="361" customWidth="1"/>
    <col min="8461" max="8461" width="9" style="361"/>
    <col min="8462" max="8462" width="10.5703125" style="361" customWidth="1"/>
    <col min="8463" max="8463" width="9.28515625" style="361" customWidth="1"/>
    <col min="8464" max="8464" width="12.7109375" style="361" bestFit="1" customWidth="1"/>
    <col min="8465" max="8704" width="9" style="361"/>
    <col min="8705" max="8705" width="9.42578125" style="361" customWidth="1"/>
    <col min="8706" max="8706" width="15.28515625" style="361" customWidth="1"/>
    <col min="8707" max="8707" width="15.140625" style="361" customWidth="1"/>
    <col min="8708" max="8708" width="14.28515625" style="361" customWidth="1"/>
    <col min="8709" max="8709" width="13" style="361" bestFit="1" customWidth="1"/>
    <col min="8710" max="8710" width="14.42578125" style="361" bestFit="1" customWidth="1"/>
    <col min="8711" max="8715" width="9" style="361"/>
    <col min="8716" max="8716" width="12.28515625" style="361" customWidth="1"/>
    <col min="8717" max="8717" width="9" style="361"/>
    <col min="8718" max="8718" width="10.5703125" style="361" customWidth="1"/>
    <col min="8719" max="8719" width="9.28515625" style="361" customWidth="1"/>
    <col min="8720" max="8720" width="12.7109375" style="361" bestFit="1" customWidth="1"/>
    <col min="8721" max="8960" width="9" style="361"/>
    <col min="8961" max="8961" width="9.42578125" style="361" customWidth="1"/>
    <col min="8962" max="8962" width="15.28515625" style="361" customWidth="1"/>
    <col min="8963" max="8963" width="15.140625" style="361" customWidth="1"/>
    <col min="8964" max="8964" width="14.28515625" style="361" customWidth="1"/>
    <col min="8965" max="8965" width="13" style="361" bestFit="1" customWidth="1"/>
    <col min="8966" max="8966" width="14.42578125" style="361" bestFit="1" customWidth="1"/>
    <col min="8967" max="8971" width="9" style="361"/>
    <col min="8972" max="8972" width="12.28515625" style="361" customWidth="1"/>
    <col min="8973" max="8973" width="9" style="361"/>
    <col min="8974" max="8974" width="10.5703125" style="361" customWidth="1"/>
    <col min="8975" max="8975" width="9.28515625" style="361" customWidth="1"/>
    <col min="8976" max="8976" width="12.7109375" style="361" bestFit="1" customWidth="1"/>
    <col min="8977" max="9216" width="9" style="361"/>
    <col min="9217" max="9217" width="9.42578125" style="361" customWidth="1"/>
    <col min="9218" max="9218" width="15.28515625" style="361" customWidth="1"/>
    <col min="9219" max="9219" width="15.140625" style="361" customWidth="1"/>
    <col min="9220" max="9220" width="14.28515625" style="361" customWidth="1"/>
    <col min="9221" max="9221" width="13" style="361" bestFit="1" customWidth="1"/>
    <col min="9222" max="9222" width="14.42578125" style="361" bestFit="1" customWidth="1"/>
    <col min="9223" max="9227" width="9" style="361"/>
    <col min="9228" max="9228" width="12.28515625" style="361" customWidth="1"/>
    <col min="9229" max="9229" width="9" style="361"/>
    <col min="9230" max="9230" width="10.5703125" style="361" customWidth="1"/>
    <col min="9231" max="9231" width="9.28515625" style="361" customWidth="1"/>
    <col min="9232" max="9232" width="12.7109375" style="361" bestFit="1" customWidth="1"/>
    <col min="9233" max="9472" width="9" style="361"/>
    <col min="9473" max="9473" width="9.42578125" style="361" customWidth="1"/>
    <col min="9474" max="9474" width="15.28515625" style="361" customWidth="1"/>
    <col min="9475" max="9475" width="15.140625" style="361" customWidth="1"/>
    <col min="9476" max="9476" width="14.28515625" style="361" customWidth="1"/>
    <col min="9477" max="9477" width="13" style="361" bestFit="1" customWidth="1"/>
    <col min="9478" max="9478" width="14.42578125" style="361" bestFit="1" customWidth="1"/>
    <col min="9479" max="9483" width="9" style="361"/>
    <col min="9484" max="9484" width="12.28515625" style="361" customWidth="1"/>
    <col min="9485" max="9485" width="9" style="361"/>
    <col min="9486" max="9486" width="10.5703125" style="361" customWidth="1"/>
    <col min="9487" max="9487" width="9.28515625" style="361" customWidth="1"/>
    <col min="9488" max="9488" width="12.7109375" style="361" bestFit="1" customWidth="1"/>
    <col min="9489" max="9728" width="9" style="361"/>
    <col min="9729" max="9729" width="9.42578125" style="361" customWidth="1"/>
    <col min="9730" max="9730" width="15.28515625" style="361" customWidth="1"/>
    <col min="9731" max="9731" width="15.140625" style="361" customWidth="1"/>
    <col min="9732" max="9732" width="14.28515625" style="361" customWidth="1"/>
    <col min="9733" max="9733" width="13" style="361" bestFit="1" customWidth="1"/>
    <col min="9734" max="9734" width="14.42578125" style="361" bestFit="1" customWidth="1"/>
    <col min="9735" max="9739" width="9" style="361"/>
    <col min="9740" max="9740" width="12.28515625" style="361" customWidth="1"/>
    <col min="9741" max="9741" width="9" style="361"/>
    <col min="9742" max="9742" width="10.5703125" style="361" customWidth="1"/>
    <col min="9743" max="9743" width="9.28515625" style="361" customWidth="1"/>
    <col min="9744" max="9744" width="12.7109375" style="361" bestFit="1" customWidth="1"/>
    <col min="9745" max="9984" width="9" style="361"/>
    <col min="9985" max="9985" width="9.42578125" style="361" customWidth="1"/>
    <col min="9986" max="9986" width="15.28515625" style="361" customWidth="1"/>
    <col min="9987" max="9987" width="15.140625" style="361" customWidth="1"/>
    <col min="9988" max="9988" width="14.28515625" style="361" customWidth="1"/>
    <col min="9989" max="9989" width="13" style="361" bestFit="1" customWidth="1"/>
    <col min="9990" max="9990" width="14.42578125" style="361" bestFit="1" customWidth="1"/>
    <col min="9991" max="9995" width="9" style="361"/>
    <col min="9996" max="9996" width="12.28515625" style="361" customWidth="1"/>
    <col min="9997" max="9997" width="9" style="361"/>
    <col min="9998" max="9998" width="10.5703125" style="361" customWidth="1"/>
    <col min="9999" max="9999" width="9.28515625" style="361" customWidth="1"/>
    <col min="10000" max="10000" width="12.7109375" style="361" bestFit="1" customWidth="1"/>
    <col min="10001" max="10240" width="9" style="361"/>
    <col min="10241" max="10241" width="9.42578125" style="361" customWidth="1"/>
    <col min="10242" max="10242" width="15.28515625" style="361" customWidth="1"/>
    <col min="10243" max="10243" width="15.140625" style="361" customWidth="1"/>
    <col min="10244" max="10244" width="14.28515625" style="361" customWidth="1"/>
    <col min="10245" max="10245" width="13" style="361" bestFit="1" customWidth="1"/>
    <col min="10246" max="10246" width="14.42578125" style="361" bestFit="1" customWidth="1"/>
    <col min="10247" max="10251" width="9" style="361"/>
    <col min="10252" max="10252" width="12.28515625" style="361" customWidth="1"/>
    <col min="10253" max="10253" width="9" style="361"/>
    <col min="10254" max="10254" width="10.5703125" style="361" customWidth="1"/>
    <col min="10255" max="10255" width="9.28515625" style="361" customWidth="1"/>
    <col min="10256" max="10256" width="12.7109375" style="361" bestFit="1" customWidth="1"/>
    <col min="10257" max="10496" width="9" style="361"/>
    <col min="10497" max="10497" width="9.42578125" style="361" customWidth="1"/>
    <col min="10498" max="10498" width="15.28515625" style="361" customWidth="1"/>
    <col min="10499" max="10499" width="15.140625" style="361" customWidth="1"/>
    <col min="10500" max="10500" width="14.28515625" style="361" customWidth="1"/>
    <col min="10501" max="10501" width="13" style="361" bestFit="1" customWidth="1"/>
    <col min="10502" max="10502" width="14.42578125" style="361" bestFit="1" customWidth="1"/>
    <col min="10503" max="10507" width="9" style="361"/>
    <col min="10508" max="10508" width="12.28515625" style="361" customWidth="1"/>
    <col min="10509" max="10509" width="9" style="361"/>
    <col min="10510" max="10510" width="10.5703125" style="361" customWidth="1"/>
    <col min="10511" max="10511" width="9.28515625" style="361" customWidth="1"/>
    <col min="10512" max="10512" width="12.7109375" style="361" bestFit="1" customWidth="1"/>
    <col min="10513" max="10752" width="9" style="361"/>
    <col min="10753" max="10753" width="9.42578125" style="361" customWidth="1"/>
    <col min="10754" max="10754" width="15.28515625" style="361" customWidth="1"/>
    <col min="10755" max="10755" width="15.140625" style="361" customWidth="1"/>
    <col min="10756" max="10756" width="14.28515625" style="361" customWidth="1"/>
    <col min="10757" max="10757" width="13" style="361" bestFit="1" customWidth="1"/>
    <col min="10758" max="10758" width="14.42578125" style="361" bestFit="1" customWidth="1"/>
    <col min="10759" max="10763" width="9" style="361"/>
    <col min="10764" max="10764" width="12.28515625" style="361" customWidth="1"/>
    <col min="10765" max="10765" width="9" style="361"/>
    <col min="10766" max="10766" width="10.5703125" style="361" customWidth="1"/>
    <col min="10767" max="10767" width="9.28515625" style="361" customWidth="1"/>
    <col min="10768" max="10768" width="12.7109375" style="361" bestFit="1" customWidth="1"/>
    <col min="10769" max="11008" width="9" style="361"/>
    <col min="11009" max="11009" width="9.42578125" style="361" customWidth="1"/>
    <col min="11010" max="11010" width="15.28515625" style="361" customWidth="1"/>
    <col min="11011" max="11011" width="15.140625" style="361" customWidth="1"/>
    <col min="11012" max="11012" width="14.28515625" style="361" customWidth="1"/>
    <col min="11013" max="11013" width="13" style="361" bestFit="1" customWidth="1"/>
    <col min="11014" max="11014" width="14.42578125" style="361" bestFit="1" customWidth="1"/>
    <col min="11015" max="11019" width="9" style="361"/>
    <col min="11020" max="11020" width="12.28515625" style="361" customWidth="1"/>
    <col min="11021" max="11021" width="9" style="361"/>
    <col min="11022" max="11022" width="10.5703125" style="361" customWidth="1"/>
    <col min="11023" max="11023" width="9.28515625" style="361" customWidth="1"/>
    <col min="11024" max="11024" width="12.7109375" style="361" bestFit="1" customWidth="1"/>
    <col min="11025" max="11264" width="9" style="361"/>
    <col min="11265" max="11265" width="9.42578125" style="361" customWidth="1"/>
    <col min="11266" max="11266" width="15.28515625" style="361" customWidth="1"/>
    <col min="11267" max="11267" width="15.140625" style="361" customWidth="1"/>
    <col min="11268" max="11268" width="14.28515625" style="361" customWidth="1"/>
    <col min="11269" max="11269" width="13" style="361" bestFit="1" customWidth="1"/>
    <col min="11270" max="11270" width="14.42578125" style="361" bestFit="1" customWidth="1"/>
    <col min="11271" max="11275" width="9" style="361"/>
    <col min="11276" max="11276" width="12.28515625" style="361" customWidth="1"/>
    <col min="11277" max="11277" width="9" style="361"/>
    <col min="11278" max="11278" width="10.5703125" style="361" customWidth="1"/>
    <col min="11279" max="11279" width="9.28515625" style="361" customWidth="1"/>
    <col min="11280" max="11280" width="12.7109375" style="361" bestFit="1" customWidth="1"/>
    <col min="11281" max="11520" width="9" style="361"/>
    <col min="11521" max="11521" width="9.42578125" style="361" customWidth="1"/>
    <col min="11522" max="11522" width="15.28515625" style="361" customWidth="1"/>
    <col min="11523" max="11523" width="15.140625" style="361" customWidth="1"/>
    <col min="11524" max="11524" width="14.28515625" style="361" customWidth="1"/>
    <col min="11525" max="11525" width="13" style="361" bestFit="1" customWidth="1"/>
    <col min="11526" max="11526" width="14.42578125" style="361" bestFit="1" customWidth="1"/>
    <col min="11527" max="11531" width="9" style="361"/>
    <col min="11532" max="11532" width="12.28515625" style="361" customWidth="1"/>
    <col min="11533" max="11533" width="9" style="361"/>
    <col min="11534" max="11534" width="10.5703125" style="361" customWidth="1"/>
    <col min="11535" max="11535" width="9.28515625" style="361" customWidth="1"/>
    <col min="11536" max="11536" width="12.7109375" style="361" bestFit="1" customWidth="1"/>
    <col min="11537" max="11776" width="9" style="361"/>
    <col min="11777" max="11777" width="9.42578125" style="361" customWidth="1"/>
    <col min="11778" max="11778" width="15.28515625" style="361" customWidth="1"/>
    <col min="11779" max="11779" width="15.140625" style="361" customWidth="1"/>
    <col min="11780" max="11780" width="14.28515625" style="361" customWidth="1"/>
    <col min="11781" max="11781" width="13" style="361" bestFit="1" customWidth="1"/>
    <col min="11782" max="11782" width="14.42578125" style="361" bestFit="1" customWidth="1"/>
    <col min="11783" max="11787" width="9" style="361"/>
    <col min="11788" max="11788" width="12.28515625" style="361" customWidth="1"/>
    <col min="11789" max="11789" width="9" style="361"/>
    <col min="11790" max="11790" width="10.5703125" style="361" customWidth="1"/>
    <col min="11791" max="11791" width="9.28515625" style="361" customWidth="1"/>
    <col min="11792" max="11792" width="12.7109375" style="361" bestFit="1" customWidth="1"/>
    <col min="11793" max="12032" width="9" style="361"/>
    <col min="12033" max="12033" width="9.42578125" style="361" customWidth="1"/>
    <col min="12034" max="12034" width="15.28515625" style="361" customWidth="1"/>
    <col min="12035" max="12035" width="15.140625" style="361" customWidth="1"/>
    <col min="12036" max="12036" width="14.28515625" style="361" customWidth="1"/>
    <col min="12037" max="12037" width="13" style="361" bestFit="1" customWidth="1"/>
    <col min="12038" max="12038" width="14.42578125" style="361" bestFit="1" customWidth="1"/>
    <col min="12039" max="12043" width="9" style="361"/>
    <col min="12044" max="12044" width="12.28515625" style="361" customWidth="1"/>
    <col min="12045" max="12045" width="9" style="361"/>
    <col min="12046" max="12046" width="10.5703125" style="361" customWidth="1"/>
    <col min="12047" max="12047" width="9.28515625" style="361" customWidth="1"/>
    <col min="12048" max="12048" width="12.7109375" style="361" bestFit="1" customWidth="1"/>
    <col min="12049" max="12288" width="9" style="361"/>
    <col min="12289" max="12289" width="9.42578125" style="361" customWidth="1"/>
    <col min="12290" max="12290" width="15.28515625" style="361" customWidth="1"/>
    <col min="12291" max="12291" width="15.140625" style="361" customWidth="1"/>
    <col min="12292" max="12292" width="14.28515625" style="361" customWidth="1"/>
    <col min="12293" max="12293" width="13" style="361" bestFit="1" customWidth="1"/>
    <col min="12294" max="12294" width="14.42578125" style="361" bestFit="1" customWidth="1"/>
    <col min="12295" max="12299" width="9" style="361"/>
    <col min="12300" max="12300" width="12.28515625" style="361" customWidth="1"/>
    <col min="12301" max="12301" width="9" style="361"/>
    <col min="12302" max="12302" width="10.5703125" style="361" customWidth="1"/>
    <col min="12303" max="12303" width="9.28515625" style="361" customWidth="1"/>
    <col min="12304" max="12304" width="12.7109375" style="361" bestFit="1" customWidth="1"/>
    <col min="12305" max="12544" width="9" style="361"/>
    <col min="12545" max="12545" width="9.42578125" style="361" customWidth="1"/>
    <col min="12546" max="12546" width="15.28515625" style="361" customWidth="1"/>
    <col min="12547" max="12547" width="15.140625" style="361" customWidth="1"/>
    <col min="12548" max="12548" width="14.28515625" style="361" customWidth="1"/>
    <col min="12549" max="12549" width="13" style="361" bestFit="1" customWidth="1"/>
    <col min="12550" max="12550" width="14.42578125" style="361" bestFit="1" customWidth="1"/>
    <col min="12551" max="12555" width="9" style="361"/>
    <col min="12556" max="12556" width="12.28515625" style="361" customWidth="1"/>
    <col min="12557" max="12557" width="9" style="361"/>
    <col min="12558" max="12558" width="10.5703125" style="361" customWidth="1"/>
    <col min="12559" max="12559" width="9.28515625" style="361" customWidth="1"/>
    <col min="12560" max="12560" width="12.7109375" style="361" bestFit="1" customWidth="1"/>
    <col min="12561" max="12800" width="9" style="361"/>
    <col min="12801" max="12801" width="9.42578125" style="361" customWidth="1"/>
    <col min="12802" max="12802" width="15.28515625" style="361" customWidth="1"/>
    <col min="12803" max="12803" width="15.140625" style="361" customWidth="1"/>
    <col min="12804" max="12804" width="14.28515625" style="361" customWidth="1"/>
    <col min="12805" max="12805" width="13" style="361" bestFit="1" customWidth="1"/>
    <col min="12806" max="12806" width="14.42578125" style="361" bestFit="1" customWidth="1"/>
    <col min="12807" max="12811" width="9" style="361"/>
    <col min="12812" max="12812" width="12.28515625" style="361" customWidth="1"/>
    <col min="12813" max="12813" width="9" style="361"/>
    <col min="12814" max="12814" width="10.5703125" style="361" customWidth="1"/>
    <col min="12815" max="12815" width="9.28515625" style="361" customWidth="1"/>
    <col min="12816" max="12816" width="12.7109375" style="361" bestFit="1" customWidth="1"/>
    <col min="12817" max="13056" width="9" style="361"/>
    <col min="13057" max="13057" width="9.42578125" style="361" customWidth="1"/>
    <col min="13058" max="13058" width="15.28515625" style="361" customWidth="1"/>
    <col min="13059" max="13059" width="15.140625" style="361" customWidth="1"/>
    <col min="13060" max="13060" width="14.28515625" style="361" customWidth="1"/>
    <col min="13061" max="13061" width="13" style="361" bestFit="1" customWidth="1"/>
    <col min="13062" max="13062" width="14.42578125" style="361" bestFit="1" customWidth="1"/>
    <col min="13063" max="13067" width="9" style="361"/>
    <col min="13068" max="13068" width="12.28515625" style="361" customWidth="1"/>
    <col min="13069" max="13069" width="9" style="361"/>
    <col min="13070" max="13070" width="10.5703125" style="361" customWidth="1"/>
    <col min="13071" max="13071" width="9.28515625" style="361" customWidth="1"/>
    <col min="13072" max="13072" width="12.7109375" style="361" bestFit="1" customWidth="1"/>
    <col min="13073" max="13312" width="9" style="361"/>
    <col min="13313" max="13313" width="9.42578125" style="361" customWidth="1"/>
    <col min="13314" max="13314" width="15.28515625" style="361" customWidth="1"/>
    <col min="13315" max="13315" width="15.140625" style="361" customWidth="1"/>
    <col min="13316" max="13316" width="14.28515625" style="361" customWidth="1"/>
    <col min="13317" max="13317" width="13" style="361" bestFit="1" customWidth="1"/>
    <col min="13318" max="13318" width="14.42578125" style="361" bestFit="1" customWidth="1"/>
    <col min="13319" max="13323" width="9" style="361"/>
    <col min="13324" max="13324" width="12.28515625" style="361" customWidth="1"/>
    <col min="13325" max="13325" width="9" style="361"/>
    <col min="13326" max="13326" width="10.5703125" style="361" customWidth="1"/>
    <col min="13327" max="13327" width="9.28515625" style="361" customWidth="1"/>
    <col min="13328" max="13328" width="12.7109375" style="361" bestFit="1" customWidth="1"/>
    <col min="13329" max="13568" width="9" style="361"/>
    <col min="13569" max="13569" width="9.42578125" style="361" customWidth="1"/>
    <col min="13570" max="13570" width="15.28515625" style="361" customWidth="1"/>
    <col min="13571" max="13571" width="15.140625" style="361" customWidth="1"/>
    <col min="13572" max="13572" width="14.28515625" style="361" customWidth="1"/>
    <col min="13573" max="13573" width="13" style="361" bestFit="1" customWidth="1"/>
    <col min="13574" max="13574" width="14.42578125" style="361" bestFit="1" customWidth="1"/>
    <col min="13575" max="13579" width="9" style="361"/>
    <col min="13580" max="13580" width="12.28515625" style="361" customWidth="1"/>
    <col min="13581" max="13581" width="9" style="361"/>
    <col min="13582" max="13582" width="10.5703125" style="361" customWidth="1"/>
    <col min="13583" max="13583" width="9.28515625" style="361" customWidth="1"/>
    <col min="13584" max="13584" width="12.7109375" style="361" bestFit="1" customWidth="1"/>
    <col min="13585" max="13824" width="9" style="361"/>
    <col min="13825" max="13825" width="9.42578125" style="361" customWidth="1"/>
    <col min="13826" max="13826" width="15.28515625" style="361" customWidth="1"/>
    <col min="13827" max="13827" width="15.140625" style="361" customWidth="1"/>
    <col min="13828" max="13828" width="14.28515625" style="361" customWidth="1"/>
    <col min="13829" max="13829" width="13" style="361" bestFit="1" customWidth="1"/>
    <col min="13830" max="13830" width="14.42578125" style="361" bestFit="1" customWidth="1"/>
    <col min="13831" max="13835" width="9" style="361"/>
    <col min="13836" max="13836" width="12.28515625" style="361" customWidth="1"/>
    <col min="13837" max="13837" width="9" style="361"/>
    <col min="13838" max="13838" width="10.5703125" style="361" customWidth="1"/>
    <col min="13839" max="13839" width="9.28515625" style="361" customWidth="1"/>
    <col min="13840" max="13840" width="12.7109375" style="361" bestFit="1" customWidth="1"/>
    <col min="13841" max="14080" width="9" style="361"/>
    <col min="14081" max="14081" width="9.42578125" style="361" customWidth="1"/>
    <col min="14082" max="14082" width="15.28515625" style="361" customWidth="1"/>
    <col min="14083" max="14083" width="15.140625" style="361" customWidth="1"/>
    <col min="14084" max="14084" width="14.28515625" style="361" customWidth="1"/>
    <col min="14085" max="14085" width="13" style="361" bestFit="1" customWidth="1"/>
    <col min="14086" max="14086" width="14.42578125" style="361" bestFit="1" customWidth="1"/>
    <col min="14087" max="14091" width="9" style="361"/>
    <col min="14092" max="14092" width="12.28515625" style="361" customWidth="1"/>
    <col min="14093" max="14093" width="9" style="361"/>
    <col min="14094" max="14094" width="10.5703125" style="361" customWidth="1"/>
    <col min="14095" max="14095" width="9.28515625" style="361" customWidth="1"/>
    <col min="14096" max="14096" width="12.7109375" style="361" bestFit="1" customWidth="1"/>
    <col min="14097" max="14336" width="9" style="361"/>
    <col min="14337" max="14337" width="9.42578125" style="361" customWidth="1"/>
    <col min="14338" max="14338" width="15.28515625" style="361" customWidth="1"/>
    <col min="14339" max="14339" width="15.140625" style="361" customWidth="1"/>
    <col min="14340" max="14340" width="14.28515625" style="361" customWidth="1"/>
    <col min="14341" max="14341" width="13" style="361" bestFit="1" customWidth="1"/>
    <col min="14342" max="14342" width="14.42578125" style="361" bestFit="1" customWidth="1"/>
    <col min="14343" max="14347" width="9" style="361"/>
    <col min="14348" max="14348" width="12.28515625" style="361" customWidth="1"/>
    <col min="14349" max="14349" width="9" style="361"/>
    <col min="14350" max="14350" width="10.5703125" style="361" customWidth="1"/>
    <col min="14351" max="14351" width="9.28515625" style="361" customWidth="1"/>
    <col min="14352" max="14352" width="12.7109375" style="361" bestFit="1" customWidth="1"/>
    <col min="14353" max="14592" width="9" style="361"/>
    <col min="14593" max="14593" width="9.42578125" style="361" customWidth="1"/>
    <col min="14594" max="14594" width="15.28515625" style="361" customWidth="1"/>
    <col min="14595" max="14595" width="15.140625" style="361" customWidth="1"/>
    <col min="14596" max="14596" width="14.28515625" style="361" customWidth="1"/>
    <col min="14597" max="14597" width="13" style="361" bestFit="1" customWidth="1"/>
    <col min="14598" max="14598" width="14.42578125" style="361" bestFit="1" customWidth="1"/>
    <col min="14599" max="14603" width="9" style="361"/>
    <col min="14604" max="14604" width="12.28515625" style="361" customWidth="1"/>
    <col min="14605" max="14605" width="9" style="361"/>
    <col min="14606" max="14606" width="10.5703125" style="361" customWidth="1"/>
    <col min="14607" max="14607" width="9.28515625" style="361" customWidth="1"/>
    <col min="14608" max="14608" width="12.7109375" style="361" bestFit="1" customWidth="1"/>
    <col min="14609" max="14848" width="9" style="361"/>
    <col min="14849" max="14849" width="9.42578125" style="361" customWidth="1"/>
    <col min="14850" max="14850" width="15.28515625" style="361" customWidth="1"/>
    <col min="14851" max="14851" width="15.140625" style="361" customWidth="1"/>
    <col min="14852" max="14852" width="14.28515625" style="361" customWidth="1"/>
    <col min="14853" max="14853" width="13" style="361" bestFit="1" customWidth="1"/>
    <col min="14854" max="14854" width="14.42578125" style="361" bestFit="1" customWidth="1"/>
    <col min="14855" max="14859" width="9" style="361"/>
    <col min="14860" max="14860" width="12.28515625" style="361" customWidth="1"/>
    <col min="14861" max="14861" width="9" style="361"/>
    <col min="14862" max="14862" width="10.5703125" style="361" customWidth="1"/>
    <col min="14863" max="14863" width="9.28515625" style="361" customWidth="1"/>
    <col min="14864" max="14864" width="12.7109375" style="361" bestFit="1" customWidth="1"/>
    <col min="14865" max="15104" width="9" style="361"/>
    <col min="15105" max="15105" width="9.42578125" style="361" customWidth="1"/>
    <col min="15106" max="15106" width="15.28515625" style="361" customWidth="1"/>
    <col min="15107" max="15107" width="15.140625" style="361" customWidth="1"/>
    <col min="15108" max="15108" width="14.28515625" style="361" customWidth="1"/>
    <col min="15109" max="15109" width="13" style="361" bestFit="1" customWidth="1"/>
    <col min="15110" max="15110" width="14.42578125" style="361" bestFit="1" customWidth="1"/>
    <col min="15111" max="15115" width="9" style="361"/>
    <col min="15116" max="15116" width="12.28515625" style="361" customWidth="1"/>
    <col min="15117" max="15117" width="9" style="361"/>
    <col min="15118" max="15118" width="10.5703125" style="361" customWidth="1"/>
    <col min="15119" max="15119" width="9.28515625" style="361" customWidth="1"/>
    <col min="15120" max="15120" width="12.7109375" style="361" bestFit="1" customWidth="1"/>
    <col min="15121" max="15360" width="9" style="361"/>
    <col min="15361" max="15361" width="9.42578125" style="361" customWidth="1"/>
    <col min="15362" max="15362" width="15.28515625" style="361" customWidth="1"/>
    <col min="15363" max="15363" width="15.140625" style="361" customWidth="1"/>
    <col min="15364" max="15364" width="14.28515625" style="361" customWidth="1"/>
    <col min="15365" max="15365" width="13" style="361" bestFit="1" customWidth="1"/>
    <col min="15366" max="15366" width="14.42578125" style="361" bestFit="1" customWidth="1"/>
    <col min="15367" max="15371" width="9" style="361"/>
    <col min="15372" max="15372" width="12.28515625" style="361" customWidth="1"/>
    <col min="15373" max="15373" width="9" style="361"/>
    <col min="15374" max="15374" width="10.5703125" style="361" customWidth="1"/>
    <col min="15375" max="15375" width="9.28515625" style="361" customWidth="1"/>
    <col min="15376" max="15376" width="12.7109375" style="361" bestFit="1" customWidth="1"/>
    <col min="15377" max="15616" width="9" style="361"/>
    <col min="15617" max="15617" width="9.42578125" style="361" customWidth="1"/>
    <col min="15618" max="15618" width="15.28515625" style="361" customWidth="1"/>
    <col min="15619" max="15619" width="15.140625" style="361" customWidth="1"/>
    <col min="15620" max="15620" width="14.28515625" style="361" customWidth="1"/>
    <col min="15621" max="15621" width="13" style="361" bestFit="1" customWidth="1"/>
    <col min="15622" max="15622" width="14.42578125" style="361" bestFit="1" customWidth="1"/>
    <col min="15623" max="15627" width="9" style="361"/>
    <col min="15628" max="15628" width="12.28515625" style="361" customWidth="1"/>
    <col min="15629" max="15629" width="9" style="361"/>
    <col min="15630" max="15630" width="10.5703125" style="361" customWidth="1"/>
    <col min="15631" max="15631" width="9.28515625" style="361" customWidth="1"/>
    <col min="15632" max="15632" width="12.7109375" style="361" bestFit="1" customWidth="1"/>
    <col min="15633" max="15872" width="9" style="361"/>
    <col min="15873" max="15873" width="9.42578125" style="361" customWidth="1"/>
    <col min="15874" max="15874" width="15.28515625" style="361" customWidth="1"/>
    <col min="15875" max="15875" width="15.140625" style="361" customWidth="1"/>
    <col min="15876" max="15876" width="14.28515625" style="361" customWidth="1"/>
    <col min="15877" max="15877" width="13" style="361" bestFit="1" customWidth="1"/>
    <col min="15878" max="15878" width="14.42578125" style="361" bestFit="1" customWidth="1"/>
    <col min="15879" max="15883" width="9" style="361"/>
    <col min="15884" max="15884" width="12.28515625" style="361" customWidth="1"/>
    <col min="15885" max="15885" width="9" style="361"/>
    <col min="15886" max="15886" width="10.5703125" style="361" customWidth="1"/>
    <col min="15887" max="15887" width="9.28515625" style="361" customWidth="1"/>
    <col min="15888" max="15888" width="12.7109375" style="361" bestFit="1" customWidth="1"/>
    <col min="15889" max="16128" width="9" style="361"/>
    <col min="16129" max="16129" width="9.42578125" style="361" customWidth="1"/>
    <col min="16130" max="16130" width="15.28515625" style="361" customWidth="1"/>
    <col min="16131" max="16131" width="15.140625" style="361" customWidth="1"/>
    <col min="16132" max="16132" width="14.28515625" style="361" customWidth="1"/>
    <col min="16133" max="16133" width="13" style="361" bestFit="1" customWidth="1"/>
    <col min="16134" max="16134" width="14.42578125" style="361" bestFit="1" customWidth="1"/>
    <col min="16135" max="16139" width="9" style="361"/>
    <col min="16140" max="16140" width="12.28515625" style="361" customWidth="1"/>
    <col min="16141" max="16141" width="9" style="361"/>
    <col min="16142" max="16142" width="10.5703125" style="361" customWidth="1"/>
    <col min="16143" max="16143" width="9.28515625" style="361" customWidth="1"/>
    <col min="16144" max="16144" width="12.7109375" style="361" bestFit="1" customWidth="1"/>
    <col min="16145" max="16384" width="9" style="361"/>
  </cols>
  <sheetData>
    <row r="1" spans="1:16" ht="7.9" customHeight="1" x14ac:dyDescent="0.2"/>
    <row r="2" spans="1:16" x14ac:dyDescent="0.2">
      <c r="A2" s="1353" t="s">
        <v>1236</v>
      </c>
      <c r="B2" s="1354"/>
      <c r="C2" s="1354"/>
      <c r="D2" s="1355"/>
    </row>
    <row r="3" spans="1:16" x14ac:dyDescent="0.2">
      <c r="A3" s="1012" t="s">
        <v>0</v>
      </c>
      <c r="B3" s="1012" t="s">
        <v>737</v>
      </c>
      <c r="C3" s="1012" t="s">
        <v>754</v>
      </c>
      <c r="D3" s="1012" t="s">
        <v>1232</v>
      </c>
    </row>
    <row r="4" spans="1:16" x14ac:dyDescent="0.2">
      <c r="A4" s="1009" t="s">
        <v>738</v>
      </c>
      <c r="B4" s="1010">
        <v>504.88</v>
      </c>
      <c r="C4" s="1013">
        <v>511.49</v>
      </c>
      <c r="D4" s="1013">
        <v>738.73</v>
      </c>
    </row>
    <row r="5" spans="1:16" x14ac:dyDescent="0.2">
      <c r="A5" s="1009" t="s">
        <v>739</v>
      </c>
      <c r="B5" s="1010">
        <v>397.48</v>
      </c>
      <c r="C5" s="1013">
        <v>304.18</v>
      </c>
      <c r="D5" s="1013">
        <v>357.72</v>
      </c>
      <c r="E5" s="362"/>
    </row>
    <row r="6" spans="1:16" ht="37.5" customHeight="1" x14ac:dyDescent="0.2">
      <c r="A6" s="1009" t="s">
        <v>741</v>
      </c>
      <c r="B6" s="1010">
        <v>172.99</v>
      </c>
      <c r="C6" s="1014">
        <v>138.02000000000001</v>
      </c>
      <c r="D6" s="1017" t="s">
        <v>742</v>
      </c>
    </row>
    <row r="7" spans="1:16" ht="11.25" customHeight="1" x14ac:dyDescent="0.2"/>
    <row r="9" spans="1:16" ht="16.5" customHeight="1" x14ac:dyDescent="0.2"/>
    <row r="10" spans="1:16" ht="21.75" customHeight="1" x14ac:dyDescent="0.2"/>
    <row r="11" spans="1:16" x14ac:dyDescent="0.2">
      <c r="O11" s="373">
        <f>156594401.35+14279647.78</f>
        <v>170874049.13</v>
      </c>
      <c r="P11" s="374"/>
    </row>
    <row r="14" spans="1:16" x14ac:dyDescent="0.2">
      <c r="N14" s="361" t="s">
        <v>746</v>
      </c>
      <c r="O14" s="373">
        <v>163614000</v>
      </c>
    </row>
    <row r="15" spans="1:16" x14ac:dyDescent="0.2">
      <c r="N15" s="361" t="s">
        <v>747</v>
      </c>
      <c r="O15" s="373">
        <v>194111600</v>
      </c>
    </row>
    <row r="16" spans="1:16" x14ac:dyDescent="0.2">
      <c r="O16" s="429">
        <f>+O14+O15</f>
        <v>357725600</v>
      </c>
    </row>
    <row r="20" spans="1:17" x14ac:dyDescent="0.2">
      <c r="Q20" s="895"/>
    </row>
    <row r="27" spans="1:17" s="368" customFormat="1" ht="18.75" x14ac:dyDescent="0.2">
      <c r="A27" s="375" t="s">
        <v>1281</v>
      </c>
      <c r="B27" s="1008" t="s">
        <v>1237</v>
      </c>
      <c r="C27" s="1008"/>
      <c r="D27" s="1008"/>
      <c r="E27" s="1008"/>
      <c r="F27" s="1008"/>
      <c r="G27" s="1008"/>
      <c r="H27" s="1008"/>
      <c r="I27" s="1008"/>
      <c r="J27" s="1008"/>
      <c r="K27" s="1008"/>
      <c r="L27" s="1008"/>
    </row>
    <row r="28" spans="1:17" s="368" customFormat="1" x14ac:dyDescent="0.2">
      <c r="A28" s="375"/>
      <c r="B28" s="1352" t="s">
        <v>1276</v>
      </c>
      <c r="C28" s="1352"/>
      <c r="D28" s="1352"/>
      <c r="E28" s="1352"/>
      <c r="F28" s="1352"/>
      <c r="G28" s="1352"/>
      <c r="H28" s="1352"/>
      <c r="I28" s="1352"/>
      <c r="J28" s="1352"/>
      <c r="K28" s="1352"/>
      <c r="L28" s="1352"/>
      <c r="N28" s="363" t="s">
        <v>739</v>
      </c>
      <c r="O28" s="363" t="s">
        <v>741</v>
      </c>
      <c r="P28" s="363" t="s">
        <v>744</v>
      </c>
    </row>
    <row r="29" spans="1:17" s="377" customFormat="1" ht="23.25" customHeight="1" x14ac:dyDescent="0.2">
      <c r="A29" s="376"/>
      <c r="B29" s="1352" t="s">
        <v>1274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378" t="str">
        <f>+B3</f>
        <v xml:space="preserve"> ปี 2564</v>
      </c>
      <c r="N29" s="364">
        <f>+B5</f>
        <v>397.48</v>
      </c>
      <c r="O29" s="364">
        <f>B6</f>
        <v>172.99</v>
      </c>
      <c r="P29" s="1005">
        <f>+O29*100/N29</f>
        <v>43.521686625742177</v>
      </c>
    </row>
    <row r="30" spans="1:17" x14ac:dyDescent="0.2">
      <c r="B30" s="1352" t="s">
        <v>1275</v>
      </c>
      <c r="C30" s="1352"/>
      <c r="D30" s="1352"/>
      <c r="E30" s="1352"/>
      <c r="F30" s="1352"/>
      <c r="G30" s="1352"/>
      <c r="H30" s="1352"/>
      <c r="I30" s="1352"/>
      <c r="J30" s="1352"/>
      <c r="K30" s="1352"/>
      <c r="L30" s="1352"/>
      <c r="M30" s="1007" t="str">
        <f>+C3</f>
        <v xml:space="preserve"> ปี 2565</v>
      </c>
      <c r="N30" s="364">
        <f>+C5</f>
        <v>304.18</v>
      </c>
      <c r="O30" s="364">
        <f>C6</f>
        <v>138.02000000000001</v>
      </c>
      <c r="P30" s="1005">
        <f>O30*100/N30</f>
        <v>45.374449339207054</v>
      </c>
    </row>
    <row r="31" spans="1:17" x14ac:dyDescent="0.2">
      <c r="B31" s="1352" t="s">
        <v>1277</v>
      </c>
      <c r="C31" s="1352"/>
      <c r="D31" s="1352"/>
      <c r="E31" s="1352"/>
      <c r="F31" s="1352"/>
      <c r="G31" s="1352"/>
      <c r="H31" s="1352"/>
      <c r="I31" s="1352"/>
      <c r="J31" s="1352"/>
      <c r="K31" s="1352"/>
      <c r="L31" s="1352"/>
    </row>
    <row r="32" spans="1:17" x14ac:dyDescent="0.2">
      <c r="B32" s="1352"/>
      <c r="C32" s="1352"/>
      <c r="D32" s="1352"/>
      <c r="E32" s="1352"/>
      <c r="F32" s="1352"/>
      <c r="G32" s="1352"/>
      <c r="H32" s="1352"/>
      <c r="I32" s="1352"/>
      <c r="J32" s="1352"/>
      <c r="K32" s="1352"/>
      <c r="L32" s="1352"/>
    </row>
    <row r="33" spans="1:12" x14ac:dyDescent="0.2">
      <c r="B33" s="1357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</row>
    <row r="34" spans="1:12" x14ac:dyDescent="0.2">
      <c r="B34" s="1357"/>
      <c r="C34" s="1357"/>
      <c r="D34" s="1357"/>
      <c r="E34" s="1357"/>
      <c r="F34" s="1357"/>
      <c r="G34" s="1357"/>
      <c r="H34" s="1357"/>
      <c r="I34" s="1357"/>
      <c r="J34" s="1357"/>
      <c r="K34" s="1357"/>
      <c r="L34" s="1357"/>
    </row>
    <row r="35" spans="1:12" x14ac:dyDescent="0.2">
      <c r="B35" s="1357"/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</row>
    <row r="36" spans="1:12" x14ac:dyDescent="0.2">
      <c r="A36" s="378"/>
    </row>
  </sheetData>
  <mergeCells count="9">
    <mergeCell ref="B35:L35"/>
    <mergeCell ref="A2:D2"/>
    <mergeCell ref="B28:L28"/>
    <mergeCell ref="B30:L30"/>
    <mergeCell ref="B32:L32"/>
    <mergeCell ref="B34:L34"/>
    <mergeCell ref="B33:L33"/>
    <mergeCell ref="B31:L31"/>
    <mergeCell ref="B29:L29"/>
  </mergeCells>
  <printOptions horizontalCentered="1"/>
  <pageMargins left="0.59055118110236227" right="0.59055118110236227" top="0.78740157480314965" bottom="0.39370078740157483" header="0.31496062992125984" footer="0.31496062992125984"/>
  <pageSetup paperSize="9" scale="83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L35"/>
  <sheetViews>
    <sheetView view="pageBreakPreview" zoomScale="60" zoomScaleNormal="70" workbookViewId="0">
      <selection activeCell="A5" sqref="A5:C6"/>
    </sheetView>
  </sheetViews>
  <sheetFormatPr defaultColWidth="9.140625" defaultRowHeight="21" x14ac:dyDescent="0.2"/>
  <cols>
    <col min="1" max="1" width="87.85546875" style="387" bestFit="1" customWidth="1"/>
    <col min="2" max="2" width="16.85546875" style="387" bestFit="1" customWidth="1"/>
    <col min="3" max="3" width="16.5703125" style="387" bestFit="1" customWidth="1"/>
    <col min="4" max="5" width="15.42578125" style="387" customWidth="1"/>
    <col min="6" max="6" width="16.5703125" style="387" bestFit="1" customWidth="1"/>
    <col min="7" max="7" width="16.85546875" style="387" bestFit="1" customWidth="1"/>
    <col min="8" max="8" width="19.5703125" style="387" customWidth="1"/>
    <col min="9" max="256" width="9.140625" style="387"/>
    <col min="257" max="257" width="76.28515625" style="387" bestFit="1" customWidth="1"/>
    <col min="258" max="258" width="15.42578125" style="387" bestFit="1" customWidth="1"/>
    <col min="259" max="262" width="15.42578125" style="387" customWidth="1"/>
    <col min="263" max="263" width="15.42578125" style="387" bestFit="1" customWidth="1"/>
    <col min="264" max="264" width="19.5703125" style="387" customWidth="1"/>
    <col min="265" max="512" width="9.140625" style="387"/>
    <col min="513" max="513" width="76.28515625" style="387" bestFit="1" customWidth="1"/>
    <col min="514" max="514" width="15.42578125" style="387" bestFit="1" customWidth="1"/>
    <col min="515" max="518" width="15.42578125" style="387" customWidth="1"/>
    <col min="519" max="519" width="15.42578125" style="387" bestFit="1" customWidth="1"/>
    <col min="520" max="520" width="19.5703125" style="387" customWidth="1"/>
    <col min="521" max="768" width="9.140625" style="387"/>
    <col min="769" max="769" width="76.28515625" style="387" bestFit="1" customWidth="1"/>
    <col min="770" max="770" width="15.42578125" style="387" bestFit="1" customWidth="1"/>
    <col min="771" max="774" width="15.42578125" style="387" customWidth="1"/>
    <col min="775" max="775" width="15.42578125" style="387" bestFit="1" customWidth="1"/>
    <col min="776" max="776" width="19.5703125" style="387" customWidth="1"/>
    <col min="777" max="1024" width="9.140625" style="387"/>
    <col min="1025" max="1025" width="76.28515625" style="387" bestFit="1" customWidth="1"/>
    <col min="1026" max="1026" width="15.42578125" style="387" bestFit="1" customWidth="1"/>
    <col min="1027" max="1030" width="15.42578125" style="387" customWidth="1"/>
    <col min="1031" max="1031" width="15.42578125" style="387" bestFit="1" customWidth="1"/>
    <col min="1032" max="1032" width="19.5703125" style="387" customWidth="1"/>
    <col min="1033" max="1280" width="9.140625" style="387"/>
    <col min="1281" max="1281" width="76.28515625" style="387" bestFit="1" customWidth="1"/>
    <col min="1282" max="1282" width="15.42578125" style="387" bestFit="1" customWidth="1"/>
    <col min="1283" max="1286" width="15.42578125" style="387" customWidth="1"/>
    <col min="1287" max="1287" width="15.42578125" style="387" bestFit="1" customWidth="1"/>
    <col min="1288" max="1288" width="19.5703125" style="387" customWidth="1"/>
    <col min="1289" max="1536" width="9.140625" style="387"/>
    <col min="1537" max="1537" width="76.28515625" style="387" bestFit="1" customWidth="1"/>
    <col min="1538" max="1538" width="15.42578125" style="387" bestFit="1" customWidth="1"/>
    <col min="1539" max="1542" width="15.42578125" style="387" customWidth="1"/>
    <col min="1543" max="1543" width="15.42578125" style="387" bestFit="1" customWidth="1"/>
    <col min="1544" max="1544" width="19.5703125" style="387" customWidth="1"/>
    <col min="1545" max="1792" width="9.140625" style="387"/>
    <col min="1793" max="1793" width="76.28515625" style="387" bestFit="1" customWidth="1"/>
    <col min="1794" max="1794" width="15.42578125" style="387" bestFit="1" customWidth="1"/>
    <col min="1795" max="1798" width="15.42578125" style="387" customWidth="1"/>
    <col min="1799" max="1799" width="15.42578125" style="387" bestFit="1" customWidth="1"/>
    <col min="1800" max="1800" width="19.5703125" style="387" customWidth="1"/>
    <col min="1801" max="2048" width="9.140625" style="387"/>
    <col min="2049" max="2049" width="76.28515625" style="387" bestFit="1" customWidth="1"/>
    <col min="2050" max="2050" width="15.42578125" style="387" bestFit="1" customWidth="1"/>
    <col min="2051" max="2054" width="15.42578125" style="387" customWidth="1"/>
    <col min="2055" max="2055" width="15.42578125" style="387" bestFit="1" customWidth="1"/>
    <col min="2056" max="2056" width="19.5703125" style="387" customWidth="1"/>
    <col min="2057" max="2304" width="9.140625" style="387"/>
    <col min="2305" max="2305" width="76.28515625" style="387" bestFit="1" customWidth="1"/>
    <col min="2306" max="2306" width="15.42578125" style="387" bestFit="1" customWidth="1"/>
    <col min="2307" max="2310" width="15.42578125" style="387" customWidth="1"/>
    <col min="2311" max="2311" width="15.42578125" style="387" bestFit="1" customWidth="1"/>
    <col min="2312" max="2312" width="19.5703125" style="387" customWidth="1"/>
    <col min="2313" max="2560" width="9.140625" style="387"/>
    <col min="2561" max="2561" width="76.28515625" style="387" bestFit="1" customWidth="1"/>
    <col min="2562" max="2562" width="15.42578125" style="387" bestFit="1" customWidth="1"/>
    <col min="2563" max="2566" width="15.42578125" style="387" customWidth="1"/>
    <col min="2567" max="2567" width="15.42578125" style="387" bestFit="1" customWidth="1"/>
    <col min="2568" max="2568" width="19.5703125" style="387" customWidth="1"/>
    <col min="2569" max="2816" width="9.140625" style="387"/>
    <col min="2817" max="2817" width="76.28515625" style="387" bestFit="1" customWidth="1"/>
    <col min="2818" max="2818" width="15.42578125" style="387" bestFit="1" customWidth="1"/>
    <col min="2819" max="2822" width="15.42578125" style="387" customWidth="1"/>
    <col min="2823" max="2823" width="15.42578125" style="387" bestFit="1" customWidth="1"/>
    <col min="2824" max="2824" width="19.5703125" style="387" customWidth="1"/>
    <col min="2825" max="3072" width="9.140625" style="387"/>
    <col min="3073" max="3073" width="76.28515625" style="387" bestFit="1" customWidth="1"/>
    <col min="3074" max="3074" width="15.42578125" style="387" bestFit="1" customWidth="1"/>
    <col min="3075" max="3078" width="15.42578125" style="387" customWidth="1"/>
    <col min="3079" max="3079" width="15.42578125" style="387" bestFit="1" customWidth="1"/>
    <col min="3080" max="3080" width="19.5703125" style="387" customWidth="1"/>
    <col min="3081" max="3328" width="9.140625" style="387"/>
    <col min="3329" max="3329" width="76.28515625" style="387" bestFit="1" customWidth="1"/>
    <col min="3330" max="3330" width="15.42578125" style="387" bestFit="1" customWidth="1"/>
    <col min="3331" max="3334" width="15.42578125" style="387" customWidth="1"/>
    <col min="3335" max="3335" width="15.42578125" style="387" bestFit="1" customWidth="1"/>
    <col min="3336" max="3336" width="19.5703125" style="387" customWidth="1"/>
    <col min="3337" max="3584" width="9.140625" style="387"/>
    <col min="3585" max="3585" width="76.28515625" style="387" bestFit="1" customWidth="1"/>
    <col min="3586" max="3586" width="15.42578125" style="387" bestFit="1" customWidth="1"/>
    <col min="3587" max="3590" width="15.42578125" style="387" customWidth="1"/>
    <col min="3591" max="3591" width="15.42578125" style="387" bestFit="1" customWidth="1"/>
    <col min="3592" max="3592" width="19.5703125" style="387" customWidth="1"/>
    <col min="3593" max="3840" width="9.140625" style="387"/>
    <col min="3841" max="3841" width="76.28515625" style="387" bestFit="1" customWidth="1"/>
    <col min="3842" max="3842" width="15.42578125" style="387" bestFit="1" customWidth="1"/>
    <col min="3843" max="3846" width="15.42578125" style="387" customWidth="1"/>
    <col min="3847" max="3847" width="15.42578125" style="387" bestFit="1" customWidth="1"/>
    <col min="3848" max="3848" width="19.5703125" style="387" customWidth="1"/>
    <col min="3849" max="4096" width="9.140625" style="387"/>
    <col min="4097" max="4097" width="76.28515625" style="387" bestFit="1" customWidth="1"/>
    <col min="4098" max="4098" width="15.42578125" style="387" bestFit="1" customWidth="1"/>
    <col min="4099" max="4102" width="15.42578125" style="387" customWidth="1"/>
    <col min="4103" max="4103" width="15.42578125" style="387" bestFit="1" customWidth="1"/>
    <col min="4104" max="4104" width="19.5703125" style="387" customWidth="1"/>
    <col min="4105" max="4352" width="9.140625" style="387"/>
    <col min="4353" max="4353" width="76.28515625" style="387" bestFit="1" customWidth="1"/>
    <col min="4354" max="4354" width="15.42578125" style="387" bestFit="1" customWidth="1"/>
    <col min="4355" max="4358" width="15.42578125" style="387" customWidth="1"/>
    <col min="4359" max="4359" width="15.42578125" style="387" bestFit="1" customWidth="1"/>
    <col min="4360" max="4360" width="19.5703125" style="387" customWidth="1"/>
    <col min="4361" max="4608" width="9.140625" style="387"/>
    <col min="4609" max="4609" width="76.28515625" style="387" bestFit="1" customWidth="1"/>
    <col min="4610" max="4610" width="15.42578125" style="387" bestFit="1" customWidth="1"/>
    <col min="4611" max="4614" width="15.42578125" style="387" customWidth="1"/>
    <col min="4615" max="4615" width="15.42578125" style="387" bestFit="1" customWidth="1"/>
    <col min="4616" max="4616" width="19.5703125" style="387" customWidth="1"/>
    <col min="4617" max="4864" width="9.140625" style="387"/>
    <col min="4865" max="4865" width="76.28515625" style="387" bestFit="1" customWidth="1"/>
    <col min="4866" max="4866" width="15.42578125" style="387" bestFit="1" customWidth="1"/>
    <col min="4867" max="4870" width="15.42578125" style="387" customWidth="1"/>
    <col min="4871" max="4871" width="15.42578125" style="387" bestFit="1" customWidth="1"/>
    <col min="4872" max="4872" width="19.5703125" style="387" customWidth="1"/>
    <col min="4873" max="5120" width="9.140625" style="387"/>
    <col min="5121" max="5121" width="76.28515625" style="387" bestFit="1" customWidth="1"/>
    <col min="5122" max="5122" width="15.42578125" style="387" bestFit="1" customWidth="1"/>
    <col min="5123" max="5126" width="15.42578125" style="387" customWidth="1"/>
    <col min="5127" max="5127" width="15.42578125" style="387" bestFit="1" customWidth="1"/>
    <col min="5128" max="5128" width="19.5703125" style="387" customWidth="1"/>
    <col min="5129" max="5376" width="9.140625" style="387"/>
    <col min="5377" max="5377" width="76.28515625" style="387" bestFit="1" customWidth="1"/>
    <col min="5378" max="5378" width="15.42578125" style="387" bestFit="1" customWidth="1"/>
    <col min="5379" max="5382" width="15.42578125" style="387" customWidth="1"/>
    <col min="5383" max="5383" width="15.42578125" style="387" bestFit="1" customWidth="1"/>
    <col min="5384" max="5384" width="19.5703125" style="387" customWidth="1"/>
    <col min="5385" max="5632" width="9.140625" style="387"/>
    <col min="5633" max="5633" width="76.28515625" style="387" bestFit="1" customWidth="1"/>
    <col min="5634" max="5634" width="15.42578125" style="387" bestFit="1" customWidth="1"/>
    <col min="5635" max="5638" width="15.42578125" style="387" customWidth="1"/>
    <col min="5639" max="5639" width="15.42578125" style="387" bestFit="1" customWidth="1"/>
    <col min="5640" max="5640" width="19.5703125" style="387" customWidth="1"/>
    <col min="5641" max="5888" width="9.140625" style="387"/>
    <col min="5889" max="5889" width="76.28515625" style="387" bestFit="1" customWidth="1"/>
    <col min="5890" max="5890" width="15.42578125" style="387" bestFit="1" customWidth="1"/>
    <col min="5891" max="5894" width="15.42578125" style="387" customWidth="1"/>
    <col min="5895" max="5895" width="15.42578125" style="387" bestFit="1" customWidth="1"/>
    <col min="5896" max="5896" width="19.5703125" style="387" customWidth="1"/>
    <col min="5897" max="6144" width="9.140625" style="387"/>
    <col min="6145" max="6145" width="76.28515625" style="387" bestFit="1" customWidth="1"/>
    <col min="6146" max="6146" width="15.42578125" style="387" bestFit="1" customWidth="1"/>
    <col min="6147" max="6150" width="15.42578125" style="387" customWidth="1"/>
    <col min="6151" max="6151" width="15.42578125" style="387" bestFit="1" customWidth="1"/>
    <col min="6152" max="6152" width="19.5703125" style="387" customWidth="1"/>
    <col min="6153" max="6400" width="9.140625" style="387"/>
    <col min="6401" max="6401" width="76.28515625" style="387" bestFit="1" customWidth="1"/>
    <col min="6402" max="6402" width="15.42578125" style="387" bestFit="1" customWidth="1"/>
    <col min="6403" max="6406" width="15.42578125" style="387" customWidth="1"/>
    <col min="6407" max="6407" width="15.42578125" style="387" bestFit="1" customWidth="1"/>
    <col min="6408" max="6408" width="19.5703125" style="387" customWidth="1"/>
    <col min="6409" max="6656" width="9.140625" style="387"/>
    <col min="6657" max="6657" width="76.28515625" style="387" bestFit="1" customWidth="1"/>
    <col min="6658" max="6658" width="15.42578125" style="387" bestFit="1" customWidth="1"/>
    <col min="6659" max="6662" width="15.42578125" style="387" customWidth="1"/>
    <col min="6663" max="6663" width="15.42578125" style="387" bestFit="1" customWidth="1"/>
    <col min="6664" max="6664" width="19.5703125" style="387" customWidth="1"/>
    <col min="6665" max="6912" width="9.140625" style="387"/>
    <col min="6913" max="6913" width="76.28515625" style="387" bestFit="1" customWidth="1"/>
    <col min="6914" max="6914" width="15.42578125" style="387" bestFit="1" customWidth="1"/>
    <col min="6915" max="6918" width="15.42578125" style="387" customWidth="1"/>
    <col min="6919" max="6919" width="15.42578125" style="387" bestFit="1" customWidth="1"/>
    <col min="6920" max="6920" width="19.5703125" style="387" customWidth="1"/>
    <col min="6921" max="7168" width="9.140625" style="387"/>
    <col min="7169" max="7169" width="76.28515625" style="387" bestFit="1" customWidth="1"/>
    <col min="7170" max="7170" width="15.42578125" style="387" bestFit="1" customWidth="1"/>
    <col min="7171" max="7174" width="15.42578125" style="387" customWidth="1"/>
    <col min="7175" max="7175" width="15.42578125" style="387" bestFit="1" customWidth="1"/>
    <col min="7176" max="7176" width="19.5703125" style="387" customWidth="1"/>
    <col min="7177" max="7424" width="9.140625" style="387"/>
    <col min="7425" max="7425" width="76.28515625" style="387" bestFit="1" customWidth="1"/>
    <col min="7426" max="7426" width="15.42578125" style="387" bestFit="1" customWidth="1"/>
    <col min="7427" max="7430" width="15.42578125" style="387" customWidth="1"/>
    <col min="7431" max="7431" width="15.42578125" style="387" bestFit="1" customWidth="1"/>
    <col min="7432" max="7432" width="19.5703125" style="387" customWidth="1"/>
    <col min="7433" max="7680" width="9.140625" style="387"/>
    <col min="7681" max="7681" width="76.28515625" style="387" bestFit="1" customWidth="1"/>
    <col min="7682" max="7682" width="15.42578125" style="387" bestFit="1" customWidth="1"/>
    <col min="7683" max="7686" width="15.42578125" style="387" customWidth="1"/>
    <col min="7687" max="7687" width="15.42578125" style="387" bestFit="1" customWidth="1"/>
    <col min="7688" max="7688" width="19.5703125" style="387" customWidth="1"/>
    <col min="7689" max="7936" width="9.140625" style="387"/>
    <col min="7937" max="7937" width="76.28515625" style="387" bestFit="1" customWidth="1"/>
    <col min="7938" max="7938" width="15.42578125" style="387" bestFit="1" customWidth="1"/>
    <col min="7939" max="7942" width="15.42578125" style="387" customWidth="1"/>
    <col min="7943" max="7943" width="15.42578125" style="387" bestFit="1" customWidth="1"/>
    <col min="7944" max="7944" width="19.5703125" style="387" customWidth="1"/>
    <col min="7945" max="8192" width="9.140625" style="387"/>
    <col min="8193" max="8193" width="76.28515625" style="387" bestFit="1" customWidth="1"/>
    <col min="8194" max="8194" width="15.42578125" style="387" bestFit="1" customWidth="1"/>
    <col min="8195" max="8198" width="15.42578125" style="387" customWidth="1"/>
    <col min="8199" max="8199" width="15.42578125" style="387" bestFit="1" customWidth="1"/>
    <col min="8200" max="8200" width="19.5703125" style="387" customWidth="1"/>
    <col min="8201" max="8448" width="9.140625" style="387"/>
    <col min="8449" max="8449" width="76.28515625" style="387" bestFit="1" customWidth="1"/>
    <col min="8450" max="8450" width="15.42578125" style="387" bestFit="1" customWidth="1"/>
    <col min="8451" max="8454" width="15.42578125" style="387" customWidth="1"/>
    <col min="8455" max="8455" width="15.42578125" style="387" bestFit="1" customWidth="1"/>
    <col min="8456" max="8456" width="19.5703125" style="387" customWidth="1"/>
    <col min="8457" max="8704" width="9.140625" style="387"/>
    <col min="8705" max="8705" width="76.28515625" style="387" bestFit="1" customWidth="1"/>
    <col min="8706" max="8706" width="15.42578125" style="387" bestFit="1" customWidth="1"/>
    <col min="8707" max="8710" width="15.42578125" style="387" customWidth="1"/>
    <col min="8711" max="8711" width="15.42578125" style="387" bestFit="1" customWidth="1"/>
    <col min="8712" max="8712" width="19.5703125" style="387" customWidth="1"/>
    <col min="8713" max="8960" width="9.140625" style="387"/>
    <col min="8961" max="8961" width="76.28515625" style="387" bestFit="1" customWidth="1"/>
    <col min="8962" max="8962" width="15.42578125" style="387" bestFit="1" customWidth="1"/>
    <col min="8963" max="8966" width="15.42578125" style="387" customWidth="1"/>
    <col min="8967" max="8967" width="15.42578125" style="387" bestFit="1" customWidth="1"/>
    <col min="8968" max="8968" width="19.5703125" style="387" customWidth="1"/>
    <col min="8969" max="9216" width="9.140625" style="387"/>
    <col min="9217" max="9217" width="76.28515625" style="387" bestFit="1" customWidth="1"/>
    <col min="9218" max="9218" width="15.42578125" style="387" bestFit="1" customWidth="1"/>
    <col min="9219" max="9222" width="15.42578125" style="387" customWidth="1"/>
    <col min="9223" max="9223" width="15.42578125" style="387" bestFit="1" customWidth="1"/>
    <col min="9224" max="9224" width="19.5703125" style="387" customWidth="1"/>
    <col min="9225" max="9472" width="9.140625" style="387"/>
    <col min="9473" max="9473" width="76.28515625" style="387" bestFit="1" customWidth="1"/>
    <col min="9474" max="9474" width="15.42578125" style="387" bestFit="1" customWidth="1"/>
    <col min="9475" max="9478" width="15.42578125" style="387" customWidth="1"/>
    <col min="9479" max="9479" width="15.42578125" style="387" bestFit="1" customWidth="1"/>
    <col min="9480" max="9480" width="19.5703125" style="387" customWidth="1"/>
    <col min="9481" max="9728" width="9.140625" style="387"/>
    <col min="9729" max="9729" width="76.28515625" style="387" bestFit="1" customWidth="1"/>
    <col min="9730" max="9730" width="15.42578125" style="387" bestFit="1" customWidth="1"/>
    <col min="9731" max="9734" width="15.42578125" style="387" customWidth="1"/>
    <col min="9735" max="9735" width="15.42578125" style="387" bestFit="1" customWidth="1"/>
    <col min="9736" max="9736" width="19.5703125" style="387" customWidth="1"/>
    <col min="9737" max="9984" width="9.140625" style="387"/>
    <col min="9985" max="9985" width="76.28515625" style="387" bestFit="1" customWidth="1"/>
    <col min="9986" max="9986" width="15.42578125" style="387" bestFit="1" customWidth="1"/>
    <col min="9987" max="9990" width="15.42578125" style="387" customWidth="1"/>
    <col min="9991" max="9991" width="15.42578125" style="387" bestFit="1" customWidth="1"/>
    <col min="9992" max="9992" width="19.5703125" style="387" customWidth="1"/>
    <col min="9993" max="10240" width="9.140625" style="387"/>
    <col min="10241" max="10241" width="76.28515625" style="387" bestFit="1" customWidth="1"/>
    <col min="10242" max="10242" width="15.42578125" style="387" bestFit="1" customWidth="1"/>
    <col min="10243" max="10246" width="15.42578125" style="387" customWidth="1"/>
    <col min="10247" max="10247" width="15.42578125" style="387" bestFit="1" customWidth="1"/>
    <col min="10248" max="10248" width="19.5703125" style="387" customWidth="1"/>
    <col min="10249" max="10496" width="9.140625" style="387"/>
    <col min="10497" max="10497" width="76.28515625" style="387" bestFit="1" customWidth="1"/>
    <col min="10498" max="10498" width="15.42578125" style="387" bestFit="1" customWidth="1"/>
    <col min="10499" max="10502" width="15.42578125" style="387" customWidth="1"/>
    <col min="10503" max="10503" width="15.42578125" style="387" bestFit="1" customWidth="1"/>
    <col min="10504" max="10504" width="19.5703125" style="387" customWidth="1"/>
    <col min="10505" max="10752" width="9.140625" style="387"/>
    <col min="10753" max="10753" width="76.28515625" style="387" bestFit="1" customWidth="1"/>
    <col min="10754" max="10754" width="15.42578125" style="387" bestFit="1" customWidth="1"/>
    <col min="10755" max="10758" width="15.42578125" style="387" customWidth="1"/>
    <col min="10759" max="10759" width="15.42578125" style="387" bestFit="1" customWidth="1"/>
    <col min="10760" max="10760" width="19.5703125" style="387" customWidth="1"/>
    <col min="10761" max="11008" width="9.140625" style="387"/>
    <col min="11009" max="11009" width="76.28515625" style="387" bestFit="1" customWidth="1"/>
    <col min="11010" max="11010" width="15.42578125" style="387" bestFit="1" customWidth="1"/>
    <col min="11011" max="11014" width="15.42578125" style="387" customWidth="1"/>
    <col min="11015" max="11015" width="15.42578125" style="387" bestFit="1" customWidth="1"/>
    <col min="11016" max="11016" width="19.5703125" style="387" customWidth="1"/>
    <col min="11017" max="11264" width="9.140625" style="387"/>
    <col min="11265" max="11265" width="76.28515625" style="387" bestFit="1" customWidth="1"/>
    <col min="11266" max="11266" width="15.42578125" style="387" bestFit="1" customWidth="1"/>
    <col min="11267" max="11270" width="15.42578125" style="387" customWidth="1"/>
    <col min="11271" max="11271" width="15.42578125" style="387" bestFit="1" customWidth="1"/>
    <col min="11272" max="11272" width="19.5703125" style="387" customWidth="1"/>
    <col min="11273" max="11520" width="9.140625" style="387"/>
    <col min="11521" max="11521" width="76.28515625" style="387" bestFit="1" customWidth="1"/>
    <col min="11522" max="11522" width="15.42578125" style="387" bestFit="1" customWidth="1"/>
    <col min="11523" max="11526" width="15.42578125" style="387" customWidth="1"/>
    <col min="11527" max="11527" width="15.42578125" style="387" bestFit="1" customWidth="1"/>
    <col min="11528" max="11528" width="19.5703125" style="387" customWidth="1"/>
    <col min="11529" max="11776" width="9.140625" style="387"/>
    <col min="11777" max="11777" width="76.28515625" style="387" bestFit="1" customWidth="1"/>
    <col min="11778" max="11778" width="15.42578125" style="387" bestFit="1" customWidth="1"/>
    <col min="11779" max="11782" width="15.42578125" style="387" customWidth="1"/>
    <col min="11783" max="11783" width="15.42578125" style="387" bestFit="1" customWidth="1"/>
    <col min="11784" max="11784" width="19.5703125" style="387" customWidth="1"/>
    <col min="11785" max="12032" width="9.140625" style="387"/>
    <col min="12033" max="12033" width="76.28515625" style="387" bestFit="1" customWidth="1"/>
    <col min="12034" max="12034" width="15.42578125" style="387" bestFit="1" customWidth="1"/>
    <col min="12035" max="12038" width="15.42578125" style="387" customWidth="1"/>
    <col min="12039" max="12039" width="15.42578125" style="387" bestFit="1" customWidth="1"/>
    <col min="12040" max="12040" width="19.5703125" style="387" customWidth="1"/>
    <col min="12041" max="12288" width="9.140625" style="387"/>
    <col min="12289" max="12289" width="76.28515625" style="387" bestFit="1" customWidth="1"/>
    <col min="12290" max="12290" width="15.42578125" style="387" bestFit="1" customWidth="1"/>
    <col min="12291" max="12294" width="15.42578125" style="387" customWidth="1"/>
    <col min="12295" max="12295" width="15.42578125" style="387" bestFit="1" customWidth="1"/>
    <col min="12296" max="12296" width="19.5703125" style="387" customWidth="1"/>
    <col min="12297" max="12544" width="9.140625" style="387"/>
    <col min="12545" max="12545" width="76.28515625" style="387" bestFit="1" customWidth="1"/>
    <col min="12546" max="12546" width="15.42578125" style="387" bestFit="1" customWidth="1"/>
    <col min="12547" max="12550" width="15.42578125" style="387" customWidth="1"/>
    <col min="12551" max="12551" width="15.42578125" style="387" bestFit="1" customWidth="1"/>
    <col min="12552" max="12552" width="19.5703125" style="387" customWidth="1"/>
    <col min="12553" max="12800" width="9.140625" style="387"/>
    <col min="12801" max="12801" width="76.28515625" style="387" bestFit="1" customWidth="1"/>
    <col min="12802" max="12802" width="15.42578125" style="387" bestFit="1" customWidth="1"/>
    <col min="12803" max="12806" width="15.42578125" style="387" customWidth="1"/>
    <col min="12807" max="12807" width="15.42578125" style="387" bestFit="1" customWidth="1"/>
    <col min="12808" max="12808" width="19.5703125" style="387" customWidth="1"/>
    <col min="12809" max="13056" width="9.140625" style="387"/>
    <col min="13057" max="13057" width="76.28515625" style="387" bestFit="1" customWidth="1"/>
    <col min="13058" max="13058" width="15.42578125" style="387" bestFit="1" customWidth="1"/>
    <col min="13059" max="13062" width="15.42578125" style="387" customWidth="1"/>
    <col min="13063" max="13063" width="15.42578125" style="387" bestFit="1" customWidth="1"/>
    <col min="13064" max="13064" width="19.5703125" style="387" customWidth="1"/>
    <col min="13065" max="13312" width="9.140625" style="387"/>
    <col min="13313" max="13313" width="76.28515625" style="387" bestFit="1" customWidth="1"/>
    <col min="13314" max="13314" width="15.42578125" style="387" bestFit="1" customWidth="1"/>
    <col min="13315" max="13318" width="15.42578125" style="387" customWidth="1"/>
    <col min="13319" max="13319" width="15.42578125" style="387" bestFit="1" customWidth="1"/>
    <col min="13320" max="13320" width="19.5703125" style="387" customWidth="1"/>
    <col min="13321" max="13568" width="9.140625" style="387"/>
    <col min="13569" max="13569" width="76.28515625" style="387" bestFit="1" customWidth="1"/>
    <col min="13570" max="13570" width="15.42578125" style="387" bestFit="1" customWidth="1"/>
    <col min="13571" max="13574" width="15.42578125" style="387" customWidth="1"/>
    <col min="13575" max="13575" width="15.42578125" style="387" bestFit="1" customWidth="1"/>
    <col min="13576" max="13576" width="19.5703125" style="387" customWidth="1"/>
    <col min="13577" max="13824" width="9.140625" style="387"/>
    <col min="13825" max="13825" width="76.28515625" style="387" bestFit="1" customWidth="1"/>
    <col min="13826" max="13826" width="15.42578125" style="387" bestFit="1" customWidth="1"/>
    <col min="13827" max="13830" width="15.42578125" style="387" customWidth="1"/>
    <col min="13831" max="13831" width="15.42578125" style="387" bestFit="1" customWidth="1"/>
    <col min="13832" max="13832" width="19.5703125" style="387" customWidth="1"/>
    <col min="13833" max="14080" width="9.140625" style="387"/>
    <col min="14081" max="14081" width="76.28515625" style="387" bestFit="1" customWidth="1"/>
    <col min="14082" max="14082" width="15.42578125" style="387" bestFit="1" customWidth="1"/>
    <col min="14083" max="14086" width="15.42578125" style="387" customWidth="1"/>
    <col min="14087" max="14087" width="15.42578125" style="387" bestFit="1" customWidth="1"/>
    <col min="14088" max="14088" width="19.5703125" style="387" customWidth="1"/>
    <col min="14089" max="14336" width="9.140625" style="387"/>
    <col min="14337" max="14337" width="76.28515625" style="387" bestFit="1" customWidth="1"/>
    <col min="14338" max="14338" width="15.42578125" style="387" bestFit="1" customWidth="1"/>
    <col min="14339" max="14342" width="15.42578125" style="387" customWidth="1"/>
    <col min="14343" max="14343" width="15.42578125" style="387" bestFit="1" customWidth="1"/>
    <col min="14344" max="14344" width="19.5703125" style="387" customWidth="1"/>
    <col min="14345" max="14592" width="9.140625" style="387"/>
    <col min="14593" max="14593" width="76.28515625" style="387" bestFit="1" customWidth="1"/>
    <col min="14594" max="14594" width="15.42578125" style="387" bestFit="1" customWidth="1"/>
    <col min="14595" max="14598" width="15.42578125" style="387" customWidth="1"/>
    <col min="14599" max="14599" width="15.42578125" style="387" bestFit="1" customWidth="1"/>
    <col min="14600" max="14600" width="19.5703125" style="387" customWidth="1"/>
    <col min="14601" max="14848" width="9.140625" style="387"/>
    <col min="14849" max="14849" width="76.28515625" style="387" bestFit="1" customWidth="1"/>
    <col min="14850" max="14850" width="15.42578125" style="387" bestFit="1" customWidth="1"/>
    <col min="14851" max="14854" width="15.42578125" style="387" customWidth="1"/>
    <col min="14855" max="14855" width="15.42578125" style="387" bestFit="1" customWidth="1"/>
    <col min="14856" max="14856" width="19.5703125" style="387" customWidth="1"/>
    <col min="14857" max="15104" width="9.140625" style="387"/>
    <col min="15105" max="15105" width="76.28515625" style="387" bestFit="1" customWidth="1"/>
    <col min="15106" max="15106" width="15.42578125" style="387" bestFit="1" customWidth="1"/>
    <col min="15107" max="15110" width="15.42578125" style="387" customWidth="1"/>
    <col min="15111" max="15111" width="15.42578125" style="387" bestFit="1" customWidth="1"/>
    <col min="15112" max="15112" width="19.5703125" style="387" customWidth="1"/>
    <col min="15113" max="15360" width="9.140625" style="387"/>
    <col min="15361" max="15361" width="76.28515625" style="387" bestFit="1" customWidth="1"/>
    <col min="15362" max="15362" width="15.42578125" style="387" bestFit="1" customWidth="1"/>
    <col min="15363" max="15366" width="15.42578125" style="387" customWidth="1"/>
    <col min="15367" max="15367" width="15.42578125" style="387" bestFit="1" customWidth="1"/>
    <col min="15368" max="15368" width="19.5703125" style="387" customWidth="1"/>
    <col min="15369" max="15616" width="9.140625" style="387"/>
    <col min="15617" max="15617" width="76.28515625" style="387" bestFit="1" customWidth="1"/>
    <col min="15618" max="15618" width="15.42578125" style="387" bestFit="1" customWidth="1"/>
    <col min="15619" max="15622" width="15.42578125" style="387" customWidth="1"/>
    <col min="15623" max="15623" width="15.42578125" style="387" bestFit="1" customWidth="1"/>
    <col min="15624" max="15624" width="19.5703125" style="387" customWidth="1"/>
    <col min="15625" max="15872" width="9.140625" style="387"/>
    <col min="15873" max="15873" width="76.28515625" style="387" bestFit="1" customWidth="1"/>
    <col min="15874" max="15874" width="15.42578125" style="387" bestFit="1" customWidth="1"/>
    <col min="15875" max="15878" width="15.42578125" style="387" customWidth="1"/>
    <col min="15879" max="15879" width="15.42578125" style="387" bestFit="1" customWidth="1"/>
    <col min="15880" max="15880" width="19.5703125" style="387" customWidth="1"/>
    <col min="15881" max="16128" width="9.140625" style="387"/>
    <col min="16129" max="16129" width="76.28515625" style="387" bestFit="1" customWidth="1"/>
    <col min="16130" max="16130" width="15.42578125" style="387" bestFit="1" customWidth="1"/>
    <col min="16131" max="16134" width="15.42578125" style="387" customWidth="1"/>
    <col min="16135" max="16135" width="15.42578125" style="387" bestFit="1" customWidth="1"/>
    <col min="16136" max="16136" width="19.5703125" style="387" customWidth="1"/>
    <col min="16137" max="16384" width="9.140625" style="387"/>
  </cols>
  <sheetData>
    <row r="1" spans="1:8" x14ac:dyDescent="0.2">
      <c r="A1" s="1358" t="s">
        <v>1299</v>
      </c>
      <c r="B1" s="1358">
        <f t="shared" ref="B1:G1" si="0">SUM(B2:B4)</f>
        <v>0</v>
      </c>
      <c r="C1" s="1358">
        <f t="shared" si="0"/>
        <v>0</v>
      </c>
      <c r="D1" s="1358">
        <f t="shared" si="0"/>
        <v>0</v>
      </c>
      <c r="E1" s="1358">
        <f t="shared" si="0"/>
        <v>0</v>
      </c>
      <c r="F1" s="1358" t="e">
        <f t="shared" si="0"/>
        <v>#REF!</v>
      </c>
      <c r="G1" s="1358" t="e">
        <f t="shared" si="0"/>
        <v>#REF!</v>
      </c>
    </row>
    <row r="2" spans="1:8" x14ac:dyDescent="0.2">
      <c r="A2" s="1359" t="s">
        <v>1</v>
      </c>
      <c r="B2" s="1359"/>
      <c r="C2" s="1359"/>
      <c r="D2" s="1359"/>
      <c r="E2" s="1359"/>
      <c r="F2" s="1359"/>
      <c r="G2" s="1359"/>
    </row>
    <row r="3" spans="1:8" x14ac:dyDescent="0.2">
      <c r="A3" s="401" t="s">
        <v>19</v>
      </c>
      <c r="B3" s="389" t="s">
        <v>20</v>
      </c>
      <c r="C3" s="389" t="s">
        <v>21</v>
      </c>
      <c r="D3" s="402" t="s">
        <v>22</v>
      </c>
      <c r="E3" s="389" t="s">
        <v>23</v>
      </c>
      <c r="F3" s="403" t="s">
        <v>24</v>
      </c>
      <c r="G3" s="389" t="s">
        <v>25</v>
      </c>
    </row>
    <row r="4" spans="1:8" x14ac:dyDescent="0.2">
      <c r="A4" s="971" t="s">
        <v>26</v>
      </c>
      <c r="B4" s="391">
        <f>SUM(B5)+B7</f>
        <v>0</v>
      </c>
      <c r="C4" s="391">
        <f t="shared" ref="C4:E5" si="1">SUM(C5)</f>
        <v>0</v>
      </c>
      <c r="D4" s="391">
        <f t="shared" si="1"/>
        <v>0</v>
      </c>
      <c r="E4" s="391">
        <f t="shared" si="1"/>
        <v>0</v>
      </c>
      <c r="F4" s="391" t="e">
        <f>SUM(F5+F7)</f>
        <v>#REF!</v>
      </c>
      <c r="G4" s="391" t="e">
        <f>SUM(B4:F4)</f>
        <v>#REF!</v>
      </c>
      <c r="H4" s="972"/>
    </row>
    <row r="5" spans="1:8" s="395" customFormat="1" x14ac:dyDescent="0.2">
      <c r="A5" s="973" t="s">
        <v>837</v>
      </c>
      <c r="B5" s="974">
        <f>SUM(B6)</f>
        <v>0</v>
      </c>
      <c r="C5" s="974">
        <f t="shared" si="1"/>
        <v>0</v>
      </c>
      <c r="D5" s="974">
        <f t="shared" si="1"/>
        <v>0</v>
      </c>
      <c r="E5" s="974">
        <f t="shared" si="1"/>
        <v>0</v>
      </c>
      <c r="F5" s="974" t="e">
        <f>SUM(F6)</f>
        <v>#REF!</v>
      </c>
      <c r="G5" s="975" t="e">
        <f>SUM(B5:F5)</f>
        <v>#REF!</v>
      </c>
    </row>
    <row r="6" spans="1:8" x14ac:dyDescent="0.2">
      <c r="A6" s="976" t="s">
        <v>838</v>
      </c>
      <c r="B6" s="977">
        <v>0</v>
      </c>
      <c r="C6" s="977">
        <v>0</v>
      </c>
      <c r="D6" s="977">
        <v>0</v>
      </c>
      <c r="E6" s="977">
        <v>0</v>
      </c>
      <c r="F6" s="977" t="e">
        <f>+#REF!</f>
        <v>#REF!</v>
      </c>
      <c r="G6" s="978" t="e">
        <f>SUM(B6:F6)</f>
        <v>#REF!</v>
      </c>
    </row>
    <row r="7" spans="1:8" x14ac:dyDescent="0.2">
      <c r="A7" s="973" t="s">
        <v>839</v>
      </c>
      <c r="B7" s="974">
        <f>SUM(B8)</f>
        <v>0</v>
      </c>
      <c r="C7" s="974">
        <f>SUM(C8)</f>
        <v>0</v>
      </c>
      <c r="D7" s="974">
        <f>SUM(D8)</f>
        <v>0</v>
      </c>
      <c r="E7" s="974">
        <f>SUM(E8)</f>
        <v>0</v>
      </c>
      <c r="F7" s="974" t="e">
        <f>SUM(F8)</f>
        <v>#REF!</v>
      </c>
      <c r="G7" s="975" t="e">
        <f>SUM(B7:F7)</f>
        <v>#REF!</v>
      </c>
    </row>
    <row r="8" spans="1:8" x14ac:dyDescent="0.2">
      <c r="A8" s="979" t="s">
        <v>122</v>
      </c>
      <c r="B8" s="977">
        <v>0</v>
      </c>
      <c r="C8" s="977">
        <v>0</v>
      </c>
      <c r="D8" s="977">
        <v>0</v>
      </c>
      <c r="E8" s="977">
        <v>0</v>
      </c>
      <c r="F8" s="977" t="e">
        <f>+#REF!</f>
        <v>#REF!</v>
      </c>
      <c r="G8" s="978" t="e">
        <f>SUM(B8:F8)</f>
        <v>#REF!</v>
      </c>
    </row>
    <row r="9" spans="1:8" s="395" customFormat="1" x14ac:dyDescent="0.2">
      <c r="A9" s="980" t="s">
        <v>12</v>
      </c>
      <c r="B9" s="391">
        <f t="shared" ref="B9:G9" si="2">+B10+B13+B16+B18+B20</f>
        <v>0</v>
      </c>
      <c r="C9" s="391" t="e">
        <f t="shared" si="2"/>
        <v>#REF!</v>
      </c>
      <c r="D9" s="391" t="e">
        <f t="shared" si="2"/>
        <v>#REF!</v>
      </c>
      <c r="E9" s="391" t="e">
        <f t="shared" si="2"/>
        <v>#REF!</v>
      </c>
      <c r="F9" s="391" t="e">
        <f t="shared" si="2"/>
        <v>#REF!</v>
      </c>
      <c r="G9" s="391" t="e">
        <f t="shared" si="2"/>
        <v>#REF!</v>
      </c>
      <c r="H9" s="972"/>
    </row>
    <row r="10" spans="1:8" s="395" customFormat="1" x14ac:dyDescent="0.2">
      <c r="A10" s="981" t="s">
        <v>127</v>
      </c>
      <c r="B10" s="982">
        <f>SUM(B11:B12)</f>
        <v>0</v>
      </c>
      <c r="C10" s="982">
        <f>SUM(C11:C12)</f>
        <v>0</v>
      </c>
      <c r="D10" s="982">
        <f>SUM(D11:D12)</f>
        <v>0</v>
      </c>
      <c r="E10" s="982" t="e">
        <f>SUM(E11:E12)</f>
        <v>#REF!</v>
      </c>
      <c r="F10" s="982" t="e">
        <f>SUM(F11:F12)</f>
        <v>#REF!</v>
      </c>
      <c r="G10" s="975" t="e">
        <f>SUM(B10:F10)</f>
        <v>#REF!</v>
      </c>
    </row>
    <row r="11" spans="1:8" x14ac:dyDescent="0.2">
      <c r="A11" s="976" t="s">
        <v>128</v>
      </c>
      <c r="B11" s="977">
        <v>0</v>
      </c>
      <c r="C11" s="977">
        <v>0</v>
      </c>
      <c r="D11" s="977">
        <v>0</v>
      </c>
      <c r="E11" s="977">
        <v>0</v>
      </c>
      <c r="F11" s="977" t="e">
        <f>+#REF!</f>
        <v>#REF!</v>
      </c>
      <c r="G11" s="978" t="e">
        <f t="shared" ref="G11:G26" si="3">SUM(B11:F11)</f>
        <v>#REF!</v>
      </c>
    </row>
    <row r="12" spans="1:8" x14ac:dyDescent="0.2">
      <c r="A12" s="976" t="s">
        <v>129</v>
      </c>
      <c r="B12" s="977">
        <v>0</v>
      </c>
      <c r="C12" s="977">
        <v>0</v>
      </c>
      <c r="D12" s="977">
        <v>0</v>
      </c>
      <c r="E12" s="977" t="e">
        <f>+#REF!</f>
        <v>#REF!</v>
      </c>
      <c r="F12" s="977" t="e">
        <f>+#REF!</f>
        <v>#REF!</v>
      </c>
      <c r="G12" s="978" t="e">
        <f>SUM(B12:F12)</f>
        <v>#REF!</v>
      </c>
    </row>
    <row r="13" spans="1:8" s="395" customFormat="1" x14ac:dyDescent="0.2">
      <c r="A13" s="981" t="s">
        <v>130</v>
      </c>
      <c r="B13" s="974">
        <f>SUM(B14:B15)</f>
        <v>0</v>
      </c>
      <c r="C13" s="974">
        <f>SUM(C14:C15)</f>
        <v>0</v>
      </c>
      <c r="D13" s="974">
        <f>SUM(D14:D15)</f>
        <v>0</v>
      </c>
      <c r="E13" s="974" t="e">
        <f>SUM(E14:E15)</f>
        <v>#REF!</v>
      </c>
      <c r="F13" s="974" t="e">
        <f>SUM(F14:F15)</f>
        <v>#REF!</v>
      </c>
      <c r="G13" s="975" t="e">
        <f t="shared" si="3"/>
        <v>#REF!</v>
      </c>
    </row>
    <row r="14" spans="1:8" x14ac:dyDescent="0.2">
      <c r="A14" s="976" t="s">
        <v>131</v>
      </c>
      <c r="B14" s="977">
        <v>0</v>
      </c>
      <c r="C14" s="977">
        <v>0</v>
      </c>
      <c r="D14" s="977">
        <v>0</v>
      </c>
      <c r="E14" s="977">
        <v>0</v>
      </c>
      <c r="F14" s="977" t="e">
        <f>+#REF!</f>
        <v>#REF!</v>
      </c>
      <c r="G14" s="978" t="e">
        <f t="shared" si="3"/>
        <v>#REF!</v>
      </c>
    </row>
    <row r="15" spans="1:8" x14ac:dyDescent="0.2">
      <c r="A15" s="979" t="s">
        <v>132</v>
      </c>
      <c r="B15" s="983">
        <f>SUM(B16+B24)</f>
        <v>0</v>
      </c>
      <c r="C15" s="983">
        <v>0</v>
      </c>
      <c r="D15" s="977">
        <v>0</v>
      </c>
      <c r="E15" s="977" t="e">
        <f>+#REF!</f>
        <v>#REF!</v>
      </c>
      <c r="F15" s="977" t="e">
        <f>+#REF!</f>
        <v>#REF!</v>
      </c>
      <c r="G15" s="978" t="e">
        <f t="shared" si="3"/>
        <v>#REF!</v>
      </c>
    </row>
    <row r="16" spans="1:8" s="395" customFormat="1" x14ac:dyDescent="0.2">
      <c r="A16" s="981" t="s">
        <v>138</v>
      </c>
      <c r="B16" s="974">
        <f>SUM(B17:B19)</f>
        <v>0</v>
      </c>
      <c r="C16" s="974">
        <f>SUM(C17)</f>
        <v>0</v>
      </c>
      <c r="D16" s="974">
        <f>SUM(D17)</f>
        <v>0</v>
      </c>
      <c r="E16" s="974" t="e">
        <f>SUM(E17)</f>
        <v>#REF!</v>
      </c>
      <c r="F16" s="974" t="e">
        <f>SUM(F17)</f>
        <v>#REF!</v>
      </c>
      <c r="G16" s="975" t="e">
        <f t="shared" si="3"/>
        <v>#REF!</v>
      </c>
    </row>
    <row r="17" spans="1:38" x14ac:dyDescent="0.2">
      <c r="A17" s="984" t="s">
        <v>133</v>
      </c>
      <c r="B17" s="977">
        <v>0</v>
      </c>
      <c r="C17" s="977">
        <v>0</v>
      </c>
      <c r="D17" s="977">
        <v>0</v>
      </c>
      <c r="E17" s="977" t="e">
        <f>+#REF!</f>
        <v>#REF!</v>
      </c>
      <c r="F17" s="977" t="e">
        <f>+#REF!</f>
        <v>#REF!</v>
      </c>
      <c r="G17" s="978" t="e">
        <f t="shared" si="3"/>
        <v>#REF!</v>
      </c>
    </row>
    <row r="18" spans="1:38" x14ac:dyDescent="0.2">
      <c r="A18" s="985" t="s">
        <v>139</v>
      </c>
      <c r="B18" s="986">
        <f t="shared" ref="B18:G18" si="4">SUM(B19)</f>
        <v>0</v>
      </c>
      <c r="C18" s="986">
        <f t="shared" si="4"/>
        <v>0</v>
      </c>
      <c r="D18" s="986">
        <f t="shared" si="4"/>
        <v>0</v>
      </c>
      <c r="E18" s="986" t="e">
        <f t="shared" si="4"/>
        <v>#REF!</v>
      </c>
      <c r="F18" s="986" t="e">
        <f t="shared" si="4"/>
        <v>#REF!</v>
      </c>
      <c r="G18" s="974" t="e">
        <f t="shared" si="4"/>
        <v>#REF!</v>
      </c>
    </row>
    <row r="19" spans="1:38" x14ac:dyDescent="0.2">
      <c r="A19" s="987" t="s">
        <v>134</v>
      </c>
      <c r="B19" s="983">
        <v>0</v>
      </c>
      <c r="C19" s="977">
        <v>0</v>
      </c>
      <c r="D19" s="977">
        <v>0</v>
      </c>
      <c r="E19" s="977" t="e">
        <f>+#REF!</f>
        <v>#REF!</v>
      </c>
      <c r="F19" s="977" t="e">
        <f>+#REF!</f>
        <v>#REF!</v>
      </c>
      <c r="G19" s="978" t="e">
        <f t="shared" si="3"/>
        <v>#REF!</v>
      </c>
    </row>
    <row r="20" spans="1:38" s="395" customFormat="1" x14ac:dyDescent="0.2">
      <c r="A20" s="981" t="s">
        <v>135</v>
      </c>
      <c r="B20" s="986">
        <f>SUM(B21:B22)</f>
        <v>0</v>
      </c>
      <c r="C20" s="986" t="e">
        <f>SUM(C21:C22)</f>
        <v>#REF!</v>
      </c>
      <c r="D20" s="986" t="e">
        <f>SUM(D21:D22)</f>
        <v>#REF!</v>
      </c>
      <c r="E20" s="986" t="e">
        <f>SUM(E21:E22)</f>
        <v>#REF!</v>
      </c>
      <c r="F20" s="986" t="e">
        <f>SUM(F21:F22)</f>
        <v>#REF!</v>
      </c>
      <c r="G20" s="974" t="e">
        <f>SUM(B20:F20)</f>
        <v>#REF!</v>
      </c>
    </row>
    <row r="21" spans="1:38" x14ac:dyDescent="0.2">
      <c r="A21" s="979" t="s">
        <v>136</v>
      </c>
      <c r="B21" s="977">
        <v>0</v>
      </c>
      <c r="C21" s="977" t="e">
        <f>+#REF!</f>
        <v>#REF!</v>
      </c>
      <c r="D21" s="977">
        <v>0</v>
      </c>
      <c r="E21" s="977" t="e">
        <f>+#REF!</f>
        <v>#REF!</v>
      </c>
      <c r="F21" s="977" t="e">
        <f>+#REF!</f>
        <v>#REF!</v>
      </c>
      <c r="G21" s="978" t="e">
        <f t="shared" si="3"/>
        <v>#REF!</v>
      </c>
    </row>
    <row r="22" spans="1:38" x14ac:dyDescent="0.2">
      <c r="A22" s="979" t="s">
        <v>137</v>
      </c>
      <c r="B22" s="977">
        <v>0</v>
      </c>
      <c r="C22" s="977" t="e">
        <f>+#REF!</f>
        <v>#REF!</v>
      </c>
      <c r="D22" s="977" t="e">
        <f>+#REF!</f>
        <v>#REF!</v>
      </c>
      <c r="E22" s="977" t="e">
        <f>+#REF!</f>
        <v>#REF!</v>
      </c>
      <c r="F22" s="977" t="e">
        <f>+#REF!</f>
        <v>#REF!</v>
      </c>
      <c r="G22" s="978" t="e">
        <f>SUM(B22:F22)</f>
        <v>#REF!</v>
      </c>
    </row>
    <row r="23" spans="1:38" x14ac:dyDescent="0.2">
      <c r="A23" s="980" t="s">
        <v>15</v>
      </c>
      <c r="B23" s="988">
        <f>SUM(B24)</f>
        <v>0</v>
      </c>
      <c r="C23" s="988">
        <f t="shared" ref="C23:F24" si="5">SUM(C24)</f>
        <v>0</v>
      </c>
      <c r="D23" s="988" t="e">
        <f t="shared" si="5"/>
        <v>#REF!</v>
      </c>
      <c r="E23" s="988">
        <f t="shared" si="5"/>
        <v>0</v>
      </c>
      <c r="F23" s="988">
        <f t="shared" si="5"/>
        <v>0</v>
      </c>
      <c r="G23" s="988" t="e">
        <f t="shared" si="3"/>
        <v>#REF!</v>
      </c>
      <c r="H23" s="972"/>
    </row>
    <row r="24" spans="1:38" s="990" customFormat="1" x14ac:dyDescent="0.2">
      <c r="A24" s="981" t="s">
        <v>27</v>
      </c>
      <c r="B24" s="989">
        <f>SUM(B25)</f>
        <v>0</v>
      </c>
      <c r="C24" s="989">
        <f t="shared" si="5"/>
        <v>0</v>
      </c>
      <c r="D24" s="989" t="e">
        <f t="shared" si="5"/>
        <v>#REF!</v>
      </c>
      <c r="E24" s="989">
        <f t="shared" si="5"/>
        <v>0</v>
      </c>
      <c r="F24" s="989">
        <f t="shared" si="5"/>
        <v>0</v>
      </c>
      <c r="G24" s="989" t="e">
        <f>SUM(G25)</f>
        <v>#REF!</v>
      </c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</row>
    <row r="25" spans="1:38" s="992" customFormat="1" x14ac:dyDescent="0.2">
      <c r="A25" s="984" t="s">
        <v>13</v>
      </c>
      <c r="B25" s="991">
        <v>0</v>
      </c>
      <c r="C25" s="991">
        <v>0</v>
      </c>
      <c r="D25" s="991" t="e">
        <f>+#REF!</f>
        <v>#REF!</v>
      </c>
      <c r="E25" s="991">
        <v>0</v>
      </c>
      <c r="F25" s="991">
        <v>0</v>
      </c>
      <c r="G25" s="978" t="e">
        <f t="shared" si="3"/>
        <v>#REF!</v>
      </c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</row>
    <row r="26" spans="1:38" x14ac:dyDescent="0.2">
      <c r="A26" s="980" t="s">
        <v>6</v>
      </c>
      <c r="B26" s="988" t="e">
        <f>B27</f>
        <v>#REF!</v>
      </c>
      <c r="C26" s="988" t="e">
        <f>C27</f>
        <v>#REF!</v>
      </c>
      <c r="D26" s="988">
        <f>D27</f>
        <v>0</v>
      </c>
      <c r="E26" s="988">
        <f>E27</f>
        <v>0</v>
      </c>
      <c r="F26" s="988">
        <f>F27</f>
        <v>0</v>
      </c>
      <c r="G26" s="988" t="e">
        <f t="shared" si="3"/>
        <v>#REF!</v>
      </c>
      <c r="H26" s="972"/>
    </row>
    <row r="27" spans="1:38" x14ac:dyDescent="0.2">
      <c r="A27" s="981" t="s">
        <v>11</v>
      </c>
      <c r="B27" s="974" t="e">
        <f>+#REF!</f>
        <v>#REF!</v>
      </c>
      <c r="C27" s="974" t="e">
        <f>+#REF!</f>
        <v>#REF!</v>
      </c>
      <c r="D27" s="993">
        <v>0</v>
      </c>
      <c r="E27" s="993">
        <v>0</v>
      </c>
      <c r="F27" s="993">
        <v>0</v>
      </c>
      <c r="G27" s="975" t="e">
        <f>SUM(B27:F27)</f>
        <v>#REF!</v>
      </c>
    </row>
    <row r="28" spans="1:38" x14ac:dyDescent="0.2">
      <c r="A28" s="994" t="s">
        <v>2</v>
      </c>
      <c r="B28" s="391" t="e">
        <f>+B4+B9+B23+B26</f>
        <v>#REF!</v>
      </c>
      <c r="C28" s="391" t="e">
        <f>+C4+C9+C23+C26</f>
        <v>#REF!</v>
      </c>
      <c r="D28" s="391" t="e">
        <f>+D4+D9+D23+D26</f>
        <v>#REF!</v>
      </c>
      <c r="E28" s="391" t="e">
        <f>+E4+E9+E23+E26</f>
        <v>#REF!</v>
      </c>
      <c r="F28" s="391" t="e">
        <f>+F4+F9+F23+F26</f>
        <v>#REF!</v>
      </c>
      <c r="G28" s="988" t="e">
        <f>SUM(B28:F28)</f>
        <v>#REF!</v>
      </c>
      <c r="H28" s="387" t="e">
        <f>+#REF!-G28</f>
        <v>#REF!</v>
      </c>
    </row>
    <row r="29" spans="1:38" x14ac:dyDescent="0.2">
      <c r="A29" s="395" t="s">
        <v>28</v>
      </c>
      <c r="B29" s="395" t="e">
        <f>SUM(G4)</f>
        <v>#REF!</v>
      </c>
      <c r="C29" s="399"/>
      <c r="D29" s="400" t="e">
        <f>SUM(B29*100/B33)</f>
        <v>#REF!</v>
      </c>
      <c r="E29" s="395"/>
    </row>
    <row r="30" spans="1:38" x14ac:dyDescent="0.2">
      <c r="A30" s="395" t="s">
        <v>29</v>
      </c>
      <c r="B30" s="395" t="e">
        <f>SUM(G9)</f>
        <v>#REF!</v>
      </c>
      <c r="C30" s="399"/>
      <c r="D30" s="400" t="e">
        <f>SUM(B30*100/B33)</f>
        <v>#REF!</v>
      </c>
    </row>
    <row r="31" spans="1:38" x14ac:dyDescent="0.2">
      <c r="A31" s="395" t="s">
        <v>30</v>
      </c>
      <c r="B31" s="395" t="e">
        <f>SUM(G23)</f>
        <v>#REF!</v>
      </c>
      <c r="C31" s="399"/>
      <c r="D31" s="400" t="e">
        <f>SUM(B31*100/B33)</f>
        <v>#REF!</v>
      </c>
      <c r="E31" s="400"/>
    </row>
    <row r="32" spans="1:38" x14ac:dyDescent="0.2">
      <c r="A32" s="395" t="s">
        <v>6</v>
      </c>
      <c r="B32" s="395" t="e">
        <f>SUM(G26)</f>
        <v>#REF!</v>
      </c>
      <c r="C32" s="399"/>
      <c r="D32" s="400" t="e">
        <f>SUM(B32*100/B33)</f>
        <v>#REF!</v>
      </c>
    </row>
    <row r="33" spans="1:6" x14ac:dyDescent="0.2">
      <c r="A33" s="395" t="s">
        <v>2</v>
      </c>
      <c r="B33" s="395" t="e">
        <f>SUM(B29:B32)</f>
        <v>#REF!</v>
      </c>
      <c r="C33" s="399"/>
      <c r="D33" s="400" t="e">
        <f>SUM(D29:D32)</f>
        <v>#REF!</v>
      </c>
    </row>
    <row r="35" spans="1:6" x14ac:dyDescent="0.2">
      <c r="B35" s="995"/>
      <c r="C35" s="995"/>
      <c r="D35" s="995"/>
      <c r="E35" s="995"/>
      <c r="F35" s="995"/>
    </row>
  </sheetData>
  <mergeCells count="2"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1:J12"/>
  <sheetViews>
    <sheetView view="pageBreakPreview" zoomScale="60" zoomScaleNormal="100" zoomScalePageLayoutView="90" workbookViewId="0">
      <selection activeCell="A5" sqref="A5:C6"/>
    </sheetView>
  </sheetViews>
  <sheetFormatPr defaultRowHeight="26.25" customHeight="1" x14ac:dyDescent="0.35"/>
  <cols>
    <col min="1" max="7" width="9.140625" style="381"/>
    <col min="8" max="8" width="13.42578125" style="381" customWidth="1"/>
    <col min="9" max="9" width="8.28515625" style="381" customWidth="1"/>
    <col min="10" max="10" width="13.140625" style="381" customWidth="1"/>
    <col min="11" max="263" width="9.140625" style="381"/>
    <col min="264" max="264" width="13.42578125" style="381" customWidth="1"/>
    <col min="265" max="265" width="9.140625" style="381"/>
    <col min="266" max="266" width="13.140625" style="381" customWidth="1"/>
    <col min="267" max="519" width="9.140625" style="381"/>
    <col min="520" max="520" width="13.42578125" style="381" customWidth="1"/>
    <col min="521" max="521" width="9.140625" style="381"/>
    <col min="522" max="522" width="13.140625" style="381" customWidth="1"/>
    <col min="523" max="775" width="9.140625" style="381"/>
    <col min="776" max="776" width="13.42578125" style="381" customWidth="1"/>
    <col min="777" max="777" width="9.140625" style="381"/>
    <col min="778" max="778" width="13.140625" style="381" customWidth="1"/>
    <col min="779" max="1031" width="9.140625" style="381"/>
    <col min="1032" max="1032" width="13.42578125" style="381" customWidth="1"/>
    <col min="1033" max="1033" width="9.140625" style="381"/>
    <col min="1034" max="1034" width="13.140625" style="381" customWidth="1"/>
    <col min="1035" max="1287" width="9.140625" style="381"/>
    <col min="1288" max="1288" width="13.42578125" style="381" customWidth="1"/>
    <col min="1289" max="1289" width="9.140625" style="381"/>
    <col min="1290" max="1290" width="13.140625" style="381" customWidth="1"/>
    <col min="1291" max="1543" width="9.140625" style="381"/>
    <col min="1544" max="1544" width="13.42578125" style="381" customWidth="1"/>
    <col min="1545" max="1545" width="9.140625" style="381"/>
    <col min="1546" max="1546" width="13.140625" style="381" customWidth="1"/>
    <col min="1547" max="1799" width="9.140625" style="381"/>
    <col min="1800" max="1800" width="13.42578125" style="381" customWidth="1"/>
    <col min="1801" max="1801" width="9.140625" style="381"/>
    <col min="1802" max="1802" width="13.140625" style="381" customWidth="1"/>
    <col min="1803" max="2055" width="9.140625" style="381"/>
    <col min="2056" max="2056" width="13.42578125" style="381" customWidth="1"/>
    <col min="2057" max="2057" width="9.140625" style="381"/>
    <col min="2058" max="2058" width="13.140625" style="381" customWidth="1"/>
    <col min="2059" max="2311" width="9.140625" style="381"/>
    <col min="2312" max="2312" width="13.42578125" style="381" customWidth="1"/>
    <col min="2313" max="2313" width="9.140625" style="381"/>
    <col min="2314" max="2314" width="13.140625" style="381" customWidth="1"/>
    <col min="2315" max="2567" width="9.140625" style="381"/>
    <col min="2568" max="2568" width="13.42578125" style="381" customWidth="1"/>
    <col min="2569" max="2569" width="9.140625" style="381"/>
    <col min="2570" max="2570" width="13.140625" style="381" customWidth="1"/>
    <col min="2571" max="2823" width="9.140625" style="381"/>
    <col min="2824" max="2824" width="13.42578125" style="381" customWidth="1"/>
    <col min="2825" max="2825" width="9.140625" style="381"/>
    <col min="2826" max="2826" width="13.140625" style="381" customWidth="1"/>
    <col min="2827" max="3079" width="9.140625" style="381"/>
    <col min="3080" max="3080" width="13.42578125" style="381" customWidth="1"/>
    <col min="3081" max="3081" width="9.140625" style="381"/>
    <col min="3082" max="3082" width="13.140625" style="381" customWidth="1"/>
    <col min="3083" max="3335" width="9.140625" style="381"/>
    <col min="3336" max="3336" width="13.42578125" style="381" customWidth="1"/>
    <col min="3337" max="3337" width="9.140625" style="381"/>
    <col min="3338" max="3338" width="13.140625" style="381" customWidth="1"/>
    <col min="3339" max="3591" width="9.140625" style="381"/>
    <col min="3592" max="3592" width="13.42578125" style="381" customWidth="1"/>
    <col min="3593" max="3593" width="9.140625" style="381"/>
    <col min="3594" max="3594" width="13.140625" style="381" customWidth="1"/>
    <col min="3595" max="3847" width="9.140625" style="381"/>
    <col min="3848" max="3848" width="13.42578125" style="381" customWidth="1"/>
    <col min="3849" max="3849" width="9.140625" style="381"/>
    <col min="3850" max="3850" width="13.140625" style="381" customWidth="1"/>
    <col min="3851" max="4103" width="9.140625" style="381"/>
    <col min="4104" max="4104" width="13.42578125" style="381" customWidth="1"/>
    <col min="4105" max="4105" width="9.140625" style="381"/>
    <col min="4106" max="4106" width="13.140625" style="381" customWidth="1"/>
    <col min="4107" max="4359" width="9.140625" style="381"/>
    <col min="4360" max="4360" width="13.42578125" style="381" customWidth="1"/>
    <col min="4361" max="4361" width="9.140625" style="381"/>
    <col min="4362" max="4362" width="13.140625" style="381" customWidth="1"/>
    <col min="4363" max="4615" width="9.140625" style="381"/>
    <col min="4616" max="4616" width="13.42578125" style="381" customWidth="1"/>
    <col min="4617" max="4617" width="9.140625" style="381"/>
    <col min="4618" max="4618" width="13.140625" style="381" customWidth="1"/>
    <col min="4619" max="4871" width="9.140625" style="381"/>
    <col min="4872" max="4872" width="13.42578125" style="381" customWidth="1"/>
    <col min="4873" max="4873" width="9.140625" style="381"/>
    <col min="4874" max="4874" width="13.140625" style="381" customWidth="1"/>
    <col min="4875" max="5127" width="9.140625" style="381"/>
    <col min="5128" max="5128" width="13.42578125" style="381" customWidth="1"/>
    <col min="5129" max="5129" width="9.140625" style="381"/>
    <col min="5130" max="5130" width="13.140625" style="381" customWidth="1"/>
    <col min="5131" max="5383" width="9.140625" style="381"/>
    <col min="5384" max="5384" width="13.42578125" style="381" customWidth="1"/>
    <col min="5385" max="5385" width="9.140625" style="381"/>
    <col min="5386" max="5386" width="13.140625" style="381" customWidth="1"/>
    <col min="5387" max="5639" width="9.140625" style="381"/>
    <col min="5640" max="5640" width="13.42578125" style="381" customWidth="1"/>
    <col min="5641" max="5641" width="9.140625" style="381"/>
    <col min="5642" max="5642" width="13.140625" style="381" customWidth="1"/>
    <col min="5643" max="5895" width="9.140625" style="381"/>
    <col min="5896" max="5896" width="13.42578125" style="381" customWidth="1"/>
    <col min="5897" max="5897" width="9.140625" style="381"/>
    <col min="5898" max="5898" width="13.140625" style="381" customWidth="1"/>
    <col min="5899" max="6151" width="9.140625" style="381"/>
    <col min="6152" max="6152" width="13.42578125" style="381" customWidth="1"/>
    <col min="6153" max="6153" width="9.140625" style="381"/>
    <col min="6154" max="6154" width="13.140625" style="381" customWidth="1"/>
    <col min="6155" max="6407" width="9.140625" style="381"/>
    <col min="6408" max="6408" width="13.42578125" style="381" customWidth="1"/>
    <col min="6409" max="6409" width="9.140625" style="381"/>
    <col min="6410" max="6410" width="13.140625" style="381" customWidth="1"/>
    <col min="6411" max="6663" width="9.140625" style="381"/>
    <col min="6664" max="6664" width="13.42578125" style="381" customWidth="1"/>
    <col min="6665" max="6665" width="9.140625" style="381"/>
    <col min="6666" max="6666" width="13.140625" style="381" customWidth="1"/>
    <col min="6667" max="6919" width="9.140625" style="381"/>
    <col min="6920" max="6920" width="13.42578125" style="381" customWidth="1"/>
    <col min="6921" max="6921" width="9.140625" style="381"/>
    <col min="6922" max="6922" width="13.140625" style="381" customWidth="1"/>
    <col min="6923" max="7175" width="9.140625" style="381"/>
    <col min="7176" max="7176" width="13.42578125" style="381" customWidth="1"/>
    <col min="7177" max="7177" width="9.140625" style="381"/>
    <col min="7178" max="7178" width="13.140625" style="381" customWidth="1"/>
    <col min="7179" max="7431" width="9.140625" style="381"/>
    <col min="7432" max="7432" width="13.42578125" style="381" customWidth="1"/>
    <col min="7433" max="7433" width="9.140625" style="381"/>
    <col min="7434" max="7434" width="13.140625" style="381" customWidth="1"/>
    <col min="7435" max="7687" width="9.140625" style="381"/>
    <col min="7688" max="7688" width="13.42578125" style="381" customWidth="1"/>
    <col min="7689" max="7689" width="9.140625" style="381"/>
    <col min="7690" max="7690" width="13.140625" style="381" customWidth="1"/>
    <col min="7691" max="7943" width="9.140625" style="381"/>
    <col min="7944" max="7944" width="13.42578125" style="381" customWidth="1"/>
    <col min="7945" max="7945" width="9.140625" style="381"/>
    <col min="7946" max="7946" width="13.140625" style="381" customWidth="1"/>
    <col min="7947" max="8199" width="9.140625" style="381"/>
    <col min="8200" max="8200" width="13.42578125" style="381" customWidth="1"/>
    <col min="8201" max="8201" width="9.140625" style="381"/>
    <col min="8202" max="8202" width="13.140625" style="381" customWidth="1"/>
    <col min="8203" max="8455" width="9.140625" style="381"/>
    <col min="8456" max="8456" width="13.42578125" style="381" customWidth="1"/>
    <col min="8457" max="8457" width="9.140625" style="381"/>
    <col min="8458" max="8458" width="13.140625" style="381" customWidth="1"/>
    <col min="8459" max="8711" width="9.140625" style="381"/>
    <col min="8712" max="8712" width="13.42578125" style="381" customWidth="1"/>
    <col min="8713" max="8713" width="9.140625" style="381"/>
    <col min="8714" max="8714" width="13.140625" style="381" customWidth="1"/>
    <col min="8715" max="8967" width="9.140625" style="381"/>
    <col min="8968" max="8968" width="13.42578125" style="381" customWidth="1"/>
    <col min="8969" max="8969" width="9.140625" style="381"/>
    <col min="8970" max="8970" width="13.140625" style="381" customWidth="1"/>
    <col min="8971" max="9223" width="9.140625" style="381"/>
    <col min="9224" max="9224" width="13.42578125" style="381" customWidth="1"/>
    <col min="9225" max="9225" width="9.140625" style="381"/>
    <col min="9226" max="9226" width="13.140625" style="381" customWidth="1"/>
    <col min="9227" max="9479" width="9.140625" style="381"/>
    <col min="9480" max="9480" width="13.42578125" style="381" customWidth="1"/>
    <col min="9481" max="9481" width="9.140625" style="381"/>
    <col min="9482" max="9482" width="13.140625" style="381" customWidth="1"/>
    <col min="9483" max="9735" width="9.140625" style="381"/>
    <col min="9736" max="9736" width="13.42578125" style="381" customWidth="1"/>
    <col min="9737" max="9737" width="9.140625" style="381"/>
    <col min="9738" max="9738" width="13.140625" style="381" customWidth="1"/>
    <col min="9739" max="9991" width="9.140625" style="381"/>
    <col min="9992" max="9992" width="13.42578125" style="381" customWidth="1"/>
    <col min="9993" max="9993" width="9.140625" style="381"/>
    <col min="9994" max="9994" width="13.140625" style="381" customWidth="1"/>
    <col min="9995" max="10247" width="9.140625" style="381"/>
    <col min="10248" max="10248" width="13.42578125" style="381" customWidth="1"/>
    <col min="10249" max="10249" width="9.140625" style="381"/>
    <col min="10250" max="10250" width="13.140625" style="381" customWidth="1"/>
    <col min="10251" max="10503" width="9.140625" style="381"/>
    <col min="10504" max="10504" width="13.42578125" style="381" customWidth="1"/>
    <col min="10505" max="10505" width="9.140625" style="381"/>
    <col min="10506" max="10506" width="13.140625" style="381" customWidth="1"/>
    <col min="10507" max="10759" width="9.140625" style="381"/>
    <col min="10760" max="10760" width="13.42578125" style="381" customWidth="1"/>
    <col min="10761" max="10761" width="9.140625" style="381"/>
    <col min="10762" max="10762" width="13.140625" style="381" customWidth="1"/>
    <col min="10763" max="11015" width="9.140625" style="381"/>
    <col min="11016" max="11016" width="13.42578125" style="381" customWidth="1"/>
    <col min="11017" max="11017" width="9.140625" style="381"/>
    <col min="11018" max="11018" width="13.140625" style="381" customWidth="1"/>
    <col min="11019" max="11271" width="9.140625" style="381"/>
    <col min="11272" max="11272" width="13.42578125" style="381" customWidth="1"/>
    <col min="11273" max="11273" width="9.140625" style="381"/>
    <col min="11274" max="11274" width="13.140625" style="381" customWidth="1"/>
    <col min="11275" max="11527" width="9.140625" style="381"/>
    <col min="11528" max="11528" width="13.42578125" style="381" customWidth="1"/>
    <col min="11529" max="11529" width="9.140625" style="381"/>
    <col min="11530" max="11530" width="13.140625" style="381" customWidth="1"/>
    <col min="11531" max="11783" width="9.140625" style="381"/>
    <col min="11784" max="11784" width="13.42578125" style="381" customWidth="1"/>
    <col min="11785" max="11785" width="9.140625" style="381"/>
    <col min="11786" max="11786" width="13.140625" style="381" customWidth="1"/>
    <col min="11787" max="12039" width="9.140625" style="381"/>
    <col min="12040" max="12040" width="13.42578125" style="381" customWidth="1"/>
    <col min="12041" max="12041" width="9.140625" style="381"/>
    <col min="12042" max="12042" width="13.140625" style="381" customWidth="1"/>
    <col min="12043" max="12295" width="9.140625" style="381"/>
    <col min="12296" max="12296" width="13.42578125" style="381" customWidth="1"/>
    <col min="12297" max="12297" width="9.140625" style="381"/>
    <col min="12298" max="12298" width="13.140625" style="381" customWidth="1"/>
    <col min="12299" max="12551" width="9.140625" style="381"/>
    <col min="12552" max="12552" width="13.42578125" style="381" customWidth="1"/>
    <col min="12553" max="12553" width="9.140625" style="381"/>
    <col min="12554" max="12554" width="13.140625" style="381" customWidth="1"/>
    <col min="12555" max="12807" width="9.140625" style="381"/>
    <col min="12808" max="12808" width="13.42578125" style="381" customWidth="1"/>
    <col min="12809" max="12809" width="9.140625" style="381"/>
    <col min="12810" max="12810" width="13.140625" style="381" customWidth="1"/>
    <col min="12811" max="13063" width="9.140625" style="381"/>
    <col min="13064" max="13064" width="13.42578125" style="381" customWidth="1"/>
    <col min="13065" max="13065" width="9.140625" style="381"/>
    <col min="13066" max="13066" width="13.140625" style="381" customWidth="1"/>
    <col min="13067" max="13319" width="9.140625" style="381"/>
    <col min="13320" max="13320" width="13.42578125" style="381" customWidth="1"/>
    <col min="13321" max="13321" width="9.140625" style="381"/>
    <col min="13322" max="13322" width="13.140625" style="381" customWidth="1"/>
    <col min="13323" max="13575" width="9.140625" style="381"/>
    <col min="13576" max="13576" width="13.42578125" style="381" customWidth="1"/>
    <col min="13577" max="13577" width="9.140625" style="381"/>
    <col min="13578" max="13578" width="13.140625" style="381" customWidth="1"/>
    <col min="13579" max="13831" width="9.140625" style="381"/>
    <col min="13832" max="13832" width="13.42578125" style="381" customWidth="1"/>
    <col min="13833" max="13833" width="9.140625" style="381"/>
    <col min="13834" max="13834" width="13.140625" style="381" customWidth="1"/>
    <col min="13835" max="14087" width="9.140625" style="381"/>
    <col min="14088" max="14088" width="13.42578125" style="381" customWidth="1"/>
    <col min="14089" max="14089" width="9.140625" style="381"/>
    <col min="14090" max="14090" width="13.140625" style="381" customWidth="1"/>
    <col min="14091" max="14343" width="9.140625" style="381"/>
    <col min="14344" max="14344" width="13.42578125" style="381" customWidth="1"/>
    <col min="14345" max="14345" width="9.140625" style="381"/>
    <col min="14346" max="14346" width="13.140625" style="381" customWidth="1"/>
    <col min="14347" max="14599" width="9.140625" style="381"/>
    <col min="14600" max="14600" width="13.42578125" style="381" customWidth="1"/>
    <col min="14601" max="14601" width="9.140625" style="381"/>
    <col min="14602" max="14602" width="13.140625" style="381" customWidth="1"/>
    <col min="14603" max="14855" width="9.140625" style="381"/>
    <col min="14856" max="14856" width="13.42578125" style="381" customWidth="1"/>
    <col min="14857" max="14857" width="9.140625" style="381"/>
    <col min="14858" max="14858" width="13.140625" style="381" customWidth="1"/>
    <col min="14859" max="15111" width="9.140625" style="381"/>
    <col min="15112" max="15112" width="13.42578125" style="381" customWidth="1"/>
    <col min="15113" max="15113" width="9.140625" style="381"/>
    <col min="15114" max="15114" width="13.140625" style="381" customWidth="1"/>
    <col min="15115" max="15367" width="9.140625" style="381"/>
    <col min="15368" max="15368" width="13.42578125" style="381" customWidth="1"/>
    <col min="15369" max="15369" width="9.140625" style="381"/>
    <col min="15370" max="15370" width="13.140625" style="381" customWidth="1"/>
    <col min="15371" max="15623" width="9.140625" style="381"/>
    <col min="15624" max="15624" width="13.42578125" style="381" customWidth="1"/>
    <col min="15625" max="15625" width="9.140625" style="381"/>
    <col min="15626" max="15626" width="13.140625" style="381" customWidth="1"/>
    <col min="15627" max="15879" width="9.140625" style="381"/>
    <col min="15880" max="15880" width="13.42578125" style="381" customWidth="1"/>
    <col min="15881" max="15881" width="9.140625" style="381"/>
    <col min="15882" max="15882" width="13.140625" style="381" customWidth="1"/>
    <col min="15883" max="16135" width="9.140625" style="381"/>
    <col min="16136" max="16136" width="13.42578125" style="381" customWidth="1"/>
    <col min="16137" max="16137" width="9.140625" style="381"/>
    <col min="16138" max="16138" width="13.140625" style="381" customWidth="1"/>
    <col min="16139" max="16384" width="9.140625" style="381"/>
  </cols>
  <sheetData>
    <row r="11" spans="1:10" s="380" customFormat="1" ht="30.75" customHeight="1" x14ac:dyDescent="0.45">
      <c r="A11" s="1360" t="s">
        <v>1053</v>
      </c>
      <c r="B11" s="1360"/>
      <c r="C11" s="1360"/>
      <c r="D11" s="1360"/>
      <c r="E11" s="1360"/>
      <c r="F11" s="1360"/>
      <c r="G11" s="1360"/>
      <c r="H11" s="1360"/>
      <c r="I11" s="1360"/>
      <c r="J11" s="379"/>
    </row>
    <row r="12" spans="1:10" s="380" customFormat="1" ht="27" customHeight="1" x14ac:dyDescent="0.45">
      <c r="A12" s="1360" t="s">
        <v>710</v>
      </c>
      <c r="B12" s="1360"/>
      <c r="C12" s="1360"/>
      <c r="D12" s="1360"/>
      <c r="E12" s="1360"/>
      <c r="F12" s="1360"/>
      <c r="G12" s="1360"/>
      <c r="H12" s="1360"/>
      <c r="I12" s="1360"/>
      <c r="J12" s="379"/>
    </row>
  </sheetData>
  <mergeCells count="2">
    <mergeCell ref="A11:I11"/>
    <mergeCell ref="A12:I12"/>
  </mergeCells>
  <printOptions horizontalCentered="1"/>
  <pageMargins left="0.86614173228346458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962"/>
  <sheetViews>
    <sheetView zoomScale="70" zoomScaleNormal="70" zoomScaleSheetLayoutView="70" workbookViewId="0">
      <pane ySplit="7" topLeftCell="A323" activePane="bottomLeft" state="frozen"/>
      <selection activeCell="C1" sqref="C1"/>
      <selection pane="bottomLeft" activeCell="G432" sqref="G432:G433"/>
    </sheetView>
  </sheetViews>
  <sheetFormatPr defaultColWidth="9.140625" defaultRowHeight="21" x14ac:dyDescent="0.35"/>
  <cols>
    <col min="1" max="1" width="12.42578125" style="172" customWidth="1"/>
    <col min="2" max="2" width="3.7109375" style="172" customWidth="1"/>
    <col min="3" max="3" width="96.7109375" style="172" customWidth="1"/>
    <col min="4" max="4" width="20.85546875" style="721" hidden="1" customWidth="1"/>
    <col min="5" max="6" width="20.85546875" style="893" hidden="1" customWidth="1"/>
    <col min="7" max="7" width="22.140625" style="894" customWidth="1"/>
    <col min="8" max="10" width="20.85546875" style="893" hidden="1" customWidth="1"/>
    <col min="11" max="11" width="21" style="178" hidden="1" customWidth="1"/>
    <col min="12" max="12" width="20.140625" style="179" hidden="1" customWidth="1"/>
    <col min="13" max="13" width="22.85546875" style="721" hidden="1" customWidth="1"/>
    <col min="14" max="14" width="21.28515625" style="175" hidden="1" customWidth="1"/>
    <col min="15" max="15" width="21.42578125" style="721" hidden="1" customWidth="1"/>
    <col min="16" max="16" width="21.42578125" style="724" hidden="1" customWidth="1"/>
    <col min="17" max="17" width="21.42578125" style="721" hidden="1" customWidth="1"/>
    <col min="18" max="19" width="22.140625" style="721" hidden="1" customWidth="1"/>
    <col min="20" max="20" width="14" style="721" hidden="1" customWidth="1"/>
    <col min="21" max="21" width="24.5703125" style="175" hidden="1" customWidth="1"/>
    <col min="22" max="22" width="20.28515625" style="176" hidden="1" customWidth="1"/>
    <col min="23" max="23" width="18.140625" style="3" hidden="1" customWidth="1"/>
    <col min="24" max="24" width="17.42578125" style="3" hidden="1" customWidth="1"/>
    <col min="25" max="25" width="18.140625" style="3" hidden="1" customWidth="1"/>
    <col min="26" max="26" width="19.28515625" style="3" hidden="1" customWidth="1"/>
    <col min="27" max="27" width="18.140625" style="3" hidden="1" customWidth="1"/>
    <col min="28" max="28" width="17" style="177" hidden="1" customWidth="1"/>
    <col min="29" max="29" width="17" style="721" hidden="1" customWidth="1"/>
    <col min="30" max="30" width="21.140625" style="177" hidden="1" customWidth="1"/>
    <col min="31" max="31" width="17" style="721" hidden="1" customWidth="1"/>
    <col min="32" max="32" width="16.28515625" style="721" hidden="1" customWidth="1"/>
    <col min="33" max="33" width="16.85546875" style="432" hidden="1" customWidth="1"/>
    <col min="34" max="34" width="18.28515625" style="432" customWidth="1"/>
    <col min="35" max="35" width="17.85546875" style="3" customWidth="1"/>
    <col min="36" max="36" width="16.42578125" style="3" bestFit="1" customWidth="1"/>
    <col min="37" max="16384" width="9.140625" style="3"/>
  </cols>
  <sheetData>
    <row r="1" spans="1:35" ht="24" customHeight="1" x14ac:dyDescent="0.35">
      <c r="A1" s="1363" t="s">
        <v>316</v>
      </c>
      <c r="B1" s="1363"/>
      <c r="C1" s="1363"/>
      <c r="D1" s="1363"/>
      <c r="E1" s="1363"/>
      <c r="F1" s="1363"/>
      <c r="G1" s="1363"/>
      <c r="H1" s="431"/>
      <c r="I1" s="431"/>
      <c r="J1" s="431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5" ht="24" customHeight="1" x14ac:dyDescent="0.35">
      <c r="A2" s="1363" t="s">
        <v>1</v>
      </c>
      <c r="B2" s="1363"/>
      <c r="C2" s="1363"/>
      <c r="D2" s="1363"/>
      <c r="E2" s="1363"/>
      <c r="F2" s="1363"/>
      <c r="G2" s="1363"/>
      <c r="H2" s="431"/>
      <c r="I2" s="431"/>
      <c r="J2" s="431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1:35" ht="24" customHeight="1" x14ac:dyDescent="0.35">
      <c r="A3" s="1363" t="s">
        <v>7</v>
      </c>
      <c r="B3" s="1363"/>
      <c r="C3" s="1363"/>
      <c r="D3" s="1363"/>
      <c r="E3" s="1363"/>
      <c r="F3" s="1363"/>
      <c r="G3" s="1363"/>
      <c r="H3" s="433"/>
      <c r="I3" s="433"/>
      <c r="J3" s="433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</row>
    <row r="4" spans="1:35" ht="11.25" customHeight="1" x14ac:dyDescent="0.35">
      <c r="A4" s="272"/>
      <c r="B4" s="272"/>
      <c r="C4" s="272"/>
      <c r="D4" s="272"/>
      <c r="E4" s="435"/>
      <c r="F4" s="435"/>
      <c r="G4" s="324"/>
      <c r="H4" s="435"/>
      <c r="I4" s="435"/>
      <c r="J4" s="435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</row>
    <row r="5" spans="1:35" s="4" customFormat="1" ht="31.9" customHeight="1" x14ac:dyDescent="0.2">
      <c r="A5" s="1364" t="s">
        <v>8</v>
      </c>
      <c r="B5" s="1365"/>
      <c r="C5" s="1366"/>
      <c r="D5" s="1370" t="s">
        <v>146</v>
      </c>
      <c r="E5" s="1372" t="s">
        <v>330</v>
      </c>
      <c r="F5" s="1374" t="s">
        <v>338</v>
      </c>
      <c r="G5" s="1374" t="s">
        <v>687</v>
      </c>
      <c r="H5" s="1372" t="s">
        <v>142</v>
      </c>
      <c r="I5" s="1372" t="s">
        <v>143</v>
      </c>
      <c r="J5" s="1372" t="s">
        <v>331</v>
      </c>
      <c r="K5" s="1376" t="s">
        <v>32</v>
      </c>
      <c r="L5" s="1378" t="s">
        <v>31</v>
      </c>
      <c r="M5" s="1361" t="s">
        <v>16</v>
      </c>
      <c r="N5" s="1376" t="s">
        <v>18</v>
      </c>
      <c r="O5" s="1380" t="s">
        <v>210</v>
      </c>
      <c r="P5" s="1382" t="s">
        <v>209</v>
      </c>
      <c r="Q5" s="1380" t="s">
        <v>211</v>
      </c>
      <c r="R5" s="1380" t="s">
        <v>164</v>
      </c>
      <c r="S5" s="1380" t="s">
        <v>213</v>
      </c>
      <c r="T5" s="1380" t="s">
        <v>212</v>
      </c>
      <c r="U5" s="1398" t="s">
        <v>140</v>
      </c>
      <c r="V5" s="1391" t="s">
        <v>218</v>
      </c>
      <c r="W5" s="1391" t="s">
        <v>37</v>
      </c>
      <c r="X5" s="1391" t="s">
        <v>38</v>
      </c>
      <c r="Y5" s="1391" t="s">
        <v>39</v>
      </c>
      <c r="Z5" s="1391" t="s">
        <v>40</v>
      </c>
      <c r="AA5" s="1391" t="s">
        <v>41</v>
      </c>
      <c r="AB5" s="1392" t="s">
        <v>141</v>
      </c>
      <c r="AC5" s="1394" t="s">
        <v>142</v>
      </c>
      <c r="AD5" s="1396" t="s">
        <v>143</v>
      </c>
      <c r="AE5" s="1370" t="s">
        <v>144</v>
      </c>
      <c r="AF5" s="1384" t="s">
        <v>145</v>
      </c>
      <c r="AG5" s="436"/>
      <c r="AH5" s="436" t="s">
        <v>768</v>
      </c>
    </row>
    <row r="6" spans="1:35" s="4" customFormat="1" ht="37.15" customHeight="1" x14ac:dyDescent="0.2">
      <c r="A6" s="1367"/>
      <c r="B6" s="1368"/>
      <c r="C6" s="1369"/>
      <c r="D6" s="1371"/>
      <c r="E6" s="1373"/>
      <c r="F6" s="1375"/>
      <c r="G6" s="1375"/>
      <c r="H6" s="1373"/>
      <c r="I6" s="1373"/>
      <c r="J6" s="1373"/>
      <c r="K6" s="1377"/>
      <c r="L6" s="1379"/>
      <c r="M6" s="1362"/>
      <c r="N6" s="1377"/>
      <c r="O6" s="1381"/>
      <c r="P6" s="1383"/>
      <c r="Q6" s="1381"/>
      <c r="R6" s="1381"/>
      <c r="S6" s="1381"/>
      <c r="T6" s="1381"/>
      <c r="U6" s="1391"/>
      <c r="V6" s="1391"/>
      <c r="W6" s="1391"/>
      <c r="X6" s="1391"/>
      <c r="Y6" s="1391"/>
      <c r="Z6" s="1391"/>
      <c r="AA6" s="1391"/>
      <c r="AB6" s="1393"/>
      <c r="AC6" s="1395"/>
      <c r="AD6" s="1397"/>
      <c r="AE6" s="1371"/>
      <c r="AF6" s="1385"/>
      <c r="AG6" s="436"/>
      <c r="AH6" s="436"/>
    </row>
    <row r="7" spans="1:35" s="5" customFormat="1" x14ac:dyDescent="0.2">
      <c r="A7" s="1386" t="s">
        <v>5</v>
      </c>
      <c r="B7" s="1387"/>
      <c r="C7" s="1388"/>
      <c r="D7" s="437">
        <f>SUM(D8,D20,D729,D912)</f>
        <v>8156364200</v>
      </c>
      <c r="E7" s="438">
        <f>SUM(E8,E20,E729,E912)</f>
        <v>11753185500</v>
      </c>
      <c r="F7" s="439">
        <f>SUM(F8,F20,F729,F912)</f>
        <v>7618748000</v>
      </c>
      <c r="G7" s="439">
        <f>SUM(G8,G20,G729,G912)</f>
        <v>7406498000</v>
      </c>
      <c r="H7" s="438">
        <f>SUM(H8,H20,H729,H912)</f>
        <v>0</v>
      </c>
      <c r="I7" s="438">
        <f>+G7-H7</f>
        <v>7406498000</v>
      </c>
      <c r="J7" s="438">
        <f>+E7-G7</f>
        <v>4346687500</v>
      </c>
      <c r="K7" s="438" t="e">
        <f t="shared" ref="K7:P7" si="0">SUM(K8,K20,K729,K912)</f>
        <v>#VALUE!</v>
      </c>
      <c r="L7" s="438" t="e">
        <f t="shared" si="0"/>
        <v>#REF!</v>
      </c>
      <c r="M7" s="438" t="e">
        <f t="shared" si="0"/>
        <v>#REF!</v>
      </c>
      <c r="N7" s="438" t="e">
        <f t="shared" si="0"/>
        <v>#REF!</v>
      </c>
      <c r="O7" s="437">
        <f t="shared" si="0"/>
        <v>8733622900</v>
      </c>
      <c r="P7" s="437">
        <f t="shared" si="0"/>
        <v>47394197.5</v>
      </c>
      <c r="Q7" s="437">
        <f>+O7-P7</f>
        <v>8686228702.5</v>
      </c>
      <c r="R7" s="437">
        <f>SUM(R8,R20,R729,R912)</f>
        <v>7977966107.0799999</v>
      </c>
      <c r="S7" s="437">
        <f>SUM(S8,S20,S729,S912)</f>
        <v>143106600</v>
      </c>
      <c r="T7" s="438">
        <f>SUM(T8,T20,T729,T912)</f>
        <v>541841043.74000025</v>
      </c>
      <c r="U7" s="438">
        <f ca="1">SUM(U8,U20,U729,U912)</f>
        <v>11552232600</v>
      </c>
      <c r="V7" s="438" t="e">
        <f>SUM(V8,V20,V729,V912)</f>
        <v>#REF!</v>
      </c>
      <c r="W7" s="437" t="e">
        <f t="shared" ref="W7:AF7" si="1">SUM(W8,W20,W728,W732)</f>
        <v>#REF!</v>
      </c>
      <c r="X7" s="437" t="e">
        <f t="shared" si="1"/>
        <v>#REF!</v>
      </c>
      <c r="Y7" s="437" t="e">
        <f t="shared" si="1"/>
        <v>#REF!</v>
      </c>
      <c r="Z7" s="437" t="e">
        <f t="shared" si="1"/>
        <v>#REF!</v>
      </c>
      <c r="AA7" s="437" t="e">
        <f t="shared" si="1"/>
        <v>#REF!</v>
      </c>
      <c r="AB7" s="437" t="e">
        <f t="shared" si="1"/>
        <v>#REF!</v>
      </c>
      <c r="AC7" s="437" t="e">
        <f t="shared" si="1"/>
        <v>#REF!</v>
      </c>
      <c r="AD7" s="437">
        <f t="shared" si="1"/>
        <v>8276220400</v>
      </c>
      <c r="AE7" s="437">
        <f t="shared" ca="1" si="1"/>
        <v>8156054200</v>
      </c>
      <c r="AF7" s="437" t="e">
        <f t="shared" si="1"/>
        <v>#REF!</v>
      </c>
      <c r="AG7" s="440"/>
      <c r="AH7" s="440"/>
    </row>
    <row r="8" spans="1:35" s="5" customFormat="1" x14ac:dyDescent="0.2">
      <c r="A8" s="6" t="s">
        <v>26</v>
      </c>
      <c r="B8" s="7"/>
      <c r="C8" s="8"/>
      <c r="D8" s="441">
        <f>SUM(D9+D13)</f>
        <v>28686600</v>
      </c>
      <c r="E8" s="442">
        <f>SUM(E9+E13)</f>
        <v>25813400</v>
      </c>
      <c r="F8" s="443">
        <f>SUM(F9+F13)</f>
        <v>23694000</v>
      </c>
      <c r="G8" s="443">
        <f>SUM(G9+G13)</f>
        <v>22694000</v>
      </c>
      <c r="H8" s="442">
        <f t="shared" ref="H8" si="2">SUM(H9+H13)</f>
        <v>0</v>
      </c>
      <c r="I8" s="442">
        <f t="shared" ref="I8:I71" si="3">+G8-H8</f>
        <v>22694000</v>
      </c>
      <c r="J8" s="442">
        <f t="shared" ref="J8:J11" si="4">+E8-G8</f>
        <v>3119400</v>
      </c>
      <c r="K8" s="442">
        <f t="shared" ref="K8:S8" si="5">SUM(K9+K13)</f>
        <v>31138000</v>
      </c>
      <c r="L8" s="442">
        <f t="shared" si="5"/>
        <v>28249716.733000003</v>
      </c>
      <c r="M8" s="442">
        <f t="shared" si="5"/>
        <v>31500000</v>
      </c>
      <c r="N8" s="442">
        <f t="shared" si="5"/>
        <v>30877800</v>
      </c>
      <c r="O8" s="441">
        <f t="shared" si="5"/>
        <v>30877800</v>
      </c>
      <c r="P8" s="441">
        <f t="shared" si="5"/>
        <v>15262800</v>
      </c>
      <c r="Q8" s="441">
        <f t="shared" ref="Q8:Q71" si="6">+O8-P8</f>
        <v>15615000</v>
      </c>
      <c r="R8" s="441">
        <f t="shared" si="5"/>
        <v>11667540.800000001</v>
      </c>
      <c r="S8" s="441">
        <f t="shared" si="5"/>
        <v>0</v>
      </c>
      <c r="T8" s="441">
        <f t="shared" ref="T8:T71" si="7">Q8-R8-S8</f>
        <v>3947459.1999999993</v>
      </c>
      <c r="U8" s="441">
        <f>SUM(U9+U13)</f>
        <v>30877800</v>
      </c>
      <c r="V8" s="441">
        <f t="shared" ref="V8:AF8" si="8">SUM(V9+V13)</f>
        <v>32421700</v>
      </c>
      <c r="W8" s="441">
        <f t="shared" si="8"/>
        <v>34042700</v>
      </c>
      <c r="X8" s="441">
        <f t="shared" si="8"/>
        <v>35744700</v>
      </c>
      <c r="Y8" s="441">
        <f t="shared" si="8"/>
        <v>178723500</v>
      </c>
      <c r="Z8" s="441">
        <f t="shared" si="8"/>
        <v>178723500</v>
      </c>
      <c r="AA8" s="441">
        <f t="shared" si="8"/>
        <v>107234100</v>
      </c>
      <c r="AB8" s="441">
        <f t="shared" si="8"/>
        <v>30648400</v>
      </c>
      <c r="AC8" s="441">
        <f t="shared" si="8"/>
        <v>1074600</v>
      </c>
      <c r="AD8" s="441">
        <f t="shared" si="8"/>
        <v>29573800</v>
      </c>
      <c r="AE8" s="441">
        <f t="shared" si="8"/>
        <v>29573800</v>
      </c>
      <c r="AF8" s="441">
        <f t="shared" si="8"/>
        <v>887200</v>
      </c>
      <c r="AG8" s="440"/>
      <c r="AH8" s="440"/>
    </row>
    <row r="9" spans="1:35" s="5" customFormat="1" ht="24" customHeight="1" x14ac:dyDescent="0.2">
      <c r="A9" s="9" t="s">
        <v>147</v>
      </c>
      <c r="B9" s="10"/>
      <c r="C9" s="11"/>
      <c r="D9" s="444">
        <f t="shared" ref="D9:H11" si="9">SUM(D10)</f>
        <v>25908100</v>
      </c>
      <c r="E9" s="445">
        <f t="shared" si="9"/>
        <v>23118000</v>
      </c>
      <c r="F9" s="446">
        <f t="shared" si="9"/>
        <v>23118000</v>
      </c>
      <c r="G9" s="446">
        <f t="shared" si="9"/>
        <v>22118000</v>
      </c>
      <c r="H9" s="445">
        <f t="shared" si="9"/>
        <v>0</v>
      </c>
      <c r="I9" s="445">
        <f t="shared" si="3"/>
        <v>22118000</v>
      </c>
      <c r="J9" s="445">
        <f t="shared" si="4"/>
        <v>1000000</v>
      </c>
      <c r="K9" s="445">
        <f t="shared" ref="K9:S11" si="10">SUM(K10)</f>
        <v>26350000</v>
      </c>
      <c r="L9" s="445">
        <f t="shared" si="10"/>
        <v>25595219.553000003</v>
      </c>
      <c r="M9" s="445">
        <f t="shared" si="10"/>
        <v>26500000</v>
      </c>
      <c r="N9" s="445">
        <f t="shared" si="10"/>
        <v>26350000</v>
      </c>
      <c r="O9" s="444">
        <f t="shared" si="10"/>
        <v>26350000</v>
      </c>
      <c r="P9" s="444">
        <f t="shared" si="10"/>
        <v>11191000</v>
      </c>
      <c r="Q9" s="444">
        <f t="shared" si="6"/>
        <v>15159000</v>
      </c>
      <c r="R9" s="444">
        <f t="shared" si="10"/>
        <v>11415040.300000001</v>
      </c>
      <c r="S9" s="444">
        <f t="shared" si="10"/>
        <v>0</v>
      </c>
      <c r="T9" s="444">
        <f t="shared" si="7"/>
        <v>3743959.6999999993</v>
      </c>
      <c r="U9" s="444">
        <f>SUM(U10)</f>
        <v>26350000</v>
      </c>
      <c r="V9" s="444">
        <f t="shared" ref="V9:AF11" si="11">SUM(V10)</f>
        <v>27667500</v>
      </c>
      <c r="W9" s="444">
        <f t="shared" si="11"/>
        <v>29050800</v>
      </c>
      <c r="X9" s="444">
        <f t="shared" si="11"/>
        <v>30503300</v>
      </c>
      <c r="Y9" s="444">
        <f t="shared" si="11"/>
        <v>152516500</v>
      </c>
      <c r="Z9" s="444">
        <f t="shared" si="11"/>
        <v>152516500</v>
      </c>
      <c r="AA9" s="444">
        <f t="shared" si="11"/>
        <v>91509900</v>
      </c>
      <c r="AB9" s="444">
        <f t="shared" si="11"/>
        <v>26350000</v>
      </c>
      <c r="AC9" s="444">
        <f t="shared" si="11"/>
        <v>0</v>
      </c>
      <c r="AD9" s="444">
        <f t="shared" si="11"/>
        <v>26350000</v>
      </c>
      <c r="AE9" s="444">
        <f t="shared" si="11"/>
        <v>26350000</v>
      </c>
      <c r="AF9" s="444">
        <f t="shared" si="11"/>
        <v>441900</v>
      </c>
      <c r="AG9" s="440"/>
      <c r="AH9" s="440">
        <v>7406498000</v>
      </c>
      <c r="AI9" s="314">
        <f>+AH9-G7</f>
        <v>0</v>
      </c>
    </row>
    <row r="10" spans="1:35" s="5" customFormat="1" x14ac:dyDescent="0.2">
      <c r="A10" s="14" t="s">
        <v>44</v>
      </c>
      <c r="B10" s="15"/>
      <c r="C10" s="16"/>
      <c r="D10" s="447">
        <f t="shared" si="9"/>
        <v>25908100</v>
      </c>
      <c r="E10" s="448">
        <f t="shared" si="9"/>
        <v>23118000</v>
      </c>
      <c r="F10" s="449">
        <f t="shared" si="9"/>
        <v>23118000</v>
      </c>
      <c r="G10" s="449">
        <f t="shared" si="9"/>
        <v>22118000</v>
      </c>
      <c r="H10" s="448">
        <f t="shared" si="9"/>
        <v>0</v>
      </c>
      <c r="I10" s="448">
        <f t="shared" si="3"/>
        <v>22118000</v>
      </c>
      <c r="J10" s="448">
        <f t="shared" si="4"/>
        <v>1000000</v>
      </c>
      <c r="K10" s="448">
        <f t="shared" si="10"/>
        <v>26350000</v>
      </c>
      <c r="L10" s="448">
        <f t="shared" si="10"/>
        <v>25595219.553000003</v>
      </c>
      <c r="M10" s="448">
        <f t="shared" si="10"/>
        <v>26500000</v>
      </c>
      <c r="N10" s="448">
        <f t="shared" si="10"/>
        <v>26350000</v>
      </c>
      <c r="O10" s="447">
        <f t="shared" si="10"/>
        <v>26350000</v>
      </c>
      <c r="P10" s="447">
        <f t="shared" si="10"/>
        <v>11191000</v>
      </c>
      <c r="Q10" s="447">
        <f t="shared" si="6"/>
        <v>15159000</v>
      </c>
      <c r="R10" s="447">
        <f t="shared" si="10"/>
        <v>11415040.300000001</v>
      </c>
      <c r="S10" s="447">
        <f t="shared" si="10"/>
        <v>0</v>
      </c>
      <c r="T10" s="447">
        <f t="shared" si="7"/>
        <v>3743959.6999999993</v>
      </c>
      <c r="U10" s="447">
        <f>SUM(U11)</f>
        <v>26350000</v>
      </c>
      <c r="V10" s="447">
        <f t="shared" si="11"/>
        <v>27667500</v>
      </c>
      <c r="W10" s="447">
        <f t="shared" si="11"/>
        <v>29050800</v>
      </c>
      <c r="X10" s="447">
        <f t="shared" si="11"/>
        <v>30503300</v>
      </c>
      <c r="Y10" s="447">
        <f t="shared" si="11"/>
        <v>152516500</v>
      </c>
      <c r="Z10" s="447">
        <f t="shared" si="11"/>
        <v>152516500</v>
      </c>
      <c r="AA10" s="447">
        <f t="shared" si="11"/>
        <v>91509900</v>
      </c>
      <c r="AB10" s="447">
        <f t="shared" si="11"/>
        <v>26350000</v>
      </c>
      <c r="AC10" s="447">
        <f t="shared" si="11"/>
        <v>0</v>
      </c>
      <c r="AD10" s="447">
        <f t="shared" si="11"/>
        <v>26350000</v>
      </c>
      <c r="AE10" s="447">
        <f t="shared" si="11"/>
        <v>26350000</v>
      </c>
      <c r="AF10" s="447">
        <f t="shared" si="11"/>
        <v>441900</v>
      </c>
      <c r="AG10" s="440"/>
      <c r="AH10" s="440"/>
    </row>
    <row r="11" spans="1:35" s="5" customFormat="1" x14ac:dyDescent="0.2">
      <c r="A11" s="20" t="s">
        <v>45</v>
      </c>
      <c r="B11" s="21"/>
      <c r="C11" s="22"/>
      <c r="D11" s="450">
        <f t="shared" si="9"/>
        <v>25908100</v>
      </c>
      <c r="E11" s="451">
        <f t="shared" si="9"/>
        <v>23118000</v>
      </c>
      <c r="F11" s="452">
        <f t="shared" si="9"/>
        <v>23118000</v>
      </c>
      <c r="G11" s="452">
        <f t="shared" si="9"/>
        <v>22118000</v>
      </c>
      <c r="H11" s="451">
        <f t="shared" si="9"/>
        <v>0</v>
      </c>
      <c r="I11" s="451">
        <f t="shared" si="3"/>
        <v>22118000</v>
      </c>
      <c r="J11" s="451">
        <f t="shared" si="4"/>
        <v>1000000</v>
      </c>
      <c r="K11" s="451">
        <f t="shared" si="10"/>
        <v>26350000</v>
      </c>
      <c r="L11" s="451">
        <f t="shared" si="10"/>
        <v>25595219.553000003</v>
      </c>
      <c r="M11" s="451">
        <f t="shared" si="10"/>
        <v>26500000</v>
      </c>
      <c r="N11" s="451">
        <f t="shared" si="10"/>
        <v>26350000</v>
      </c>
      <c r="O11" s="450">
        <f t="shared" si="10"/>
        <v>26350000</v>
      </c>
      <c r="P11" s="450">
        <f t="shared" si="10"/>
        <v>11191000</v>
      </c>
      <c r="Q11" s="450">
        <f t="shared" si="6"/>
        <v>15159000</v>
      </c>
      <c r="R11" s="450">
        <f t="shared" si="10"/>
        <v>11415040.300000001</v>
      </c>
      <c r="S11" s="450">
        <f t="shared" si="10"/>
        <v>0</v>
      </c>
      <c r="T11" s="450">
        <f t="shared" si="7"/>
        <v>3743959.6999999993</v>
      </c>
      <c r="U11" s="450">
        <f>SUM(U12)</f>
        <v>26350000</v>
      </c>
      <c r="V11" s="450">
        <f t="shared" si="11"/>
        <v>27667500</v>
      </c>
      <c r="W11" s="450">
        <f t="shared" si="11"/>
        <v>29050800</v>
      </c>
      <c r="X11" s="450">
        <f t="shared" si="11"/>
        <v>30503300</v>
      </c>
      <c r="Y11" s="450">
        <f t="shared" si="11"/>
        <v>152516500</v>
      </c>
      <c r="Z11" s="450">
        <f t="shared" si="11"/>
        <v>152516500</v>
      </c>
      <c r="AA11" s="450">
        <f t="shared" si="11"/>
        <v>91509900</v>
      </c>
      <c r="AB11" s="450">
        <f t="shared" si="11"/>
        <v>26350000</v>
      </c>
      <c r="AC11" s="450">
        <f t="shared" si="11"/>
        <v>0</v>
      </c>
      <c r="AD11" s="450">
        <f t="shared" si="11"/>
        <v>26350000</v>
      </c>
      <c r="AE11" s="450">
        <f t="shared" si="11"/>
        <v>26350000</v>
      </c>
      <c r="AF11" s="450">
        <f t="shared" si="11"/>
        <v>441900</v>
      </c>
      <c r="AG11" s="440"/>
      <c r="AH11" s="440"/>
    </row>
    <row r="12" spans="1:35" s="422" customFormat="1" x14ac:dyDescent="0.2">
      <c r="A12" s="415"/>
      <c r="B12" s="416" t="s">
        <v>758</v>
      </c>
      <c r="C12" s="417"/>
      <c r="D12" s="453">
        <v>25908100</v>
      </c>
      <c r="E12" s="453">
        <v>23118000</v>
      </c>
      <c r="F12" s="454">
        <v>23118000</v>
      </c>
      <c r="G12" s="454">
        <v>22118000</v>
      </c>
      <c r="H12" s="453"/>
      <c r="I12" s="453">
        <f>+G12-H12</f>
        <v>22118000</v>
      </c>
      <c r="J12" s="453">
        <f>+E12-G12</f>
        <v>1000000</v>
      </c>
      <c r="K12" s="418">
        <v>26350000</v>
      </c>
      <c r="L12" s="419">
        <v>25595219.553000003</v>
      </c>
      <c r="M12" s="455">
        <v>26500000</v>
      </c>
      <c r="N12" s="418">
        <v>26350000</v>
      </c>
      <c r="O12" s="453">
        <v>26350000</v>
      </c>
      <c r="P12" s="456">
        <v>11191000</v>
      </c>
      <c r="Q12" s="453">
        <f t="shared" si="6"/>
        <v>15159000</v>
      </c>
      <c r="R12" s="453">
        <v>11415040.300000001</v>
      </c>
      <c r="S12" s="453"/>
      <c r="T12" s="453">
        <f t="shared" si="7"/>
        <v>3743959.6999999993</v>
      </c>
      <c r="U12" s="418">
        <v>26350000</v>
      </c>
      <c r="V12" s="418">
        <f>SUM(U12*105/100)</f>
        <v>27667500</v>
      </c>
      <c r="W12" s="418">
        <v>29050800</v>
      </c>
      <c r="X12" s="418">
        <v>30503300</v>
      </c>
      <c r="Y12" s="418">
        <f>SUM(X12*5)</f>
        <v>152516500</v>
      </c>
      <c r="Z12" s="418">
        <v>152516500</v>
      </c>
      <c r="AA12" s="418">
        <f>SUM(X12*3)</f>
        <v>91509900</v>
      </c>
      <c r="AB12" s="420">
        <v>26350000</v>
      </c>
      <c r="AC12" s="455">
        <v>0</v>
      </c>
      <c r="AD12" s="421">
        <v>26350000</v>
      </c>
      <c r="AE12" s="453">
        <v>26350000</v>
      </c>
      <c r="AF12" s="457">
        <v>441900</v>
      </c>
      <c r="AG12" s="458"/>
      <c r="AH12" s="458"/>
    </row>
    <row r="13" spans="1:35" s="5" customFormat="1" x14ac:dyDescent="0.2">
      <c r="A13" s="9" t="s">
        <v>148</v>
      </c>
      <c r="B13" s="10"/>
      <c r="C13" s="11"/>
      <c r="D13" s="459">
        <f t="shared" ref="D13:G14" si="12">SUM(D14)</f>
        <v>2778500</v>
      </c>
      <c r="E13" s="460">
        <f t="shared" si="12"/>
        <v>2695400</v>
      </c>
      <c r="F13" s="461">
        <f t="shared" si="12"/>
        <v>576000</v>
      </c>
      <c r="G13" s="461">
        <f t="shared" si="12"/>
        <v>576000</v>
      </c>
      <c r="H13" s="460">
        <f t="shared" ref="H13:H14" si="13">SUM(H14)</f>
        <v>0</v>
      </c>
      <c r="I13" s="460">
        <f t="shared" si="3"/>
        <v>576000</v>
      </c>
      <c r="J13" s="460">
        <f t="shared" ref="J13:J15" si="14">+E13-G13</f>
        <v>2119400</v>
      </c>
      <c r="K13" s="460">
        <f t="shared" ref="K13:S14" si="15">SUM(K14)</f>
        <v>4788000</v>
      </c>
      <c r="L13" s="460">
        <f t="shared" si="15"/>
        <v>2654497.1799999997</v>
      </c>
      <c r="M13" s="460">
        <f t="shared" si="15"/>
        <v>5000000</v>
      </c>
      <c r="N13" s="460">
        <f t="shared" si="15"/>
        <v>4527800</v>
      </c>
      <c r="O13" s="459">
        <f t="shared" si="15"/>
        <v>4527800</v>
      </c>
      <c r="P13" s="459">
        <f t="shared" si="15"/>
        <v>4071800</v>
      </c>
      <c r="Q13" s="459">
        <f t="shared" si="6"/>
        <v>456000</v>
      </c>
      <c r="R13" s="459">
        <f t="shared" si="15"/>
        <v>252500.5</v>
      </c>
      <c r="S13" s="459">
        <f t="shared" si="15"/>
        <v>0</v>
      </c>
      <c r="T13" s="459">
        <f t="shared" si="7"/>
        <v>203499.5</v>
      </c>
      <c r="U13" s="459">
        <f>SUM(U14)</f>
        <v>4527800</v>
      </c>
      <c r="V13" s="459">
        <f t="shared" ref="V13:AF14" si="16">SUM(V14)</f>
        <v>4754200</v>
      </c>
      <c r="W13" s="459">
        <f t="shared" si="16"/>
        <v>4991900</v>
      </c>
      <c r="X13" s="459">
        <f t="shared" si="16"/>
        <v>5241400</v>
      </c>
      <c r="Y13" s="459">
        <f t="shared" si="16"/>
        <v>26207000</v>
      </c>
      <c r="Z13" s="459">
        <f t="shared" si="16"/>
        <v>26207000</v>
      </c>
      <c r="AA13" s="459">
        <f t="shared" si="16"/>
        <v>15724200</v>
      </c>
      <c r="AB13" s="459">
        <f t="shared" si="16"/>
        <v>4298400</v>
      </c>
      <c r="AC13" s="459">
        <f t="shared" si="16"/>
        <v>1074600</v>
      </c>
      <c r="AD13" s="459">
        <f t="shared" si="16"/>
        <v>3223800</v>
      </c>
      <c r="AE13" s="459">
        <f t="shared" si="16"/>
        <v>3223800</v>
      </c>
      <c r="AF13" s="459">
        <f t="shared" si="16"/>
        <v>445300</v>
      </c>
      <c r="AG13" s="440"/>
      <c r="AH13" s="440"/>
    </row>
    <row r="14" spans="1:35" s="5" customFormat="1" x14ac:dyDescent="0.2">
      <c r="A14" s="14" t="s">
        <v>122</v>
      </c>
      <c r="B14" s="15"/>
      <c r="C14" s="16"/>
      <c r="D14" s="447">
        <f t="shared" si="12"/>
        <v>2778500</v>
      </c>
      <c r="E14" s="448">
        <f t="shared" si="12"/>
        <v>2695400</v>
      </c>
      <c r="F14" s="449">
        <f t="shared" si="12"/>
        <v>576000</v>
      </c>
      <c r="G14" s="449">
        <f t="shared" si="12"/>
        <v>576000</v>
      </c>
      <c r="H14" s="448">
        <f t="shared" si="13"/>
        <v>0</v>
      </c>
      <c r="I14" s="448">
        <f t="shared" si="3"/>
        <v>576000</v>
      </c>
      <c r="J14" s="448">
        <f t="shared" si="14"/>
        <v>2119400</v>
      </c>
      <c r="K14" s="448">
        <f t="shared" si="15"/>
        <v>4788000</v>
      </c>
      <c r="L14" s="448">
        <f t="shared" si="15"/>
        <v>2654497.1799999997</v>
      </c>
      <c r="M14" s="448">
        <f t="shared" si="15"/>
        <v>5000000</v>
      </c>
      <c r="N14" s="448">
        <f t="shared" si="15"/>
        <v>4527800</v>
      </c>
      <c r="O14" s="447">
        <f t="shared" si="15"/>
        <v>4527800</v>
      </c>
      <c r="P14" s="447">
        <f t="shared" si="15"/>
        <v>4071800</v>
      </c>
      <c r="Q14" s="447">
        <f t="shared" si="6"/>
        <v>456000</v>
      </c>
      <c r="R14" s="447">
        <f t="shared" si="15"/>
        <v>252500.5</v>
      </c>
      <c r="S14" s="447">
        <f t="shared" si="15"/>
        <v>0</v>
      </c>
      <c r="T14" s="447">
        <f t="shared" si="7"/>
        <v>203499.5</v>
      </c>
      <c r="U14" s="447">
        <f>SUM(U15)</f>
        <v>4527800</v>
      </c>
      <c r="V14" s="447">
        <f t="shared" si="16"/>
        <v>4754200</v>
      </c>
      <c r="W14" s="447">
        <f t="shared" si="16"/>
        <v>4991900</v>
      </c>
      <c r="X14" s="447">
        <f t="shared" si="16"/>
        <v>5241400</v>
      </c>
      <c r="Y14" s="447">
        <f t="shared" si="16"/>
        <v>26207000</v>
      </c>
      <c r="Z14" s="447">
        <f t="shared" si="16"/>
        <v>26207000</v>
      </c>
      <c r="AA14" s="447">
        <f t="shared" si="16"/>
        <v>15724200</v>
      </c>
      <c r="AB14" s="447">
        <f t="shared" si="16"/>
        <v>4298400</v>
      </c>
      <c r="AC14" s="447">
        <f t="shared" si="16"/>
        <v>1074600</v>
      </c>
      <c r="AD14" s="447">
        <f t="shared" si="16"/>
        <v>3223800</v>
      </c>
      <c r="AE14" s="447">
        <f t="shared" si="16"/>
        <v>3223800</v>
      </c>
      <c r="AF14" s="447">
        <f t="shared" si="16"/>
        <v>445300</v>
      </c>
      <c r="AG14" s="440"/>
      <c r="AH14" s="440"/>
    </row>
    <row r="15" spans="1:35" s="5" customFormat="1" x14ac:dyDescent="0.2">
      <c r="A15" s="20" t="s">
        <v>45</v>
      </c>
      <c r="B15" s="21"/>
      <c r="C15" s="22"/>
      <c r="D15" s="450">
        <f>SUM(D16:D18)</f>
        <v>2778500</v>
      </c>
      <c r="E15" s="451">
        <f>SUM(E16:E18)</f>
        <v>2695400</v>
      </c>
      <c r="F15" s="452">
        <f>SUM(F16:F18)</f>
        <v>576000</v>
      </c>
      <c r="G15" s="452">
        <f>SUM(G16:G18)</f>
        <v>576000</v>
      </c>
      <c r="H15" s="451">
        <f t="shared" ref="H15" si="17">SUM(H16:H18)</f>
        <v>0</v>
      </c>
      <c r="I15" s="451">
        <f t="shared" si="3"/>
        <v>576000</v>
      </c>
      <c r="J15" s="451">
        <f t="shared" si="14"/>
        <v>2119400</v>
      </c>
      <c r="K15" s="451">
        <f t="shared" ref="K15:S15" si="18">SUM(K16:K18)</f>
        <v>4788000</v>
      </c>
      <c r="L15" s="451">
        <f t="shared" si="18"/>
        <v>2654497.1799999997</v>
      </c>
      <c r="M15" s="451">
        <f t="shared" si="18"/>
        <v>5000000</v>
      </c>
      <c r="N15" s="451">
        <f t="shared" si="18"/>
        <v>4527800</v>
      </c>
      <c r="O15" s="450">
        <f t="shared" si="18"/>
        <v>4527800</v>
      </c>
      <c r="P15" s="450">
        <f t="shared" si="18"/>
        <v>4071800</v>
      </c>
      <c r="Q15" s="450">
        <f t="shared" si="6"/>
        <v>456000</v>
      </c>
      <c r="R15" s="450">
        <f t="shared" si="18"/>
        <v>252500.5</v>
      </c>
      <c r="S15" s="450">
        <f t="shared" si="18"/>
        <v>0</v>
      </c>
      <c r="T15" s="450">
        <f t="shared" si="7"/>
        <v>203499.5</v>
      </c>
      <c r="U15" s="450">
        <f>SUM(U16:U18)</f>
        <v>4527800</v>
      </c>
      <c r="V15" s="450">
        <f t="shared" ref="V15:AF15" si="19">SUM(V16:V18)</f>
        <v>4754200</v>
      </c>
      <c r="W15" s="450">
        <f t="shared" si="19"/>
        <v>4991900</v>
      </c>
      <c r="X15" s="450">
        <f t="shared" si="19"/>
        <v>5241400</v>
      </c>
      <c r="Y15" s="450">
        <f t="shared" si="19"/>
        <v>26207000</v>
      </c>
      <c r="Z15" s="450">
        <f t="shared" si="19"/>
        <v>26207000</v>
      </c>
      <c r="AA15" s="450">
        <f t="shared" si="19"/>
        <v>15724200</v>
      </c>
      <c r="AB15" s="450">
        <f t="shared" si="19"/>
        <v>4298400</v>
      </c>
      <c r="AC15" s="450">
        <f t="shared" si="19"/>
        <v>1074600</v>
      </c>
      <c r="AD15" s="450">
        <f t="shared" si="19"/>
        <v>3223800</v>
      </c>
      <c r="AE15" s="450">
        <f t="shared" si="19"/>
        <v>3223800</v>
      </c>
      <c r="AF15" s="450">
        <f t="shared" si="19"/>
        <v>445300</v>
      </c>
      <c r="AG15" s="440"/>
      <c r="AH15" s="440"/>
    </row>
    <row r="16" spans="1:35" s="5" customFormat="1" x14ac:dyDescent="0.2">
      <c r="A16" s="33"/>
      <c r="B16" s="34" t="s">
        <v>46</v>
      </c>
      <c r="C16" s="35"/>
      <c r="D16" s="462">
        <v>1993100</v>
      </c>
      <c r="E16" s="463">
        <v>1895400</v>
      </c>
      <c r="F16" s="464">
        <v>276000</v>
      </c>
      <c r="G16" s="464">
        <v>276000</v>
      </c>
      <c r="H16" s="463"/>
      <c r="I16" s="463">
        <f t="shared" si="3"/>
        <v>276000</v>
      </c>
      <c r="J16" s="463">
        <f>+E16-G16</f>
        <v>1619400</v>
      </c>
      <c r="K16" s="29">
        <v>2988000</v>
      </c>
      <c r="L16" s="30">
        <v>1008915</v>
      </c>
      <c r="M16" s="465">
        <v>3000000</v>
      </c>
      <c r="N16" s="29">
        <v>2642000</v>
      </c>
      <c r="O16" s="466">
        <v>2642000</v>
      </c>
      <c r="P16" s="467">
        <v>2186000</v>
      </c>
      <c r="Q16" s="466">
        <f t="shared" si="6"/>
        <v>456000</v>
      </c>
      <c r="R16" s="466">
        <v>252500.5</v>
      </c>
      <c r="S16" s="466"/>
      <c r="T16" s="466">
        <f>Q16-R16-S16</f>
        <v>203499.5</v>
      </c>
      <c r="U16" s="29">
        <v>2642000</v>
      </c>
      <c r="V16" s="29">
        <f>SUM(U16*105/100)</f>
        <v>2774100</v>
      </c>
      <c r="W16" s="29">
        <v>2912800</v>
      </c>
      <c r="X16" s="29">
        <v>3058400</v>
      </c>
      <c r="Y16" s="29">
        <f>SUM(X16*5)</f>
        <v>15292000</v>
      </c>
      <c r="Z16" s="29">
        <f>SUM(X16*5)</f>
        <v>15292000</v>
      </c>
      <c r="AA16" s="29">
        <f>SUM(X16*3)</f>
        <v>9175200</v>
      </c>
      <c r="AB16" s="31">
        <v>2590800</v>
      </c>
      <c r="AC16" s="465">
        <v>322400</v>
      </c>
      <c r="AD16" s="32">
        <v>2268400</v>
      </c>
      <c r="AE16" s="466">
        <v>2268400</v>
      </c>
      <c r="AF16" s="468">
        <v>275300</v>
      </c>
      <c r="AG16" s="440"/>
      <c r="AH16" s="440"/>
    </row>
    <row r="17" spans="1:34" s="5" customFormat="1" x14ac:dyDescent="0.2">
      <c r="A17" s="33"/>
      <c r="B17" s="36" t="s">
        <v>48</v>
      </c>
      <c r="C17" s="37"/>
      <c r="D17" s="466"/>
      <c r="E17" s="469"/>
      <c r="F17" s="470"/>
      <c r="G17" s="470"/>
      <c r="H17" s="469"/>
      <c r="I17" s="469">
        <f t="shared" si="3"/>
        <v>0</v>
      </c>
      <c r="J17" s="469"/>
      <c r="K17" s="29"/>
      <c r="L17" s="30"/>
      <c r="M17" s="465"/>
      <c r="N17" s="29"/>
      <c r="O17" s="466"/>
      <c r="P17" s="467"/>
      <c r="Q17" s="466">
        <f t="shared" si="6"/>
        <v>0</v>
      </c>
      <c r="R17" s="466"/>
      <c r="S17" s="466"/>
      <c r="T17" s="466">
        <f t="shared" si="7"/>
        <v>0</v>
      </c>
      <c r="U17" s="29"/>
      <c r="V17" s="29"/>
      <c r="W17" s="29"/>
      <c r="X17" s="29"/>
      <c r="Y17" s="29"/>
      <c r="Z17" s="29"/>
      <c r="AA17" s="29"/>
      <c r="AB17" s="31"/>
      <c r="AC17" s="465"/>
      <c r="AD17" s="32"/>
      <c r="AE17" s="466"/>
      <c r="AF17" s="468"/>
      <c r="AG17" s="440"/>
      <c r="AH17" s="440"/>
    </row>
    <row r="18" spans="1:34" s="5" customFormat="1" x14ac:dyDescent="0.2">
      <c r="A18" s="1"/>
      <c r="B18" s="105" t="s">
        <v>47</v>
      </c>
      <c r="C18" s="38"/>
      <c r="D18" s="471">
        <v>785400</v>
      </c>
      <c r="E18" s="472">
        <v>800000</v>
      </c>
      <c r="F18" s="473">
        <v>300000</v>
      </c>
      <c r="G18" s="473">
        <v>300000</v>
      </c>
      <c r="H18" s="472"/>
      <c r="I18" s="472">
        <f t="shared" si="3"/>
        <v>300000</v>
      </c>
      <c r="J18" s="472">
        <f>+E18-G18</f>
        <v>500000</v>
      </c>
      <c r="K18" s="39">
        <v>1800000</v>
      </c>
      <c r="L18" s="40">
        <v>1645582.18</v>
      </c>
      <c r="M18" s="474">
        <v>2000000</v>
      </c>
      <c r="N18" s="41">
        <v>1885800</v>
      </c>
      <c r="O18" s="475">
        <v>1885800</v>
      </c>
      <c r="P18" s="476">
        <v>1885800</v>
      </c>
      <c r="Q18" s="475">
        <f t="shared" si="6"/>
        <v>0</v>
      </c>
      <c r="R18" s="475">
        <v>0</v>
      </c>
      <c r="S18" s="475"/>
      <c r="T18" s="475">
        <f t="shared" si="7"/>
        <v>0</v>
      </c>
      <c r="U18" s="41">
        <v>1885800</v>
      </c>
      <c r="V18" s="41">
        <v>1980100</v>
      </c>
      <c r="W18" s="41">
        <v>2079100</v>
      </c>
      <c r="X18" s="41">
        <v>2183000</v>
      </c>
      <c r="Y18" s="41">
        <f>SUM(X18*5)</f>
        <v>10915000</v>
      </c>
      <c r="Z18" s="41">
        <f>SUM(X18*5)</f>
        <v>10915000</v>
      </c>
      <c r="AA18" s="41">
        <f>SUM(X18*3)</f>
        <v>6549000</v>
      </c>
      <c r="AB18" s="42">
        <v>1707600</v>
      </c>
      <c r="AC18" s="474">
        <v>752200</v>
      </c>
      <c r="AD18" s="43">
        <v>955400</v>
      </c>
      <c r="AE18" s="475">
        <v>955400</v>
      </c>
      <c r="AF18" s="477">
        <v>170000</v>
      </c>
      <c r="AG18" s="440"/>
      <c r="AH18" s="440"/>
    </row>
    <row r="19" spans="1:34" s="5" customFormat="1" x14ac:dyDescent="0.2">
      <c r="A19" s="2"/>
      <c r="B19" s="1389" t="s">
        <v>48</v>
      </c>
      <c r="C19" s="1390"/>
      <c r="D19" s="478"/>
      <c r="E19" s="479"/>
      <c r="F19" s="480"/>
      <c r="G19" s="480"/>
      <c r="H19" s="479"/>
      <c r="I19" s="479">
        <f t="shared" si="3"/>
        <v>0</v>
      </c>
      <c r="J19" s="479"/>
      <c r="K19" s="44"/>
      <c r="L19" s="45"/>
      <c r="M19" s="481"/>
      <c r="N19" s="44"/>
      <c r="O19" s="478"/>
      <c r="P19" s="482"/>
      <c r="Q19" s="478">
        <f t="shared" si="6"/>
        <v>0</v>
      </c>
      <c r="R19" s="478"/>
      <c r="S19" s="478"/>
      <c r="T19" s="478">
        <f t="shared" si="7"/>
        <v>0</v>
      </c>
      <c r="U19" s="44"/>
      <c r="V19" s="44"/>
      <c r="W19" s="44"/>
      <c r="X19" s="44"/>
      <c r="Y19" s="44"/>
      <c r="Z19" s="44"/>
      <c r="AA19" s="44"/>
      <c r="AB19" s="46"/>
      <c r="AC19" s="481"/>
      <c r="AD19" s="47"/>
      <c r="AE19" s="478"/>
      <c r="AF19" s="483"/>
      <c r="AG19" s="440"/>
      <c r="AH19" s="440"/>
    </row>
    <row r="20" spans="1:34" s="5" customFormat="1" x14ac:dyDescent="0.2">
      <c r="A20" s="48" t="s">
        <v>12</v>
      </c>
      <c r="B20" s="49"/>
      <c r="C20" s="50"/>
      <c r="D20" s="484">
        <f>+D21+D88+D133+D168+D193</f>
        <v>4337473600</v>
      </c>
      <c r="E20" s="485">
        <f>+E21+E88+E133+E168+E193</f>
        <v>7242626500</v>
      </c>
      <c r="F20" s="486">
        <f>+F21+F88+F133+F168+F193</f>
        <v>3872107800</v>
      </c>
      <c r="G20" s="486">
        <f>+G21+G88+G133+G168+G193</f>
        <v>3661107800</v>
      </c>
      <c r="H20" s="485">
        <f t="shared" ref="H20" si="20">+H21+H88+H133+H168+H193</f>
        <v>0</v>
      </c>
      <c r="I20" s="485">
        <f t="shared" si="3"/>
        <v>3661107800</v>
      </c>
      <c r="J20" s="485">
        <f t="shared" ref="J20:J83" si="21">+E20-G20</f>
        <v>3581518700</v>
      </c>
      <c r="K20" s="51" t="e">
        <f t="shared" ref="K20:N20" si="22">+K21+K87+K132+K167+K192</f>
        <v>#VALUE!</v>
      </c>
      <c r="L20" s="51" t="e">
        <f t="shared" si="22"/>
        <v>#REF!</v>
      </c>
      <c r="M20" s="487" t="e">
        <f t="shared" si="22"/>
        <v>#REF!</v>
      </c>
      <c r="N20" s="51" t="e">
        <f t="shared" si="22"/>
        <v>#REF!</v>
      </c>
      <c r="O20" s="484">
        <f>+O21+O88+O133+O168+O193</f>
        <v>4818871400</v>
      </c>
      <c r="P20" s="484">
        <f>+P21+P88+P133+P168+P193</f>
        <v>24989897.5</v>
      </c>
      <c r="Q20" s="484">
        <f t="shared" si="6"/>
        <v>4793881502.5</v>
      </c>
      <c r="R20" s="484">
        <f>+R21+R88+R133+R168+R193</f>
        <v>4349703802.6499996</v>
      </c>
      <c r="S20" s="484">
        <f>+S21+S88+S133+S168+S193</f>
        <v>0</v>
      </c>
      <c r="T20" s="484">
        <f t="shared" si="7"/>
        <v>444177699.85000038</v>
      </c>
      <c r="U20" s="484">
        <f t="shared" ref="U20:AF20" ca="1" si="23">+U21+U87+U132+U167+U192</f>
        <v>12571987253700</v>
      </c>
      <c r="V20" s="484">
        <f t="shared" si="23"/>
        <v>1931610993475</v>
      </c>
      <c r="W20" s="484">
        <f t="shared" si="23"/>
        <v>14313920327.5</v>
      </c>
      <c r="X20" s="484">
        <f t="shared" si="23"/>
        <v>6058339900</v>
      </c>
      <c r="Y20" s="484">
        <f t="shared" si="23"/>
        <v>30207554400</v>
      </c>
      <c r="Z20" s="484">
        <f t="shared" si="23"/>
        <v>30207554400</v>
      </c>
      <c r="AA20" s="484">
        <f t="shared" si="23"/>
        <v>18108912900</v>
      </c>
      <c r="AB20" s="484">
        <f t="shared" si="23"/>
        <v>4365241400</v>
      </c>
      <c r="AC20" s="484">
        <f t="shared" si="23"/>
        <v>124278800</v>
      </c>
      <c r="AD20" s="484">
        <f t="shared" si="23"/>
        <v>4456442600</v>
      </c>
      <c r="AE20" s="484">
        <f t="shared" ca="1" si="23"/>
        <v>4337163600</v>
      </c>
      <c r="AF20" s="484">
        <f t="shared" si="23"/>
        <v>289800000</v>
      </c>
      <c r="AG20" s="440"/>
      <c r="AH20" s="440"/>
    </row>
    <row r="21" spans="1:34" s="182" customFormat="1" x14ac:dyDescent="0.2">
      <c r="A21" s="9" t="s">
        <v>165</v>
      </c>
      <c r="B21" s="10"/>
      <c r="C21" s="11"/>
      <c r="D21" s="488">
        <f>+D22+D75</f>
        <v>458996900</v>
      </c>
      <c r="E21" s="489">
        <f>+E22+E75</f>
        <v>656311600</v>
      </c>
      <c r="F21" s="490">
        <f>+F22+F75</f>
        <v>262285000</v>
      </c>
      <c r="G21" s="490">
        <f>+G22+G75</f>
        <v>262285000</v>
      </c>
      <c r="H21" s="489">
        <f t="shared" ref="H21" si="24">+H22+H75</f>
        <v>0</v>
      </c>
      <c r="I21" s="489">
        <f t="shared" si="3"/>
        <v>262285000</v>
      </c>
      <c r="J21" s="489">
        <f t="shared" si="21"/>
        <v>394026600</v>
      </c>
      <c r="K21" s="180">
        <f t="shared" ref="K21:AF22" si="25">SUM(K22)</f>
        <v>86438000</v>
      </c>
      <c r="L21" s="181">
        <f t="shared" si="25"/>
        <v>78236161.460000008</v>
      </c>
      <c r="M21" s="491">
        <f t="shared" si="25"/>
        <v>168786700</v>
      </c>
      <c r="N21" s="180">
        <f t="shared" si="25"/>
        <v>86438000</v>
      </c>
      <c r="O21" s="488">
        <f>+O22+O75</f>
        <v>860043700</v>
      </c>
      <c r="P21" s="488">
        <f>+P22+P75</f>
        <v>9834020</v>
      </c>
      <c r="Q21" s="488">
        <f t="shared" si="6"/>
        <v>850209680</v>
      </c>
      <c r="R21" s="488">
        <f>+R22+R75</f>
        <v>753947742.61000013</v>
      </c>
      <c r="S21" s="488">
        <f>+S22+S75</f>
        <v>0</v>
      </c>
      <c r="T21" s="488">
        <f t="shared" si="7"/>
        <v>96261937.389999866</v>
      </c>
      <c r="U21" s="488">
        <f>+U22+U74</f>
        <v>720306000</v>
      </c>
      <c r="V21" s="488">
        <f t="shared" ref="V21:AF21" si="26">+V22+V74</f>
        <v>504482500</v>
      </c>
      <c r="W21" s="488">
        <f t="shared" si="26"/>
        <v>492461900</v>
      </c>
      <c r="X21" s="488">
        <f t="shared" si="26"/>
        <v>516285200</v>
      </c>
      <c r="Y21" s="488">
        <f t="shared" si="26"/>
        <v>2526426000</v>
      </c>
      <c r="Z21" s="488">
        <f t="shared" si="26"/>
        <v>2526426000</v>
      </c>
      <c r="AA21" s="488">
        <f t="shared" si="26"/>
        <v>1515855600</v>
      </c>
      <c r="AB21" s="488">
        <f t="shared" si="26"/>
        <v>359522000</v>
      </c>
      <c r="AC21" s="488">
        <f t="shared" si="26"/>
        <v>0</v>
      </c>
      <c r="AD21" s="488">
        <f t="shared" si="26"/>
        <v>549802000</v>
      </c>
      <c r="AE21" s="488">
        <f t="shared" si="26"/>
        <v>549802000</v>
      </c>
      <c r="AF21" s="488">
        <f t="shared" si="26"/>
        <v>21500000</v>
      </c>
      <c r="AG21" s="492"/>
      <c r="AH21" s="492"/>
    </row>
    <row r="22" spans="1:34" s="5" customFormat="1" x14ac:dyDescent="0.2">
      <c r="A22" s="14" t="s">
        <v>128</v>
      </c>
      <c r="B22" s="15"/>
      <c r="C22" s="16"/>
      <c r="D22" s="447">
        <f>SUM(D23)</f>
        <v>382292300</v>
      </c>
      <c r="E22" s="448">
        <f>SUM(E23)</f>
        <v>561646600</v>
      </c>
      <c r="F22" s="449">
        <f>SUM(F23)</f>
        <v>226183500</v>
      </c>
      <c r="G22" s="449">
        <f>SUM(G23)</f>
        <v>226183500</v>
      </c>
      <c r="H22" s="448">
        <f t="shared" ref="H22" si="27">SUM(H23)</f>
        <v>0</v>
      </c>
      <c r="I22" s="448">
        <f t="shared" si="3"/>
        <v>226183500</v>
      </c>
      <c r="J22" s="448">
        <f t="shared" si="21"/>
        <v>335463100</v>
      </c>
      <c r="K22" s="17">
        <f t="shared" si="25"/>
        <v>86438000</v>
      </c>
      <c r="L22" s="18">
        <f t="shared" si="25"/>
        <v>78236161.460000008</v>
      </c>
      <c r="M22" s="493">
        <f t="shared" si="25"/>
        <v>168786700</v>
      </c>
      <c r="N22" s="19">
        <f t="shared" si="25"/>
        <v>86438000</v>
      </c>
      <c r="O22" s="447">
        <f t="shared" si="25"/>
        <v>452222900</v>
      </c>
      <c r="P22" s="447">
        <f>SUM(P23)</f>
        <v>9334020</v>
      </c>
      <c r="Q22" s="447">
        <f t="shared" si="6"/>
        <v>442888880</v>
      </c>
      <c r="R22" s="447">
        <f t="shared" si="25"/>
        <v>439717497.52000004</v>
      </c>
      <c r="S22" s="447">
        <f t="shared" si="25"/>
        <v>0</v>
      </c>
      <c r="T22" s="447">
        <f t="shared" si="7"/>
        <v>3171382.4799999595</v>
      </c>
      <c r="U22" s="447">
        <f>SUM(U23)</f>
        <v>617622200</v>
      </c>
      <c r="V22" s="447">
        <f t="shared" si="25"/>
        <v>397464500</v>
      </c>
      <c r="W22" s="447">
        <f t="shared" si="25"/>
        <v>380892900</v>
      </c>
      <c r="X22" s="447">
        <f t="shared" si="25"/>
        <v>399937600</v>
      </c>
      <c r="Y22" s="447">
        <f t="shared" si="25"/>
        <v>1999688000</v>
      </c>
      <c r="Z22" s="447">
        <f t="shared" si="25"/>
        <v>1999688000</v>
      </c>
      <c r="AA22" s="447">
        <f t="shared" si="25"/>
        <v>1199812800</v>
      </c>
      <c r="AB22" s="447">
        <f t="shared" si="25"/>
        <v>274817400</v>
      </c>
      <c r="AC22" s="447">
        <f t="shared" si="25"/>
        <v>0</v>
      </c>
      <c r="AD22" s="447">
        <f t="shared" si="25"/>
        <v>465097400</v>
      </c>
      <c r="AE22" s="447">
        <f t="shared" si="25"/>
        <v>465097400</v>
      </c>
      <c r="AF22" s="447">
        <f t="shared" si="25"/>
        <v>13500000</v>
      </c>
      <c r="AG22" s="440"/>
      <c r="AH22" s="440"/>
    </row>
    <row r="23" spans="1:34" s="5" customFormat="1" x14ac:dyDescent="0.2">
      <c r="A23" s="20" t="s">
        <v>45</v>
      </c>
      <c r="B23" s="21"/>
      <c r="C23" s="22"/>
      <c r="D23" s="450">
        <f>D24+D27+D28+D29+D31+D32+D33+D34+D40+D47+D48+D56+D57+D58+D62+D66+D67+D73+D74+D30</f>
        <v>382292300</v>
      </c>
      <c r="E23" s="451">
        <f>E24+E27+E28+E29+E31+E32+E33+E34+E40+E47+E48+E56+E57+E58+E62+E66+E67+E73+E74+E30</f>
        <v>561646600</v>
      </c>
      <c r="F23" s="452">
        <f>F24+F27+F28+F29+F31+F32+F33+F34+F40+F47+F48+F56+F57+F58+F62+F66+F67+F73+F74+F30</f>
        <v>226183500</v>
      </c>
      <c r="G23" s="452">
        <f>G24+G27+G28+G29+G31+G32+G33+G34+G40+G47+G48+G56+G57+G58+G62+G66+G67+G73+G74+G30</f>
        <v>226183500</v>
      </c>
      <c r="H23" s="451">
        <f t="shared" ref="H23" si="28">H24+H27+H28+H29+H31+H32+H33+H34+H40+H47+H48+H56+H57+H58+H62+H66+H67+H73+H74+H30</f>
        <v>0</v>
      </c>
      <c r="I23" s="451">
        <f t="shared" si="3"/>
        <v>226183500</v>
      </c>
      <c r="J23" s="451">
        <f t="shared" si="21"/>
        <v>335463100</v>
      </c>
      <c r="K23" s="450">
        <f>+K24+K27+K28+K76+K30+K31+K32</f>
        <v>86438000</v>
      </c>
      <c r="L23" s="450">
        <f>+L24+L27+L28+L76+L30+L31+L32</f>
        <v>78236161.460000008</v>
      </c>
      <c r="M23" s="450">
        <f>+M24+M27+M28+M76+M30+M31+M32</f>
        <v>168786700</v>
      </c>
      <c r="N23" s="450">
        <f>+N24+N27+N28+N76+N30+N31+N32</f>
        <v>86438000</v>
      </c>
      <c r="O23" s="450">
        <f>O24+O27+O28+O30+O31+O32+O33+O39+O46+O47+O55+O56+O57+O61+O65+O66+O71</f>
        <v>452222900</v>
      </c>
      <c r="P23" s="450">
        <f>P24+P27+P28+P30+P31+P32+P33+P39+P46+P47+P55+P56+P57+P61+P65+P66</f>
        <v>9334020</v>
      </c>
      <c r="Q23" s="450">
        <f t="shared" si="6"/>
        <v>442888880</v>
      </c>
      <c r="R23" s="450">
        <f>R24+R27+R28+R30+R31+R32+R33+R39+R46+R47+R55+R56+R57+R61+R65+R66</f>
        <v>439717497.52000004</v>
      </c>
      <c r="S23" s="450">
        <f>S24+S27+S28+S30+S31+S32+S33+S39+S46+S47+S55+S56+S57+S61+S65+S66</f>
        <v>0</v>
      </c>
      <c r="T23" s="450">
        <f t="shared" si="7"/>
        <v>3171382.4799999595</v>
      </c>
      <c r="U23" s="450">
        <f>U24+U27+U28+U30+U31+U32+U33+U39+U46+U47+U55+U56+U57+U61+U65+U66</f>
        <v>617622200</v>
      </c>
      <c r="V23" s="450">
        <f t="shared" ref="V23:AF23" si="29">V24+V27+V28+V30+V31+V32+V33+V39+V46+V47+V55+V56+V57+V61+V65+V66</f>
        <v>397464500</v>
      </c>
      <c r="W23" s="450">
        <f t="shared" si="29"/>
        <v>380892900</v>
      </c>
      <c r="X23" s="450">
        <f t="shared" si="29"/>
        <v>399937600</v>
      </c>
      <c r="Y23" s="450">
        <f t="shared" si="29"/>
        <v>1999688000</v>
      </c>
      <c r="Z23" s="450">
        <f t="shared" si="29"/>
        <v>1999688000</v>
      </c>
      <c r="AA23" s="450">
        <f t="shared" si="29"/>
        <v>1199812800</v>
      </c>
      <c r="AB23" s="450">
        <f t="shared" si="29"/>
        <v>274817400</v>
      </c>
      <c r="AC23" s="450">
        <f t="shared" si="29"/>
        <v>0</v>
      </c>
      <c r="AD23" s="450">
        <f t="shared" si="29"/>
        <v>465097400</v>
      </c>
      <c r="AE23" s="450">
        <f t="shared" si="29"/>
        <v>465097400</v>
      </c>
      <c r="AF23" s="450">
        <f t="shared" si="29"/>
        <v>13500000</v>
      </c>
      <c r="AG23" s="440"/>
      <c r="AH23" s="440">
        <f>3319200+18530200+16287800+3504000+5518800+10403600+3660100+3456000+11801600+5247000+5039800+4388400+708100+1260000+1800000+29265800+8883700</f>
        <v>133074100</v>
      </c>
    </row>
    <row r="24" spans="1:34" s="5" customFormat="1" x14ac:dyDescent="0.2">
      <c r="A24" s="33"/>
      <c r="B24" s="34" t="s">
        <v>189</v>
      </c>
      <c r="C24" s="35"/>
      <c r="D24" s="462">
        <f>SUM(D25:D26)</f>
        <v>12000000</v>
      </c>
      <c r="E24" s="462">
        <f>SUM(E25:E26)</f>
        <v>13227000</v>
      </c>
      <c r="F24" s="464">
        <f>SUM(F25:F26)</f>
        <v>3637200</v>
      </c>
      <c r="G24" s="464">
        <f>SUM(G25:G26)</f>
        <v>3637200</v>
      </c>
      <c r="H24" s="462">
        <f t="shared" ref="H24" si="30">SUM(H25:H26)</f>
        <v>0</v>
      </c>
      <c r="I24" s="462">
        <f t="shared" si="3"/>
        <v>3637200</v>
      </c>
      <c r="J24" s="462">
        <f t="shared" si="21"/>
        <v>9589800</v>
      </c>
      <c r="K24" s="52">
        <f>SUM(K25:K26)</f>
        <v>12000000</v>
      </c>
      <c r="L24" s="53">
        <v>10922768.93</v>
      </c>
      <c r="M24" s="494">
        <f>SUM(M25:M26)</f>
        <v>16043100</v>
      </c>
      <c r="N24" s="52">
        <v>12000000</v>
      </c>
      <c r="O24" s="462">
        <v>12000000</v>
      </c>
      <c r="P24" s="495">
        <v>2669800</v>
      </c>
      <c r="Q24" s="462">
        <f t="shared" si="6"/>
        <v>9330200</v>
      </c>
      <c r="R24" s="462">
        <v>3637160.92</v>
      </c>
      <c r="S24" s="462"/>
      <c r="T24" s="462">
        <f t="shared" si="7"/>
        <v>5693039.0800000001</v>
      </c>
      <c r="U24" s="52">
        <f>SUM(U25:U26)</f>
        <v>14449700</v>
      </c>
      <c r="V24" s="52">
        <v>15172200</v>
      </c>
      <c r="W24" s="52">
        <v>15930800</v>
      </c>
      <c r="X24" s="52">
        <v>16727300</v>
      </c>
      <c r="Y24" s="52">
        <f>SUM(X24*5)</f>
        <v>83636500</v>
      </c>
      <c r="Z24" s="52">
        <f>SUM(Y24)</f>
        <v>83636500</v>
      </c>
      <c r="AA24" s="52">
        <f>SUM(X24*3)</f>
        <v>50181900</v>
      </c>
      <c r="AB24" s="54">
        <v>12000000</v>
      </c>
      <c r="AC24" s="494">
        <v>0</v>
      </c>
      <c r="AD24" s="55">
        <v>12000000</v>
      </c>
      <c r="AE24" s="462">
        <v>12000000</v>
      </c>
      <c r="AF24" s="496"/>
      <c r="AG24" s="440"/>
      <c r="AH24" s="440"/>
    </row>
    <row r="25" spans="1:34" s="5" customFormat="1" x14ac:dyDescent="0.2">
      <c r="A25" s="56"/>
      <c r="B25" s="57"/>
      <c r="C25" s="58" t="s">
        <v>49</v>
      </c>
      <c r="D25" s="466">
        <v>10000000</v>
      </c>
      <c r="E25" s="466">
        <v>11657000</v>
      </c>
      <c r="F25" s="470">
        <v>2212500</v>
      </c>
      <c r="G25" s="470">
        <v>2212500</v>
      </c>
      <c r="H25" s="466"/>
      <c r="I25" s="466">
        <f t="shared" si="3"/>
        <v>2212500</v>
      </c>
      <c r="J25" s="466">
        <f t="shared" si="21"/>
        <v>9444500</v>
      </c>
      <c r="K25" s="29">
        <v>9500000</v>
      </c>
      <c r="L25" s="30"/>
      <c r="M25" s="465">
        <v>13198100</v>
      </c>
      <c r="N25" s="29"/>
      <c r="O25" s="466"/>
      <c r="P25" s="467"/>
      <c r="Q25" s="466">
        <f t="shared" si="6"/>
        <v>0</v>
      </c>
      <c r="R25" s="466"/>
      <c r="S25" s="466"/>
      <c r="T25" s="466">
        <f t="shared" si="7"/>
        <v>0</v>
      </c>
      <c r="U25" s="29">
        <v>11959700</v>
      </c>
      <c r="V25" s="29"/>
      <c r="W25" s="29"/>
      <c r="X25" s="29"/>
      <c r="Y25" s="29"/>
      <c r="Z25" s="29"/>
      <c r="AA25" s="29"/>
      <c r="AB25" s="31"/>
      <c r="AC25" s="465"/>
      <c r="AD25" s="32">
        <v>10000000</v>
      </c>
      <c r="AE25" s="466">
        <v>10000000</v>
      </c>
      <c r="AF25" s="468"/>
      <c r="AG25" s="440"/>
      <c r="AH25" s="440"/>
    </row>
    <row r="26" spans="1:34" s="5" customFormat="1" x14ac:dyDescent="0.2">
      <c r="A26" s="56"/>
      <c r="B26" s="57"/>
      <c r="C26" s="58" t="s">
        <v>50</v>
      </c>
      <c r="D26" s="466">
        <v>2000000</v>
      </c>
      <c r="E26" s="466">
        <v>1570000</v>
      </c>
      <c r="F26" s="470">
        <v>1424700</v>
      </c>
      <c r="G26" s="470">
        <v>1424700</v>
      </c>
      <c r="H26" s="466"/>
      <c r="I26" s="466">
        <f t="shared" si="3"/>
        <v>1424700</v>
      </c>
      <c r="J26" s="466">
        <f t="shared" si="21"/>
        <v>145300</v>
      </c>
      <c r="K26" s="29">
        <v>2500000</v>
      </c>
      <c r="L26" s="30"/>
      <c r="M26" s="465">
        <v>2845000</v>
      </c>
      <c r="N26" s="29"/>
      <c r="O26" s="466"/>
      <c r="P26" s="467"/>
      <c r="Q26" s="466">
        <f t="shared" si="6"/>
        <v>0</v>
      </c>
      <c r="R26" s="466"/>
      <c r="S26" s="466"/>
      <c r="T26" s="466">
        <f t="shared" si="7"/>
        <v>0</v>
      </c>
      <c r="U26" s="29">
        <v>2490000</v>
      </c>
      <c r="V26" s="29"/>
      <c r="W26" s="29"/>
      <c r="X26" s="29"/>
      <c r="Y26" s="29"/>
      <c r="Z26" s="29"/>
      <c r="AA26" s="29"/>
      <c r="AB26" s="31"/>
      <c r="AC26" s="465"/>
      <c r="AD26" s="32">
        <v>2000000</v>
      </c>
      <c r="AE26" s="466">
        <v>2000000</v>
      </c>
      <c r="AF26" s="468"/>
      <c r="AG26" s="440"/>
      <c r="AH26" s="440"/>
    </row>
    <row r="27" spans="1:34" s="5" customFormat="1" x14ac:dyDescent="0.2">
      <c r="A27" s="33"/>
      <c r="B27" s="34" t="s">
        <v>220</v>
      </c>
      <c r="C27" s="35"/>
      <c r="D27" s="462">
        <v>3000000</v>
      </c>
      <c r="E27" s="462">
        <v>3500000</v>
      </c>
      <c r="F27" s="464">
        <v>2011800</v>
      </c>
      <c r="G27" s="464">
        <v>2011800</v>
      </c>
      <c r="H27" s="462"/>
      <c r="I27" s="462">
        <f t="shared" si="3"/>
        <v>2011800</v>
      </c>
      <c r="J27" s="462">
        <f t="shared" si="21"/>
        <v>1488200</v>
      </c>
      <c r="K27" s="52">
        <v>3000000</v>
      </c>
      <c r="L27" s="53">
        <v>1960661.14</v>
      </c>
      <c r="M27" s="494">
        <v>3500000</v>
      </c>
      <c r="N27" s="52">
        <v>3000000</v>
      </c>
      <c r="O27" s="462">
        <v>3000000</v>
      </c>
      <c r="P27" s="495">
        <v>500000</v>
      </c>
      <c r="Q27" s="462">
        <f t="shared" si="6"/>
        <v>2500000</v>
      </c>
      <c r="R27" s="462">
        <v>1021805.69</v>
      </c>
      <c r="S27" s="462"/>
      <c r="T27" s="462">
        <f t="shared" si="7"/>
        <v>1478194.31</v>
      </c>
      <c r="U27" s="52">
        <v>3200000</v>
      </c>
      <c r="V27" s="52">
        <f>SUM(U27*105/100)</f>
        <v>3360000</v>
      </c>
      <c r="W27" s="52">
        <f>SUM(V27*105/100)</f>
        <v>3528000</v>
      </c>
      <c r="X27" s="52">
        <f>SUM(W27*105/100)</f>
        <v>3704400</v>
      </c>
      <c r="Y27" s="52">
        <f>SUM(X27*5)</f>
        <v>18522000</v>
      </c>
      <c r="Z27" s="52">
        <f>SUM(Y27)</f>
        <v>18522000</v>
      </c>
      <c r="AA27" s="52">
        <f>SUM(X27*3)</f>
        <v>11113200</v>
      </c>
      <c r="AB27" s="54">
        <v>3000000</v>
      </c>
      <c r="AC27" s="494">
        <v>0</v>
      </c>
      <c r="AD27" s="55">
        <v>3000000</v>
      </c>
      <c r="AE27" s="462">
        <v>3000000</v>
      </c>
      <c r="AF27" s="496"/>
      <c r="AG27" s="440"/>
      <c r="AH27" s="440"/>
    </row>
    <row r="28" spans="1:34" s="5" customFormat="1" x14ac:dyDescent="0.2">
      <c r="A28" s="33"/>
      <c r="B28" s="34" t="s">
        <v>190</v>
      </c>
      <c r="C28" s="35"/>
      <c r="D28" s="462">
        <v>59000000</v>
      </c>
      <c r="E28" s="462">
        <v>134425600</v>
      </c>
      <c r="F28" s="464">
        <v>27250000</v>
      </c>
      <c r="G28" s="464">
        <v>27250000</v>
      </c>
      <c r="H28" s="462"/>
      <c r="I28" s="462">
        <f t="shared" si="3"/>
        <v>27250000</v>
      </c>
      <c r="J28" s="462">
        <f t="shared" si="21"/>
        <v>107175600</v>
      </c>
      <c r="K28" s="52">
        <v>60000000</v>
      </c>
      <c r="L28" s="53">
        <v>56049274.289999999</v>
      </c>
      <c r="M28" s="494">
        <v>134153600</v>
      </c>
      <c r="N28" s="52">
        <v>60000000</v>
      </c>
      <c r="O28" s="462">
        <v>59000000</v>
      </c>
      <c r="P28" s="495">
        <v>671420</v>
      </c>
      <c r="Q28" s="462">
        <f t="shared" si="6"/>
        <v>58328580</v>
      </c>
      <c r="R28" s="462">
        <f>54461519.95+470200</f>
        <v>54931719.950000003</v>
      </c>
      <c r="S28" s="462"/>
      <c r="T28" s="462">
        <f t="shared" si="7"/>
        <v>3396860.049999997</v>
      </c>
      <c r="U28" s="52">
        <v>115221300</v>
      </c>
      <c r="V28" s="52">
        <v>120982400</v>
      </c>
      <c r="W28" s="52">
        <v>127031500</v>
      </c>
      <c r="X28" s="52">
        <v>133383100</v>
      </c>
      <c r="Y28" s="52">
        <f>SUM(X28*5)</f>
        <v>666915500</v>
      </c>
      <c r="Z28" s="52">
        <f>SUM(X28*5)</f>
        <v>666915500</v>
      </c>
      <c r="AA28" s="52">
        <f>SUM(X28*3)</f>
        <v>400149300</v>
      </c>
      <c r="AB28" s="54">
        <v>59000000</v>
      </c>
      <c r="AC28" s="494">
        <v>0</v>
      </c>
      <c r="AD28" s="55">
        <v>59000000</v>
      </c>
      <c r="AE28" s="462">
        <v>59000000</v>
      </c>
      <c r="AF28" s="496"/>
      <c r="AG28" s="440"/>
      <c r="AH28" s="440"/>
    </row>
    <row r="29" spans="1:34" s="5" customFormat="1" x14ac:dyDescent="0.2">
      <c r="A29" s="33"/>
      <c r="B29" s="34"/>
      <c r="C29" s="497" t="s">
        <v>280</v>
      </c>
      <c r="D29" s="462"/>
      <c r="E29" s="462">
        <v>1500000</v>
      </c>
      <c r="F29" s="464">
        <v>470200</v>
      </c>
      <c r="G29" s="464">
        <v>470200</v>
      </c>
      <c r="H29" s="462"/>
      <c r="I29" s="462">
        <f t="shared" si="3"/>
        <v>470200</v>
      </c>
      <c r="J29" s="462">
        <f t="shared" si="21"/>
        <v>1029800</v>
      </c>
      <c r="K29" s="52"/>
      <c r="L29" s="53"/>
      <c r="M29" s="494"/>
      <c r="N29" s="52"/>
      <c r="O29" s="462"/>
      <c r="P29" s="495"/>
      <c r="Q29" s="462">
        <f t="shared" si="6"/>
        <v>0</v>
      </c>
      <c r="R29" s="462"/>
      <c r="S29" s="462"/>
      <c r="T29" s="462">
        <f t="shared" si="7"/>
        <v>0</v>
      </c>
      <c r="U29" s="52"/>
      <c r="V29" s="52"/>
      <c r="W29" s="52"/>
      <c r="X29" s="52"/>
      <c r="Y29" s="52"/>
      <c r="Z29" s="52"/>
      <c r="AA29" s="52"/>
      <c r="AB29" s="54"/>
      <c r="AC29" s="494"/>
      <c r="AD29" s="55"/>
      <c r="AE29" s="462"/>
      <c r="AF29" s="496"/>
      <c r="AG29" s="440"/>
      <c r="AH29" s="440"/>
    </row>
    <row r="30" spans="1:34" s="5" customFormat="1" x14ac:dyDescent="0.2">
      <c r="A30" s="33"/>
      <c r="B30" s="34"/>
      <c r="C30" s="497" t="s">
        <v>294</v>
      </c>
      <c r="D30" s="462"/>
      <c r="E30" s="462">
        <v>25000000</v>
      </c>
      <c r="F30" s="464">
        <v>0</v>
      </c>
      <c r="G30" s="464">
        <v>0</v>
      </c>
      <c r="H30" s="462"/>
      <c r="I30" s="462">
        <f t="shared" si="3"/>
        <v>0</v>
      </c>
      <c r="J30" s="462">
        <f t="shared" si="21"/>
        <v>25000000</v>
      </c>
      <c r="K30" s="52">
        <v>2000000</v>
      </c>
      <c r="L30" s="53">
        <v>761400.42999999993</v>
      </c>
      <c r="M30" s="494">
        <v>3500000</v>
      </c>
      <c r="N30" s="52">
        <v>2000000</v>
      </c>
      <c r="O30" s="462">
        <v>2000000</v>
      </c>
      <c r="P30" s="495">
        <v>342800</v>
      </c>
      <c r="Q30" s="462">
        <f t="shared" si="6"/>
        <v>1657200</v>
      </c>
      <c r="R30" s="462">
        <v>765922.96</v>
      </c>
      <c r="S30" s="462"/>
      <c r="T30" s="462">
        <f t="shared" si="7"/>
        <v>891277.04</v>
      </c>
      <c r="U30" s="52">
        <v>4000000</v>
      </c>
      <c r="V30" s="52">
        <f>SUM(U30*105/100)</f>
        <v>4200000</v>
      </c>
      <c r="W30" s="52">
        <f>SUM(V30*105/100)</f>
        <v>4410000</v>
      </c>
      <c r="X30" s="52">
        <f>SUM(W30*105/100)</f>
        <v>4630500</v>
      </c>
      <c r="Y30" s="52">
        <f>SUM(X30*5)</f>
        <v>23152500</v>
      </c>
      <c r="Z30" s="52">
        <f>SUM(X30*5)</f>
        <v>23152500</v>
      </c>
      <c r="AA30" s="52">
        <f>SUM(X30*3)</f>
        <v>13891500</v>
      </c>
      <c r="AB30" s="54">
        <v>2000000</v>
      </c>
      <c r="AC30" s="494">
        <v>0</v>
      </c>
      <c r="AD30" s="55">
        <v>2000000</v>
      </c>
      <c r="AE30" s="462">
        <v>2000000</v>
      </c>
      <c r="AF30" s="496"/>
      <c r="AG30" s="440"/>
      <c r="AH30" s="440"/>
    </row>
    <row r="31" spans="1:34" s="5" customFormat="1" x14ac:dyDescent="0.2">
      <c r="A31" s="33"/>
      <c r="B31" s="34" t="s">
        <v>191</v>
      </c>
      <c r="C31" s="35"/>
      <c r="D31" s="462">
        <v>2000000</v>
      </c>
      <c r="E31" s="462">
        <v>4000000</v>
      </c>
      <c r="F31" s="464">
        <v>1114300</v>
      </c>
      <c r="G31" s="464">
        <v>1114300</v>
      </c>
      <c r="H31" s="462"/>
      <c r="I31" s="462">
        <f t="shared" si="3"/>
        <v>1114300</v>
      </c>
      <c r="J31" s="462">
        <f t="shared" si="21"/>
        <v>2885700</v>
      </c>
      <c r="K31" s="52">
        <v>2310000</v>
      </c>
      <c r="L31" s="53">
        <v>1917428.48</v>
      </c>
      <c r="M31" s="498">
        <v>2310000</v>
      </c>
      <c r="N31" s="52">
        <v>2310000</v>
      </c>
      <c r="O31" s="462">
        <v>2310000</v>
      </c>
      <c r="P31" s="495">
        <v>1850000</v>
      </c>
      <c r="Q31" s="462">
        <f t="shared" si="6"/>
        <v>460000</v>
      </c>
      <c r="R31" s="462">
        <v>386688.06</v>
      </c>
      <c r="S31" s="462"/>
      <c r="T31" s="462">
        <f t="shared" si="7"/>
        <v>73311.94</v>
      </c>
      <c r="U31" s="52">
        <v>2310000</v>
      </c>
      <c r="V31" s="52">
        <f>SUM(U31*105/100)</f>
        <v>2425500</v>
      </c>
      <c r="W31" s="52">
        <v>2546800</v>
      </c>
      <c r="X31" s="52">
        <v>2674200</v>
      </c>
      <c r="Y31" s="52">
        <f>SUM(X31*5)</f>
        <v>13371000</v>
      </c>
      <c r="Z31" s="52">
        <f>SUM(X31*5)</f>
        <v>13371000</v>
      </c>
      <c r="AA31" s="52">
        <f>SUM(X31*3)</f>
        <v>8022600</v>
      </c>
      <c r="AB31" s="54">
        <v>1917400</v>
      </c>
      <c r="AC31" s="494">
        <v>0</v>
      </c>
      <c r="AD31" s="55">
        <v>1917400</v>
      </c>
      <c r="AE31" s="462">
        <v>1917400</v>
      </c>
      <c r="AF31" s="496"/>
      <c r="AG31" s="440"/>
      <c r="AH31" s="440"/>
    </row>
    <row r="32" spans="1:34" s="5" customFormat="1" x14ac:dyDescent="0.2">
      <c r="A32" s="33"/>
      <c r="B32" s="34" t="s">
        <v>192</v>
      </c>
      <c r="C32" s="35"/>
      <c r="D32" s="462">
        <v>1917400</v>
      </c>
      <c r="E32" s="499">
        <v>2310000</v>
      </c>
      <c r="F32" s="500">
        <v>386700</v>
      </c>
      <c r="G32" s="500">
        <v>386700</v>
      </c>
      <c r="H32" s="499"/>
      <c r="I32" s="499">
        <f t="shared" si="3"/>
        <v>386700</v>
      </c>
      <c r="J32" s="499">
        <f t="shared" si="21"/>
        <v>1923300</v>
      </c>
      <c r="K32" s="52">
        <v>1128000</v>
      </c>
      <c r="L32" s="53">
        <v>961970.3600000001</v>
      </c>
      <c r="M32" s="498">
        <v>1280000</v>
      </c>
      <c r="N32" s="52">
        <v>1128000</v>
      </c>
      <c r="O32" s="462">
        <v>1128000</v>
      </c>
      <c r="P32" s="495">
        <v>300000</v>
      </c>
      <c r="Q32" s="462">
        <f t="shared" si="6"/>
        <v>828000</v>
      </c>
      <c r="R32" s="462">
        <v>30000</v>
      </c>
      <c r="S32" s="462"/>
      <c r="T32" s="462">
        <f t="shared" si="7"/>
        <v>798000</v>
      </c>
      <c r="U32" s="52">
        <v>900000</v>
      </c>
      <c r="V32" s="52">
        <f>SUM(U32*105/100)</f>
        <v>945000</v>
      </c>
      <c r="W32" s="52">
        <v>992300</v>
      </c>
      <c r="X32" s="52">
        <v>1041900</v>
      </c>
      <c r="Y32" s="52">
        <f>SUM(X32*5)</f>
        <v>5209500</v>
      </c>
      <c r="Z32" s="52">
        <f>SUM(X32*5)</f>
        <v>5209500</v>
      </c>
      <c r="AA32" s="52">
        <f>SUM(X32*3)</f>
        <v>3125700</v>
      </c>
      <c r="AB32" s="54">
        <v>900000</v>
      </c>
      <c r="AC32" s="494">
        <v>0</v>
      </c>
      <c r="AD32" s="55">
        <v>900000</v>
      </c>
      <c r="AE32" s="462">
        <v>900000</v>
      </c>
      <c r="AF32" s="496"/>
      <c r="AG32" s="440"/>
      <c r="AH32" s="440"/>
    </row>
    <row r="33" spans="1:34" s="5" customFormat="1" x14ac:dyDescent="0.2">
      <c r="A33" s="33"/>
      <c r="B33" s="34" t="s">
        <v>219</v>
      </c>
      <c r="C33" s="59"/>
      <c r="D33" s="462">
        <v>900000</v>
      </c>
      <c r="E33" s="462">
        <v>900000</v>
      </c>
      <c r="F33" s="464">
        <v>30000</v>
      </c>
      <c r="G33" s="464">
        <v>30000</v>
      </c>
      <c r="H33" s="462"/>
      <c r="I33" s="462">
        <f t="shared" si="3"/>
        <v>30000</v>
      </c>
      <c r="J33" s="462">
        <f t="shared" si="21"/>
        <v>870000</v>
      </c>
      <c r="K33" s="52">
        <v>107488300</v>
      </c>
      <c r="L33" s="53">
        <v>71749670</v>
      </c>
      <c r="M33" s="494">
        <v>148608400</v>
      </c>
      <c r="N33" s="52">
        <v>0</v>
      </c>
      <c r="O33" s="462">
        <f>60527600+16232700</f>
        <v>76760300</v>
      </c>
      <c r="P33" s="495"/>
      <c r="Q33" s="462">
        <f t="shared" si="6"/>
        <v>76760300</v>
      </c>
      <c r="R33" s="501">
        <f>18007187.56+2897657.34</f>
        <v>20904844.899999999</v>
      </c>
      <c r="S33" s="501"/>
      <c r="T33" s="501">
        <f t="shared" si="7"/>
        <v>55855455.100000001</v>
      </c>
      <c r="U33" s="462">
        <f>SUM(U34:U38)</f>
        <v>106485900</v>
      </c>
      <c r="V33" s="462">
        <f t="shared" ref="V33:AF33" si="31">SUM(V34:V38)</f>
        <v>34709400</v>
      </c>
      <c r="W33" s="462">
        <f t="shared" si="31"/>
        <v>0</v>
      </c>
      <c r="X33" s="462">
        <f t="shared" si="31"/>
        <v>0</v>
      </c>
      <c r="Y33" s="462">
        <f t="shared" si="31"/>
        <v>0</v>
      </c>
      <c r="Z33" s="462">
        <f t="shared" si="31"/>
        <v>0</v>
      </c>
      <c r="AA33" s="462">
        <f t="shared" si="31"/>
        <v>0</v>
      </c>
      <c r="AB33" s="462">
        <f t="shared" si="31"/>
        <v>0</v>
      </c>
      <c r="AC33" s="462">
        <f t="shared" si="31"/>
        <v>0</v>
      </c>
      <c r="AD33" s="462">
        <f t="shared" si="31"/>
        <v>74545200</v>
      </c>
      <c r="AE33" s="462">
        <f t="shared" si="31"/>
        <v>74545200</v>
      </c>
      <c r="AF33" s="462">
        <f t="shared" si="31"/>
        <v>0</v>
      </c>
      <c r="AG33" s="440"/>
      <c r="AH33" s="440"/>
    </row>
    <row r="34" spans="1:34" s="5" customFormat="1" x14ac:dyDescent="0.2">
      <c r="A34" s="33"/>
      <c r="B34" s="34" t="s">
        <v>193</v>
      </c>
      <c r="C34" s="35"/>
      <c r="D34" s="463">
        <f>SUM(D35:D39)</f>
        <v>28890100</v>
      </c>
      <c r="E34" s="462">
        <f>SUM(E35:E39)</f>
        <v>95352200</v>
      </c>
      <c r="F34" s="464">
        <f>SUM(F35:F39)</f>
        <v>10000000</v>
      </c>
      <c r="G34" s="464">
        <f>SUM(G35:G39)</f>
        <v>10000000</v>
      </c>
      <c r="H34" s="462">
        <f t="shared" ref="H34" si="32">SUM(H35:H39)</f>
        <v>0</v>
      </c>
      <c r="I34" s="462">
        <f t="shared" si="3"/>
        <v>10000000</v>
      </c>
      <c r="J34" s="462">
        <f t="shared" si="21"/>
        <v>85352200</v>
      </c>
      <c r="K34" s="29">
        <v>19391150</v>
      </c>
      <c r="L34" s="30"/>
      <c r="M34" s="465">
        <v>27487300</v>
      </c>
      <c r="N34" s="29"/>
      <c r="O34" s="502"/>
      <c r="P34" s="503"/>
      <c r="Q34" s="502">
        <f t="shared" si="6"/>
        <v>0</v>
      </c>
      <c r="R34" s="502"/>
      <c r="S34" s="502"/>
      <c r="T34" s="502">
        <f t="shared" si="7"/>
        <v>0</v>
      </c>
      <c r="U34" s="29">
        <v>38002800</v>
      </c>
      <c r="V34" s="29">
        <v>34709400</v>
      </c>
      <c r="W34" s="29"/>
      <c r="X34" s="29"/>
      <c r="Y34" s="29"/>
      <c r="Z34" s="29"/>
      <c r="AA34" s="29"/>
      <c r="AB34" s="31"/>
      <c r="AC34" s="465"/>
      <c r="AD34" s="32">
        <v>15500000</v>
      </c>
      <c r="AE34" s="466">
        <v>15500000</v>
      </c>
      <c r="AF34" s="468"/>
      <c r="AG34" s="440"/>
      <c r="AH34" s="440"/>
    </row>
    <row r="35" spans="1:34" s="5" customFormat="1" x14ac:dyDescent="0.2">
      <c r="A35" s="56"/>
      <c r="B35" s="36"/>
      <c r="C35" s="58" t="s">
        <v>52</v>
      </c>
      <c r="D35" s="502">
        <v>5839000</v>
      </c>
      <c r="E35" s="502">
        <v>34709400</v>
      </c>
      <c r="F35" s="504">
        <v>830000</v>
      </c>
      <c r="G35" s="504">
        <v>830000</v>
      </c>
      <c r="H35" s="502"/>
      <c r="I35" s="502">
        <f t="shared" si="3"/>
        <v>830000</v>
      </c>
      <c r="J35" s="502">
        <f t="shared" si="21"/>
        <v>33879400</v>
      </c>
      <c r="K35" s="29">
        <v>9507250</v>
      </c>
      <c r="L35" s="30"/>
      <c r="M35" s="465">
        <v>9220700</v>
      </c>
      <c r="N35" s="29"/>
      <c r="O35" s="502"/>
      <c r="P35" s="503"/>
      <c r="Q35" s="502">
        <f t="shared" si="6"/>
        <v>0</v>
      </c>
      <c r="R35" s="502"/>
      <c r="S35" s="502"/>
      <c r="T35" s="502">
        <f t="shared" si="7"/>
        <v>0</v>
      </c>
      <c r="U35" s="29">
        <v>17053900</v>
      </c>
      <c r="V35" s="29"/>
      <c r="W35" s="29"/>
      <c r="X35" s="29"/>
      <c r="Y35" s="29"/>
      <c r="Z35" s="29"/>
      <c r="AA35" s="29"/>
      <c r="AB35" s="31"/>
      <c r="AC35" s="465"/>
      <c r="AD35" s="32">
        <v>15000000</v>
      </c>
      <c r="AE35" s="466">
        <v>15000000</v>
      </c>
      <c r="AF35" s="468"/>
      <c r="AG35" s="440"/>
      <c r="AH35" s="440"/>
    </row>
    <row r="36" spans="1:34" s="5" customFormat="1" x14ac:dyDescent="0.2">
      <c r="A36" s="56"/>
      <c r="B36" s="36"/>
      <c r="C36" s="58" t="s">
        <v>49</v>
      </c>
      <c r="D36" s="502">
        <v>5595000</v>
      </c>
      <c r="E36" s="502">
        <v>17341700</v>
      </c>
      <c r="F36" s="504">
        <v>1756000</v>
      </c>
      <c r="G36" s="504">
        <v>1756000</v>
      </c>
      <c r="H36" s="502"/>
      <c r="I36" s="502">
        <f t="shared" si="3"/>
        <v>1756000</v>
      </c>
      <c r="J36" s="502">
        <f t="shared" si="21"/>
        <v>15585700</v>
      </c>
      <c r="K36" s="29">
        <v>15379150</v>
      </c>
      <c r="L36" s="30"/>
      <c r="M36" s="465">
        <v>15305000</v>
      </c>
      <c r="N36" s="29"/>
      <c r="O36" s="502"/>
      <c r="P36" s="503"/>
      <c r="Q36" s="502">
        <f t="shared" si="6"/>
        <v>0</v>
      </c>
      <c r="R36" s="502"/>
      <c r="S36" s="502"/>
      <c r="T36" s="502">
        <f t="shared" si="7"/>
        <v>0</v>
      </c>
      <c r="U36" s="29">
        <v>19918000</v>
      </c>
      <c r="V36" s="29"/>
      <c r="W36" s="29"/>
      <c r="X36" s="29"/>
      <c r="Y36" s="29"/>
      <c r="Z36" s="29"/>
      <c r="AA36" s="29"/>
      <c r="AB36" s="31"/>
      <c r="AC36" s="465"/>
      <c r="AD36" s="32">
        <v>17500000</v>
      </c>
      <c r="AE36" s="466">
        <v>17500000</v>
      </c>
      <c r="AF36" s="468"/>
      <c r="AG36" s="440"/>
      <c r="AH36" s="440"/>
    </row>
    <row r="37" spans="1:34" s="5" customFormat="1" x14ac:dyDescent="0.2">
      <c r="A37" s="56"/>
      <c r="B37" s="36"/>
      <c r="C37" s="58" t="s">
        <v>54</v>
      </c>
      <c r="D37" s="502">
        <v>7015600</v>
      </c>
      <c r="E37" s="502">
        <v>21855900</v>
      </c>
      <c r="F37" s="504">
        <v>4366000</v>
      </c>
      <c r="G37" s="504">
        <v>4366000</v>
      </c>
      <c r="H37" s="502"/>
      <c r="I37" s="502">
        <f t="shared" si="3"/>
        <v>4366000</v>
      </c>
      <c r="J37" s="502">
        <f t="shared" si="21"/>
        <v>17489900</v>
      </c>
      <c r="K37" s="29">
        <v>18940150</v>
      </c>
      <c r="L37" s="30"/>
      <c r="M37" s="465">
        <v>15052100</v>
      </c>
      <c r="N37" s="29"/>
      <c r="O37" s="502"/>
      <c r="P37" s="503"/>
      <c r="Q37" s="502">
        <f t="shared" si="6"/>
        <v>0</v>
      </c>
      <c r="R37" s="502"/>
      <c r="S37" s="502"/>
      <c r="T37" s="502">
        <f t="shared" si="7"/>
        <v>0</v>
      </c>
      <c r="U37" s="29">
        <v>17781800</v>
      </c>
      <c r="V37" s="29"/>
      <c r="W37" s="29"/>
      <c r="X37" s="29"/>
      <c r="Y37" s="29"/>
      <c r="Z37" s="29"/>
      <c r="AA37" s="29"/>
      <c r="AB37" s="31"/>
      <c r="AC37" s="465"/>
      <c r="AD37" s="32">
        <v>15000000</v>
      </c>
      <c r="AE37" s="466">
        <v>15000000</v>
      </c>
      <c r="AF37" s="468"/>
      <c r="AG37" s="440"/>
      <c r="AH37" s="440"/>
    </row>
    <row r="38" spans="1:34" s="5" customFormat="1" x14ac:dyDescent="0.2">
      <c r="A38" s="56"/>
      <c r="B38" s="36"/>
      <c r="C38" s="58" t="s">
        <v>53</v>
      </c>
      <c r="D38" s="502">
        <v>5941000</v>
      </c>
      <c r="E38" s="505">
        <v>8877000</v>
      </c>
      <c r="F38" s="506">
        <v>1096000</v>
      </c>
      <c r="G38" s="506">
        <v>1096000</v>
      </c>
      <c r="H38" s="505"/>
      <c r="I38" s="505">
        <f t="shared" si="3"/>
        <v>1096000</v>
      </c>
      <c r="J38" s="505">
        <f t="shared" si="21"/>
        <v>7781000</v>
      </c>
      <c r="K38" s="29">
        <v>7121250</v>
      </c>
      <c r="L38" s="30"/>
      <c r="M38" s="465">
        <v>14650900</v>
      </c>
      <c r="N38" s="29"/>
      <c r="O38" s="502"/>
      <c r="P38" s="503"/>
      <c r="Q38" s="502">
        <f t="shared" si="6"/>
        <v>0</v>
      </c>
      <c r="R38" s="502"/>
      <c r="S38" s="502"/>
      <c r="T38" s="502">
        <f t="shared" si="7"/>
        <v>0</v>
      </c>
      <c r="U38" s="29">
        <v>13729400</v>
      </c>
      <c r="V38" s="29"/>
      <c r="W38" s="29"/>
      <c r="X38" s="29"/>
      <c r="Y38" s="29"/>
      <c r="Z38" s="29"/>
      <c r="AA38" s="29"/>
      <c r="AB38" s="31"/>
      <c r="AC38" s="465"/>
      <c r="AD38" s="32">
        <v>11545200</v>
      </c>
      <c r="AE38" s="466">
        <v>11545200</v>
      </c>
      <c r="AF38" s="468"/>
      <c r="AG38" s="440"/>
      <c r="AH38" s="440"/>
    </row>
    <row r="39" spans="1:34" s="5" customFormat="1" x14ac:dyDescent="0.2">
      <c r="A39" s="56"/>
      <c r="B39" s="36"/>
      <c r="C39" s="58" t="s">
        <v>62</v>
      </c>
      <c r="D39" s="502">
        <v>4499500</v>
      </c>
      <c r="E39" s="502">
        <v>12568200</v>
      </c>
      <c r="F39" s="504">
        <v>1952000</v>
      </c>
      <c r="G39" s="504">
        <v>1952000</v>
      </c>
      <c r="H39" s="502"/>
      <c r="I39" s="502">
        <f t="shared" si="3"/>
        <v>1952000</v>
      </c>
      <c r="J39" s="502">
        <f t="shared" si="21"/>
        <v>10616200</v>
      </c>
      <c r="K39" s="52"/>
      <c r="L39" s="53"/>
      <c r="M39" s="498"/>
      <c r="N39" s="52"/>
      <c r="O39" s="462">
        <f>67238300+500000</f>
        <v>67738300</v>
      </c>
      <c r="P39" s="495"/>
      <c r="Q39" s="462">
        <f t="shared" si="6"/>
        <v>67738300</v>
      </c>
      <c r="R39" s="462">
        <v>41311510.689999998</v>
      </c>
      <c r="S39" s="462"/>
      <c r="T39" s="462">
        <f t="shared" si="7"/>
        <v>26426789.310000002</v>
      </c>
      <c r="U39" s="462">
        <f>SUM(U40:U44)</f>
        <v>78410500</v>
      </c>
      <c r="V39" s="462">
        <f t="shared" ref="V39:AF39" si="33">SUM(V40:V44)</f>
        <v>0</v>
      </c>
      <c r="W39" s="462">
        <f t="shared" si="33"/>
        <v>0</v>
      </c>
      <c r="X39" s="462">
        <f t="shared" si="33"/>
        <v>0</v>
      </c>
      <c r="Y39" s="462">
        <f t="shared" si="33"/>
        <v>0</v>
      </c>
      <c r="Z39" s="462">
        <f t="shared" si="33"/>
        <v>0</v>
      </c>
      <c r="AA39" s="462">
        <f t="shared" si="33"/>
        <v>0</v>
      </c>
      <c r="AB39" s="462">
        <f t="shared" si="33"/>
        <v>0</v>
      </c>
      <c r="AC39" s="462">
        <f t="shared" si="33"/>
        <v>0</v>
      </c>
      <c r="AD39" s="462">
        <f t="shared" si="33"/>
        <v>44668000</v>
      </c>
      <c r="AE39" s="462">
        <f t="shared" si="33"/>
        <v>44668000</v>
      </c>
      <c r="AF39" s="462">
        <f t="shared" si="33"/>
        <v>0</v>
      </c>
      <c r="AG39" s="440"/>
      <c r="AH39" s="440"/>
    </row>
    <row r="40" spans="1:34" s="5" customFormat="1" x14ac:dyDescent="0.2">
      <c r="A40" s="33"/>
      <c r="B40" s="34" t="s">
        <v>194</v>
      </c>
      <c r="C40" s="59"/>
      <c r="D40" s="462">
        <f>SUM(D41:D45)</f>
        <v>21018000</v>
      </c>
      <c r="E40" s="462">
        <f>SUM(E41:E46)</f>
        <v>2407700</v>
      </c>
      <c r="F40" s="452">
        <f t="shared" ref="F40:H40" si="34">SUM(F41:F46)</f>
        <v>0</v>
      </c>
      <c r="G40" s="452">
        <f t="shared" si="34"/>
        <v>0</v>
      </c>
      <c r="H40" s="462">
        <f t="shared" si="34"/>
        <v>0</v>
      </c>
      <c r="I40" s="462">
        <f t="shared" si="3"/>
        <v>0</v>
      </c>
      <c r="J40" s="462">
        <f t="shared" si="21"/>
        <v>2407700</v>
      </c>
      <c r="K40" s="29">
        <v>1700000</v>
      </c>
      <c r="L40" s="30"/>
      <c r="M40" s="465">
        <v>1641400</v>
      </c>
      <c r="N40" s="29"/>
      <c r="O40" s="502"/>
      <c r="P40" s="503"/>
      <c r="Q40" s="502">
        <f t="shared" si="6"/>
        <v>0</v>
      </c>
      <c r="R40" s="502"/>
      <c r="S40" s="502"/>
      <c r="T40" s="502">
        <f t="shared" si="7"/>
        <v>0</v>
      </c>
      <c r="U40" s="29">
        <v>1874600</v>
      </c>
      <c r="V40" s="29"/>
      <c r="W40" s="29"/>
      <c r="X40" s="29"/>
      <c r="Y40" s="29"/>
      <c r="Z40" s="29"/>
      <c r="AA40" s="29"/>
      <c r="AB40" s="31"/>
      <c r="AC40" s="465"/>
      <c r="AD40" s="32">
        <v>1000000</v>
      </c>
      <c r="AE40" s="507">
        <v>1000000</v>
      </c>
      <c r="AF40" s="508"/>
      <c r="AG40" s="440"/>
      <c r="AH40" s="440"/>
    </row>
    <row r="41" spans="1:34" s="5" customFormat="1" x14ac:dyDescent="0.2">
      <c r="A41" s="56"/>
      <c r="B41" s="36"/>
      <c r="C41" s="58" t="s">
        <v>52</v>
      </c>
      <c r="D41" s="502">
        <v>0</v>
      </c>
      <c r="E41" s="502">
        <v>1727200</v>
      </c>
      <c r="F41" s="504">
        <v>0</v>
      </c>
      <c r="G41" s="504">
        <v>0</v>
      </c>
      <c r="H41" s="502"/>
      <c r="I41" s="502">
        <f t="shared" si="3"/>
        <v>0</v>
      </c>
      <c r="J41" s="502">
        <f t="shared" si="21"/>
        <v>1727200</v>
      </c>
      <c r="K41" s="29">
        <v>500000</v>
      </c>
      <c r="L41" s="30"/>
      <c r="M41" s="465">
        <v>629000</v>
      </c>
      <c r="N41" s="29"/>
      <c r="O41" s="502"/>
      <c r="P41" s="503"/>
      <c r="Q41" s="502">
        <f t="shared" si="6"/>
        <v>0</v>
      </c>
      <c r="R41" s="502"/>
      <c r="S41" s="502"/>
      <c r="T41" s="502">
        <f t="shared" si="7"/>
        <v>0</v>
      </c>
      <c r="U41" s="29">
        <v>543300</v>
      </c>
      <c r="V41" s="29"/>
      <c r="W41" s="29"/>
      <c r="X41" s="29"/>
      <c r="Y41" s="29"/>
      <c r="Z41" s="29"/>
      <c r="AA41" s="29"/>
      <c r="AB41" s="31"/>
      <c r="AC41" s="465"/>
      <c r="AD41" s="32">
        <v>270000</v>
      </c>
      <c r="AE41" s="507">
        <v>270000</v>
      </c>
      <c r="AF41" s="508"/>
      <c r="AG41" s="440"/>
      <c r="AH41" s="440"/>
    </row>
    <row r="42" spans="1:34" s="5" customFormat="1" x14ac:dyDescent="0.2">
      <c r="A42" s="56"/>
      <c r="B42" s="36"/>
      <c r="C42" s="58" t="s">
        <v>279</v>
      </c>
      <c r="D42" s="502">
        <v>0</v>
      </c>
      <c r="E42" s="509">
        <v>0</v>
      </c>
      <c r="F42" s="510">
        <v>0</v>
      </c>
      <c r="G42" s="510">
        <v>0</v>
      </c>
      <c r="H42" s="509"/>
      <c r="I42" s="509">
        <f t="shared" si="3"/>
        <v>0</v>
      </c>
      <c r="J42" s="509">
        <f t="shared" si="21"/>
        <v>0</v>
      </c>
      <c r="K42" s="29">
        <v>1700000</v>
      </c>
      <c r="L42" s="30"/>
      <c r="M42" s="465">
        <v>366800</v>
      </c>
      <c r="N42" s="29"/>
      <c r="O42" s="502"/>
      <c r="P42" s="503"/>
      <c r="Q42" s="502">
        <f t="shared" si="6"/>
        <v>0</v>
      </c>
      <c r="R42" s="502"/>
      <c r="S42" s="502"/>
      <c r="T42" s="502">
        <f t="shared" si="7"/>
        <v>0</v>
      </c>
      <c r="U42" s="100">
        <v>920100</v>
      </c>
      <c r="V42" s="29"/>
      <c r="W42" s="29"/>
      <c r="X42" s="29"/>
      <c r="Y42" s="29"/>
      <c r="Z42" s="29"/>
      <c r="AA42" s="29"/>
      <c r="AB42" s="31"/>
      <c r="AC42" s="465"/>
      <c r="AD42" s="32">
        <v>270000</v>
      </c>
      <c r="AE42" s="507">
        <v>270000</v>
      </c>
      <c r="AF42" s="508"/>
      <c r="AG42" s="440"/>
      <c r="AH42" s="440"/>
    </row>
    <row r="43" spans="1:34" s="5" customFormat="1" x14ac:dyDescent="0.2">
      <c r="A43" s="56"/>
      <c r="B43" s="36"/>
      <c r="C43" s="58" t="s">
        <v>277</v>
      </c>
      <c r="D43" s="502">
        <v>0</v>
      </c>
      <c r="E43" s="509">
        <v>0</v>
      </c>
      <c r="F43" s="510">
        <v>0</v>
      </c>
      <c r="G43" s="510">
        <v>0</v>
      </c>
      <c r="H43" s="509"/>
      <c r="I43" s="509">
        <f t="shared" si="3"/>
        <v>0</v>
      </c>
      <c r="J43" s="509">
        <f t="shared" si="21"/>
        <v>0</v>
      </c>
      <c r="K43" s="29">
        <v>330000</v>
      </c>
      <c r="L43" s="30"/>
      <c r="M43" s="465">
        <v>2534500</v>
      </c>
      <c r="N43" s="29"/>
      <c r="O43" s="502"/>
      <c r="P43" s="503"/>
      <c r="Q43" s="502">
        <f t="shared" si="6"/>
        <v>0</v>
      </c>
      <c r="R43" s="502"/>
      <c r="S43" s="502"/>
      <c r="T43" s="502">
        <f t="shared" si="7"/>
        <v>0</v>
      </c>
      <c r="U43" s="29">
        <v>2459500</v>
      </c>
      <c r="V43" s="29"/>
      <c r="W43" s="29"/>
      <c r="X43" s="29"/>
      <c r="Y43" s="29"/>
      <c r="Z43" s="29"/>
      <c r="AA43" s="29"/>
      <c r="AB43" s="31"/>
      <c r="AC43" s="465"/>
      <c r="AD43" s="32">
        <v>400000</v>
      </c>
      <c r="AE43" s="507">
        <v>400000</v>
      </c>
      <c r="AF43" s="508"/>
      <c r="AG43" s="440"/>
      <c r="AH43" s="440"/>
    </row>
    <row r="44" spans="1:34" s="5" customFormat="1" ht="24" customHeight="1" x14ac:dyDescent="0.2">
      <c r="A44" s="56"/>
      <c r="B44" s="36"/>
      <c r="C44" s="58" t="s">
        <v>62</v>
      </c>
      <c r="D44" s="505">
        <v>0</v>
      </c>
      <c r="E44" s="511">
        <v>680500</v>
      </c>
      <c r="F44" s="512">
        <v>0</v>
      </c>
      <c r="G44" s="512">
        <v>0</v>
      </c>
      <c r="H44" s="511"/>
      <c r="I44" s="511">
        <f t="shared" si="3"/>
        <v>0</v>
      </c>
      <c r="J44" s="511">
        <f t="shared" si="21"/>
        <v>680500</v>
      </c>
      <c r="K44" s="100">
        <v>64679600</v>
      </c>
      <c r="L44" s="114"/>
      <c r="M44" s="513">
        <v>77650000</v>
      </c>
      <c r="N44" s="100"/>
      <c r="O44" s="505"/>
      <c r="P44" s="514"/>
      <c r="Q44" s="505">
        <f t="shared" si="6"/>
        <v>0</v>
      </c>
      <c r="R44" s="505"/>
      <c r="S44" s="505"/>
      <c r="T44" s="505">
        <f t="shared" si="7"/>
        <v>0</v>
      </c>
      <c r="U44" s="100">
        <v>72613000</v>
      </c>
      <c r="V44" s="100"/>
      <c r="W44" s="100"/>
      <c r="X44" s="100"/>
      <c r="Y44" s="100"/>
      <c r="Z44" s="100"/>
      <c r="AA44" s="100"/>
      <c r="AB44" s="31"/>
      <c r="AC44" s="513"/>
      <c r="AD44" s="32">
        <v>42728000</v>
      </c>
      <c r="AE44" s="507">
        <v>42728000</v>
      </c>
      <c r="AF44" s="508"/>
      <c r="AG44" s="515"/>
      <c r="AH44" s="515"/>
    </row>
    <row r="45" spans="1:34" s="5" customFormat="1" x14ac:dyDescent="0.2">
      <c r="A45" s="56"/>
      <c r="B45" s="36"/>
      <c r="C45" s="58" t="s">
        <v>67</v>
      </c>
      <c r="D45" s="502">
        <v>21018000</v>
      </c>
      <c r="E45" s="511"/>
      <c r="F45" s="506">
        <v>0</v>
      </c>
      <c r="G45" s="506">
        <v>0</v>
      </c>
      <c r="H45" s="511"/>
      <c r="I45" s="511">
        <f t="shared" si="3"/>
        <v>0</v>
      </c>
      <c r="J45" s="511">
        <f t="shared" si="21"/>
        <v>0</v>
      </c>
      <c r="K45" s="29"/>
      <c r="L45" s="30"/>
      <c r="M45" s="465"/>
      <c r="N45" s="29"/>
      <c r="O45" s="502"/>
      <c r="P45" s="503"/>
      <c r="Q45" s="502">
        <f t="shared" si="6"/>
        <v>0</v>
      </c>
      <c r="R45" s="502"/>
      <c r="S45" s="502"/>
      <c r="T45" s="502">
        <f t="shared" si="7"/>
        <v>0</v>
      </c>
      <c r="U45" s="29"/>
      <c r="V45" s="29"/>
      <c r="W45" s="29"/>
      <c r="X45" s="29"/>
      <c r="Y45" s="29"/>
      <c r="Z45" s="29"/>
      <c r="AA45" s="29"/>
      <c r="AB45" s="31"/>
      <c r="AC45" s="465"/>
      <c r="AD45" s="32"/>
      <c r="AE45" s="507"/>
      <c r="AF45" s="508"/>
      <c r="AG45" s="440"/>
      <c r="AH45" s="440"/>
    </row>
    <row r="46" spans="1:34" s="5" customFormat="1" x14ac:dyDescent="0.2">
      <c r="A46" s="56"/>
      <c r="B46" s="36"/>
      <c r="C46" s="58" t="s">
        <v>286</v>
      </c>
      <c r="D46" s="502"/>
      <c r="E46" s="511">
        <v>0</v>
      </c>
      <c r="F46" s="506">
        <v>0</v>
      </c>
      <c r="G46" s="506">
        <v>0</v>
      </c>
      <c r="H46" s="511"/>
      <c r="I46" s="511">
        <f t="shared" si="3"/>
        <v>0</v>
      </c>
      <c r="J46" s="511">
        <f t="shared" si="21"/>
        <v>0</v>
      </c>
      <c r="K46" s="52">
        <v>115000000</v>
      </c>
      <c r="L46" s="53">
        <v>118057502.59</v>
      </c>
      <c r="M46" s="498">
        <v>190000000</v>
      </c>
      <c r="N46" s="52">
        <v>115000000</v>
      </c>
      <c r="O46" s="462">
        <v>115000000</v>
      </c>
      <c r="P46" s="495"/>
      <c r="Q46" s="462">
        <f t="shared" si="6"/>
        <v>115000000</v>
      </c>
      <c r="R46" s="462">
        <v>90742354.060000002</v>
      </c>
      <c r="S46" s="462"/>
      <c r="T46" s="462">
        <f t="shared" si="7"/>
        <v>24257645.939999998</v>
      </c>
      <c r="U46" s="52">
        <v>150000000</v>
      </c>
      <c r="V46" s="52">
        <f>SUM(U46*105/100)</f>
        <v>157500000</v>
      </c>
      <c r="W46" s="52">
        <f>SUM(V46*105/100)</f>
        <v>165375000</v>
      </c>
      <c r="X46" s="52">
        <v>173643800</v>
      </c>
      <c r="Y46" s="52">
        <f>SUM(X46*5)</f>
        <v>868219000</v>
      </c>
      <c r="Z46" s="52">
        <f>SUM(X46*5)</f>
        <v>868219000</v>
      </c>
      <c r="AA46" s="52">
        <f>SUM(X46*3)</f>
        <v>520931400</v>
      </c>
      <c r="AB46" s="54">
        <v>150000000</v>
      </c>
      <c r="AC46" s="494">
        <v>0</v>
      </c>
      <c r="AD46" s="55">
        <v>150000000</v>
      </c>
      <c r="AE46" s="462">
        <v>150000000</v>
      </c>
      <c r="AF46" s="496"/>
      <c r="AG46" s="440"/>
      <c r="AH46" s="440"/>
    </row>
    <row r="47" spans="1:34" s="5" customFormat="1" x14ac:dyDescent="0.2">
      <c r="A47" s="33"/>
      <c r="B47" s="34" t="s">
        <v>769</v>
      </c>
      <c r="C47" s="59"/>
      <c r="D47" s="462">
        <v>150000000</v>
      </c>
      <c r="E47" s="463">
        <v>150000000</v>
      </c>
      <c r="F47" s="464">
        <v>138058000</v>
      </c>
      <c r="G47" s="464">
        <v>138058000</v>
      </c>
      <c r="H47" s="463"/>
      <c r="I47" s="463">
        <f t="shared" si="3"/>
        <v>138058000</v>
      </c>
      <c r="J47" s="463">
        <f t="shared" si="21"/>
        <v>11942000</v>
      </c>
      <c r="K47" s="80" t="e">
        <f>SUM(#REF!)</f>
        <v>#REF!</v>
      </c>
      <c r="L47" s="99">
        <v>3795174.06</v>
      </c>
      <c r="M47" s="516" t="e">
        <f>SUM(#REF!)</f>
        <v>#REF!</v>
      </c>
      <c r="N47" s="80">
        <v>3861200</v>
      </c>
      <c r="O47" s="517">
        <v>3861200</v>
      </c>
      <c r="P47" s="518"/>
      <c r="Q47" s="517">
        <f t="shared" si="6"/>
        <v>3861200</v>
      </c>
      <c r="R47" s="517">
        <v>4273348.8099999996</v>
      </c>
      <c r="S47" s="517"/>
      <c r="T47" s="517">
        <f t="shared" si="7"/>
        <v>-412148.80999999959</v>
      </c>
      <c r="U47" s="517">
        <f>SUM(U48:U54)</f>
        <v>7815700</v>
      </c>
      <c r="V47" s="517">
        <f t="shared" ref="V47:AF47" si="35">SUM(V48:V54)</f>
        <v>0</v>
      </c>
      <c r="W47" s="517">
        <f t="shared" si="35"/>
        <v>0</v>
      </c>
      <c r="X47" s="517">
        <f t="shared" si="35"/>
        <v>0</v>
      </c>
      <c r="Y47" s="517">
        <f t="shared" si="35"/>
        <v>0</v>
      </c>
      <c r="Z47" s="517">
        <f t="shared" si="35"/>
        <v>0</v>
      </c>
      <c r="AA47" s="517">
        <f t="shared" si="35"/>
        <v>0</v>
      </c>
      <c r="AB47" s="517">
        <f t="shared" si="35"/>
        <v>0</v>
      </c>
      <c r="AC47" s="517">
        <f t="shared" si="35"/>
        <v>0</v>
      </c>
      <c r="AD47" s="517">
        <f t="shared" si="35"/>
        <v>3928200</v>
      </c>
      <c r="AE47" s="517">
        <f t="shared" si="35"/>
        <v>3928200</v>
      </c>
      <c r="AF47" s="517">
        <f t="shared" si="35"/>
        <v>0</v>
      </c>
      <c r="AG47" s="440"/>
      <c r="AH47" s="440"/>
    </row>
    <row r="48" spans="1:34" s="5" customFormat="1" x14ac:dyDescent="0.2">
      <c r="A48" s="96"/>
      <c r="B48" s="97" t="s">
        <v>770</v>
      </c>
      <c r="C48" s="98"/>
      <c r="D48" s="517">
        <f>SUM(D49:D55)</f>
        <v>3928200</v>
      </c>
      <c r="E48" s="519">
        <f>SUM(E49:E55)</f>
        <v>5644400</v>
      </c>
      <c r="F48" s="520">
        <f>SUM(F49:F55)</f>
        <v>3928200</v>
      </c>
      <c r="G48" s="520">
        <f>SUM(G49:G55)</f>
        <v>3928200</v>
      </c>
      <c r="H48" s="519">
        <f t="shared" ref="H48" si="36">SUM(H49:H55)</f>
        <v>0</v>
      </c>
      <c r="I48" s="519">
        <f t="shared" si="3"/>
        <v>3928200</v>
      </c>
      <c r="J48" s="519">
        <f t="shared" si="21"/>
        <v>1716200</v>
      </c>
      <c r="K48" s="29">
        <v>450000</v>
      </c>
      <c r="L48" s="30">
        <v>301451.57</v>
      </c>
      <c r="M48" s="465">
        <v>1136400</v>
      </c>
      <c r="N48" s="29"/>
      <c r="O48" s="502"/>
      <c r="P48" s="503"/>
      <c r="Q48" s="502">
        <f t="shared" si="6"/>
        <v>0</v>
      </c>
      <c r="R48" s="502"/>
      <c r="S48" s="502"/>
      <c r="T48" s="502">
        <f t="shared" si="7"/>
        <v>0</v>
      </c>
      <c r="U48" s="29">
        <v>1122800</v>
      </c>
      <c r="V48" s="29"/>
      <c r="W48" s="29"/>
      <c r="X48" s="29"/>
      <c r="Y48" s="29"/>
      <c r="Z48" s="29"/>
      <c r="AA48" s="29"/>
      <c r="AB48" s="31"/>
      <c r="AC48" s="465"/>
      <c r="AD48" s="32">
        <v>450000</v>
      </c>
      <c r="AE48" s="466">
        <v>450000</v>
      </c>
      <c r="AF48" s="468"/>
      <c r="AG48" s="440"/>
      <c r="AH48" s="440"/>
    </row>
    <row r="49" spans="1:34" s="5" customFormat="1" x14ac:dyDescent="0.2">
      <c r="A49" s="56"/>
      <c r="B49" s="36"/>
      <c r="C49" s="58" t="s">
        <v>68</v>
      </c>
      <c r="D49" s="502">
        <v>450000</v>
      </c>
      <c r="E49" s="521">
        <v>1523000</v>
      </c>
      <c r="F49" s="504">
        <v>513500</v>
      </c>
      <c r="G49" s="504">
        <v>513500</v>
      </c>
      <c r="H49" s="521"/>
      <c r="I49" s="521">
        <f t="shared" si="3"/>
        <v>513500</v>
      </c>
      <c r="J49" s="521">
        <f t="shared" si="21"/>
        <v>1009500</v>
      </c>
      <c r="K49" s="29">
        <v>1111200</v>
      </c>
      <c r="L49" s="30">
        <v>500512</v>
      </c>
      <c r="M49" s="465">
        <v>1353800</v>
      </c>
      <c r="N49" s="29"/>
      <c r="O49" s="502"/>
      <c r="P49" s="503"/>
      <c r="Q49" s="502">
        <f t="shared" si="6"/>
        <v>0</v>
      </c>
      <c r="R49" s="502"/>
      <c r="S49" s="502"/>
      <c r="T49" s="502">
        <f t="shared" si="7"/>
        <v>0</v>
      </c>
      <c r="U49" s="29">
        <v>1155000</v>
      </c>
      <c r="V49" s="29"/>
      <c r="W49" s="29"/>
      <c r="X49" s="29"/>
      <c r="Y49" s="29"/>
      <c r="Z49" s="29"/>
      <c r="AA49" s="29"/>
      <c r="AB49" s="31"/>
      <c r="AC49" s="465"/>
      <c r="AD49" s="32">
        <v>1000000</v>
      </c>
      <c r="AE49" s="466">
        <v>1000000</v>
      </c>
      <c r="AF49" s="468"/>
      <c r="AG49" s="440"/>
      <c r="AH49" s="440"/>
    </row>
    <row r="50" spans="1:34" s="5" customFormat="1" x14ac:dyDescent="0.2">
      <c r="A50" s="56"/>
      <c r="B50" s="36"/>
      <c r="C50" s="58" t="s">
        <v>285</v>
      </c>
      <c r="D50" s="502">
        <v>1000000</v>
      </c>
      <c r="E50" s="511">
        <v>1000000</v>
      </c>
      <c r="F50" s="506">
        <v>330000</v>
      </c>
      <c r="G50" s="506">
        <v>330000</v>
      </c>
      <c r="H50" s="511"/>
      <c r="I50" s="511">
        <f t="shared" si="3"/>
        <v>330000</v>
      </c>
      <c r="J50" s="511">
        <f t="shared" si="21"/>
        <v>670000</v>
      </c>
      <c r="K50" s="29">
        <v>180000</v>
      </c>
      <c r="L50" s="30">
        <v>165000</v>
      </c>
      <c r="M50" s="465">
        <v>390000</v>
      </c>
      <c r="N50" s="29"/>
      <c r="O50" s="502"/>
      <c r="P50" s="503"/>
      <c r="Q50" s="502">
        <f t="shared" si="6"/>
        <v>0</v>
      </c>
      <c r="R50" s="502"/>
      <c r="S50" s="502"/>
      <c r="T50" s="502">
        <f t="shared" si="7"/>
        <v>0</v>
      </c>
      <c r="U50" s="29">
        <v>390000</v>
      </c>
      <c r="V50" s="29"/>
      <c r="W50" s="29"/>
      <c r="X50" s="29"/>
      <c r="Y50" s="29"/>
      <c r="Z50" s="29"/>
      <c r="AA50" s="29"/>
      <c r="AB50" s="31"/>
      <c r="AC50" s="465"/>
      <c r="AD50" s="32">
        <v>170000</v>
      </c>
      <c r="AE50" s="466">
        <v>170000</v>
      </c>
      <c r="AF50" s="468"/>
      <c r="AG50" s="440"/>
      <c r="AH50" s="440"/>
    </row>
    <row r="51" spans="1:34" s="5" customFormat="1" x14ac:dyDescent="0.2">
      <c r="A51" s="56"/>
      <c r="B51" s="36"/>
      <c r="C51" s="58" t="s">
        <v>49</v>
      </c>
      <c r="D51" s="502">
        <v>170000</v>
      </c>
      <c r="E51" s="521">
        <v>384000</v>
      </c>
      <c r="F51" s="504">
        <v>223000</v>
      </c>
      <c r="G51" s="504">
        <v>223000</v>
      </c>
      <c r="H51" s="521"/>
      <c r="I51" s="521">
        <f t="shared" si="3"/>
        <v>223000</v>
      </c>
      <c r="J51" s="521">
        <f t="shared" si="21"/>
        <v>161000</v>
      </c>
      <c r="K51" s="29">
        <v>290000</v>
      </c>
      <c r="L51" s="30">
        <v>222674.29</v>
      </c>
      <c r="M51" s="465">
        <v>1910000</v>
      </c>
      <c r="N51" s="29"/>
      <c r="O51" s="502"/>
      <c r="P51" s="503"/>
      <c r="Q51" s="502">
        <f t="shared" si="6"/>
        <v>0</v>
      </c>
      <c r="R51" s="502"/>
      <c r="S51" s="502"/>
      <c r="T51" s="502">
        <f t="shared" si="7"/>
        <v>0</v>
      </c>
      <c r="U51" s="29">
        <v>560000</v>
      </c>
      <c r="V51" s="29"/>
      <c r="W51" s="29"/>
      <c r="X51" s="29"/>
      <c r="Y51" s="29"/>
      <c r="Z51" s="29"/>
      <c r="AA51" s="29"/>
      <c r="AB51" s="31"/>
      <c r="AC51" s="465"/>
      <c r="AD51" s="32">
        <v>300000</v>
      </c>
      <c r="AE51" s="466">
        <v>300000</v>
      </c>
      <c r="AF51" s="468"/>
      <c r="AG51" s="440"/>
      <c r="AH51" s="440"/>
    </row>
    <row r="52" spans="1:34" s="5" customFormat="1" x14ac:dyDescent="0.2">
      <c r="A52" s="56"/>
      <c r="B52" s="36"/>
      <c r="C52" s="58" t="s">
        <v>52</v>
      </c>
      <c r="D52" s="502">
        <v>300000</v>
      </c>
      <c r="E52" s="521">
        <v>480000</v>
      </c>
      <c r="F52" s="504">
        <v>272500</v>
      </c>
      <c r="G52" s="504">
        <v>272500</v>
      </c>
      <c r="H52" s="521"/>
      <c r="I52" s="521">
        <f t="shared" si="3"/>
        <v>272500</v>
      </c>
      <c r="J52" s="521">
        <f t="shared" si="21"/>
        <v>207500</v>
      </c>
      <c r="K52" s="29">
        <v>230000</v>
      </c>
      <c r="L52" s="30">
        <v>209268</v>
      </c>
      <c r="M52" s="465">
        <v>340000</v>
      </c>
      <c r="N52" s="29"/>
      <c r="O52" s="502"/>
      <c r="P52" s="503"/>
      <c r="Q52" s="502">
        <f t="shared" si="6"/>
        <v>0</v>
      </c>
      <c r="R52" s="502"/>
      <c r="S52" s="502"/>
      <c r="T52" s="502">
        <f t="shared" si="7"/>
        <v>0</v>
      </c>
      <c r="U52" s="29">
        <v>400000</v>
      </c>
      <c r="V52" s="29"/>
      <c r="W52" s="29"/>
      <c r="X52" s="29"/>
      <c r="Y52" s="29"/>
      <c r="Z52" s="29"/>
      <c r="AA52" s="29"/>
      <c r="AB52" s="31"/>
      <c r="AC52" s="465"/>
      <c r="AD52" s="32">
        <v>230000</v>
      </c>
      <c r="AE52" s="466">
        <v>230000</v>
      </c>
      <c r="AF52" s="468"/>
      <c r="AG52" s="440"/>
      <c r="AH52" s="440"/>
    </row>
    <row r="53" spans="1:34" s="5" customFormat="1" x14ac:dyDescent="0.2">
      <c r="A53" s="56"/>
      <c r="B53" s="36"/>
      <c r="C53" s="58" t="s">
        <v>69</v>
      </c>
      <c r="D53" s="502">
        <v>230000</v>
      </c>
      <c r="E53" s="521">
        <v>300000</v>
      </c>
      <c r="F53" s="504">
        <v>240000</v>
      </c>
      <c r="G53" s="504">
        <v>240000</v>
      </c>
      <c r="H53" s="521"/>
      <c r="I53" s="521">
        <f t="shared" si="3"/>
        <v>240000</v>
      </c>
      <c r="J53" s="521">
        <f t="shared" si="21"/>
        <v>60000</v>
      </c>
      <c r="K53" s="29">
        <v>100000</v>
      </c>
      <c r="L53" s="30">
        <v>0</v>
      </c>
      <c r="M53" s="465">
        <v>2230500</v>
      </c>
      <c r="N53" s="29"/>
      <c r="O53" s="502"/>
      <c r="P53" s="503"/>
      <c r="Q53" s="502">
        <f t="shared" si="6"/>
        <v>0</v>
      </c>
      <c r="R53" s="502"/>
      <c r="S53" s="502"/>
      <c r="T53" s="502">
        <f t="shared" si="7"/>
        <v>0</v>
      </c>
      <c r="U53" s="29">
        <v>2230500</v>
      </c>
      <c r="V53" s="29"/>
      <c r="W53" s="29"/>
      <c r="X53" s="29"/>
      <c r="Y53" s="29"/>
      <c r="Z53" s="29"/>
      <c r="AA53" s="29"/>
      <c r="AB53" s="31"/>
      <c r="AC53" s="465"/>
      <c r="AD53" s="32">
        <v>178200</v>
      </c>
      <c r="AE53" s="466">
        <v>178200</v>
      </c>
      <c r="AF53" s="468"/>
      <c r="AG53" s="440"/>
      <c r="AH53" s="440"/>
    </row>
    <row r="54" spans="1:34" s="5" customFormat="1" x14ac:dyDescent="0.2">
      <c r="A54" s="56"/>
      <c r="B54" s="36"/>
      <c r="C54" s="58" t="s">
        <v>221</v>
      </c>
      <c r="D54" s="502">
        <v>178200</v>
      </c>
      <c r="E54" s="522">
        <v>0</v>
      </c>
      <c r="F54" s="523">
        <v>0</v>
      </c>
      <c r="G54" s="523">
        <v>0</v>
      </c>
      <c r="H54" s="522"/>
      <c r="I54" s="522">
        <f t="shared" si="3"/>
        <v>0</v>
      </c>
      <c r="J54" s="522">
        <f t="shared" si="21"/>
        <v>0</v>
      </c>
      <c r="K54" s="29">
        <v>1500000</v>
      </c>
      <c r="L54" s="30">
        <v>1528427.99</v>
      </c>
      <c r="M54" s="465">
        <v>2048300</v>
      </c>
      <c r="N54" s="29"/>
      <c r="O54" s="502"/>
      <c r="P54" s="503"/>
      <c r="Q54" s="502">
        <f t="shared" si="6"/>
        <v>0</v>
      </c>
      <c r="R54" s="502"/>
      <c r="S54" s="502"/>
      <c r="T54" s="502">
        <f t="shared" si="7"/>
        <v>0</v>
      </c>
      <c r="U54" s="29">
        <v>1957400</v>
      </c>
      <c r="V54" s="29"/>
      <c r="W54" s="29"/>
      <c r="X54" s="29"/>
      <c r="Y54" s="29"/>
      <c r="Z54" s="29"/>
      <c r="AA54" s="29"/>
      <c r="AB54" s="31"/>
      <c r="AC54" s="465"/>
      <c r="AD54" s="32">
        <v>1600000</v>
      </c>
      <c r="AE54" s="466">
        <v>1600000</v>
      </c>
      <c r="AF54" s="468"/>
      <c r="AG54" s="440"/>
      <c r="AH54" s="440"/>
    </row>
    <row r="55" spans="1:34" s="5" customFormat="1" x14ac:dyDescent="0.2">
      <c r="A55" s="56"/>
      <c r="B55" s="36"/>
      <c r="C55" s="58" t="s">
        <v>70</v>
      </c>
      <c r="D55" s="502">
        <v>1600000</v>
      </c>
      <c r="E55" s="521">
        <v>1957400</v>
      </c>
      <c r="F55" s="504">
        <v>2349200</v>
      </c>
      <c r="G55" s="504">
        <v>2349200</v>
      </c>
      <c r="H55" s="521"/>
      <c r="I55" s="521">
        <f t="shared" si="3"/>
        <v>2349200</v>
      </c>
      <c r="J55" s="521">
        <f t="shared" si="21"/>
        <v>-391800</v>
      </c>
      <c r="K55" s="52">
        <v>12000000</v>
      </c>
      <c r="L55" s="53">
        <v>12124532.380000001</v>
      </c>
      <c r="M55" s="494">
        <v>14400000</v>
      </c>
      <c r="N55" s="52">
        <v>12000000</v>
      </c>
      <c r="O55" s="501">
        <v>12000000</v>
      </c>
      <c r="P55" s="524"/>
      <c r="Q55" s="501">
        <f t="shared" si="6"/>
        <v>12000000</v>
      </c>
      <c r="R55" s="501">
        <v>173885757.25</v>
      </c>
      <c r="S55" s="501"/>
      <c r="T55" s="501">
        <f t="shared" si="7"/>
        <v>-161885757.25</v>
      </c>
      <c r="U55" s="52">
        <v>14400000</v>
      </c>
      <c r="V55" s="52">
        <f>SUM(U55*105/100)</f>
        <v>15120000</v>
      </c>
      <c r="W55" s="52">
        <f t="shared" ref="W55:X56" si="37">SUM(V55*105/100)</f>
        <v>15876000</v>
      </c>
      <c r="X55" s="52">
        <f t="shared" si="37"/>
        <v>16669800</v>
      </c>
      <c r="Y55" s="52">
        <f>SUM(X55*5)</f>
        <v>83349000</v>
      </c>
      <c r="Z55" s="52">
        <f>SUM(X55*5)</f>
        <v>83349000</v>
      </c>
      <c r="AA55" s="52">
        <f>SUM(X55*3)</f>
        <v>50009400</v>
      </c>
      <c r="AB55" s="54">
        <v>12000000</v>
      </c>
      <c r="AC55" s="494">
        <v>0</v>
      </c>
      <c r="AD55" s="55">
        <v>12000000</v>
      </c>
      <c r="AE55" s="462">
        <v>12000000</v>
      </c>
      <c r="AF55" s="496"/>
      <c r="AG55" s="440"/>
      <c r="AH55" s="440"/>
    </row>
    <row r="56" spans="1:34" s="5" customFormat="1" x14ac:dyDescent="0.2">
      <c r="A56" s="33"/>
      <c r="B56" s="34" t="s">
        <v>771</v>
      </c>
      <c r="C56" s="103"/>
      <c r="D56" s="501">
        <v>12000000</v>
      </c>
      <c r="E56" s="525">
        <v>12000000</v>
      </c>
      <c r="F56" s="526">
        <v>12000000</v>
      </c>
      <c r="G56" s="526">
        <v>12000000</v>
      </c>
      <c r="H56" s="527"/>
      <c r="I56" s="527">
        <f t="shared" si="3"/>
        <v>12000000</v>
      </c>
      <c r="J56" s="527">
        <f t="shared" si="21"/>
        <v>0</v>
      </c>
      <c r="K56" s="52">
        <v>30000000</v>
      </c>
      <c r="L56" s="53">
        <v>16757415.699999999</v>
      </c>
      <c r="M56" s="494">
        <v>36000000</v>
      </c>
      <c r="N56" s="52">
        <v>30000000</v>
      </c>
      <c r="O56" s="501">
        <v>30000000</v>
      </c>
      <c r="P56" s="524"/>
      <c r="Q56" s="501">
        <f t="shared" si="6"/>
        <v>30000000</v>
      </c>
      <c r="R56" s="501">
        <v>16604077.300000001</v>
      </c>
      <c r="S56" s="501"/>
      <c r="T56" s="501">
        <f t="shared" si="7"/>
        <v>13395922.699999999</v>
      </c>
      <c r="U56" s="52">
        <v>36000000</v>
      </c>
      <c r="V56" s="52">
        <f>SUM(U56*105/100)</f>
        <v>37800000</v>
      </c>
      <c r="W56" s="52">
        <f t="shared" si="37"/>
        <v>39690000</v>
      </c>
      <c r="X56" s="52">
        <f t="shared" si="37"/>
        <v>41674500</v>
      </c>
      <c r="Y56" s="52">
        <f>SUM(X56*5)</f>
        <v>208372500</v>
      </c>
      <c r="Z56" s="52">
        <f>SUM(X56*5)</f>
        <v>208372500</v>
      </c>
      <c r="AA56" s="52">
        <f>SUM(X56*3)</f>
        <v>125023500</v>
      </c>
      <c r="AB56" s="54">
        <v>30000000</v>
      </c>
      <c r="AC56" s="494">
        <v>0</v>
      </c>
      <c r="AD56" s="55">
        <v>30000000</v>
      </c>
      <c r="AE56" s="462">
        <v>30000000</v>
      </c>
      <c r="AF56" s="496"/>
      <c r="AG56" s="440"/>
      <c r="AH56" s="440"/>
    </row>
    <row r="57" spans="1:34" s="5" customFormat="1" x14ac:dyDescent="0.2">
      <c r="A57" s="96"/>
      <c r="B57" s="97" t="s">
        <v>772</v>
      </c>
      <c r="C57" s="98"/>
      <c r="D57" s="517">
        <v>30000000</v>
      </c>
      <c r="E57" s="519">
        <v>30000000</v>
      </c>
      <c r="F57" s="520">
        <v>10000000</v>
      </c>
      <c r="G57" s="520">
        <v>10000000</v>
      </c>
      <c r="H57" s="528"/>
      <c r="I57" s="528">
        <f t="shared" si="3"/>
        <v>10000000</v>
      </c>
      <c r="J57" s="528">
        <f t="shared" si="21"/>
        <v>20000000</v>
      </c>
      <c r="K57" s="52">
        <f>SUM(K58:K59)</f>
        <v>3138000</v>
      </c>
      <c r="L57" s="53">
        <v>1784981.46</v>
      </c>
      <c r="M57" s="494">
        <f>SUM(M58:M59)</f>
        <v>11704200</v>
      </c>
      <c r="N57" s="52">
        <v>4138000</v>
      </c>
      <c r="O57" s="501">
        <v>4138000</v>
      </c>
      <c r="P57" s="524"/>
      <c r="Q57" s="501">
        <f t="shared" si="6"/>
        <v>4138000</v>
      </c>
      <c r="R57" s="501">
        <v>1621981.73</v>
      </c>
      <c r="S57" s="501"/>
      <c r="T57" s="501">
        <f t="shared" si="7"/>
        <v>2516018.27</v>
      </c>
      <c r="U57" s="501">
        <f>SUM(U58:U59)</f>
        <v>5200000</v>
      </c>
      <c r="V57" s="501">
        <f t="shared" ref="V57:AF57" si="38">SUM(V58:V59)</f>
        <v>0</v>
      </c>
      <c r="W57" s="501">
        <f t="shared" si="38"/>
        <v>0</v>
      </c>
      <c r="X57" s="501">
        <f t="shared" si="38"/>
        <v>0</v>
      </c>
      <c r="Y57" s="501">
        <f t="shared" si="38"/>
        <v>0</v>
      </c>
      <c r="Z57" s="501">
        <f t="shared" si="38"/>
        <v>0</v>
      </c>
      <c r="AA57" s="501">
        <f t="shared" si="38"/>
        <v>0</v>
      </c>
      <c r="AB57" s="501">
        <f t="shared" si="38"/>
        <v>0</v>
      </c>
      <c r="AC57" s="501">
        <f t="shared" si="38"/>
        <v>0</v>
      </c>
      <c r="AD57" s="501">
        <f t="shared" si="38"/>
        <v>3082700</v>
      </c>
      <c r="AE57" s="501">
        <f t="shared" si="38"/>
        <v>3082700</v>
      </c>
      <c r="AF57" s="501">
        <f t="shared" si="38"/>
        <v>0</v>
      </c>
      <c r="AG57" s="440"/>
      <c r="AH57" s="440"/>
    </row>
    <row r="58" spans="1:34" s="5" customFormat="1" x14ac:dyDescent="0.2">
      <c r="A58" s="96"/>
      <c r="B58" s="97" t="s">
        <v>773</v>
      </c>
      <c r="C58" s="98"/>
      <c r="D58" s="517">
        <f>SUM(D59:D60)</f>
        <v>3082700</v>
      </c>
      <c r="E58" s="519">
        <f>SUM(E59:E61)</f>
        <v>5802000</v>
      </c>
      <c r="F58" s="520">
        <f>SUM(F59:F61)</f>
        <v>1943800</v>
      </c>
      <c r="G58" s="520">
        <f>SUM(G59:G61)</f>
        <v>1943800</v>
      </c>
      <c r="H58" s="519">
        <f t="shared" ref="H58" si="39">SUM(H59:H61)</f>
        <v>0</v>
      </c>
      <c r="I58" s="519">
        <f t="shared" si="3"/>
        <v>1943800</v>
      </c>
      <c r="J58" s="519">
        <f t="shared" si="21"/>
        <v>3858200</v>
      </c>
      <c r="K58" s="29">
        <v>3138000</v>
      </c>
      <c r="L58" s="30">
        <v>113225.8</v>
      </c>
      <c r="M58" s="465">
        <v>1345200</v>
      </c>
      <c r="N58" s="29"/>
      <c r="O58" s="502"/>
      <c r="P58" s="503"/>
      <c r="Q58" s="502">
        <f t="shared" si="6"/>
        <v>0</v>
      </c>
      <c r="R58" s="502"/>
      <c r="S58" s="502"/>
      <c r="T58" s="502">
        <f t="shared" si="7"/>
        <v>0</v>
      </c>
      <c r="U58" s="29">
        <v>3500000</v>
      </c>
      <c r="V58" s="29"/>
      <c r="W58" s="29"/>
      <c r="X58" s="29"/>
      <c r="Y58" s="29"/>
      <c r="Z58" s="29"/>
      <c r="AA58" s="29"/>
      <c r="AB58" s="31"/>
      <c r="AC58" s="465"/>
      <c r="AD58" s="32">
        <v>1582700</v>
      </c>
      <c r="AE58" s="466">
        <v>1582700</v>
      </c>
      <c r="AF58" s="468"/>
      <c r="AG58" s="440"/>
      <c r="AH58" s="440"/>
    </row>
    <row r="59" spans="1:34" s="5" customFormat="1" x14ac:dyDescent="0.2">
      <c r="A59" s="56"/>
      <c r="B59" s="36"/>
      <c r="C59" s="58" t="s">
        <v>54</v>
      </c>
      <c r="D59" s="502">
        <v>1582700</v>
      </c>
      <c r="E59" s="521">
        <v>4330000</v>
      </c>
      <c r="F59" s="504">
        <v>1532800</v>
      </c>
      <c r="G59" s="504">
        <v>1532800</v>
      </c>
      <c r="H59" s="521"/>
      <c r="I59" s="521">
        <f t="shared" si="3"/>
        <v>1532800</v>
      </c>
      <c r="J59" s="521">
        <f t="shared" si="21"/>
        <v>2797200</v>
      </c>
      <c r="K59" s="69">
        <v>0</v>
      </c>
      <c r="L59" s="70"/>
      <c r="M59" s="465">
        <v>10359000</v>
      </c>
      <c r="N59" s="29"/>
      <c r="O59" s="502"/>
      <c r="P59" s="503"/>
      <c r="Q59" s="502">
        <f t="shared" si="6"/>
        <v>0</v>
      </c>
      <c r="R59" s="502"/>
      <c r="S59" s="502"/>
      <c r="T59" s="502">
        <f t="shared" si="7"/>
        <v>0</v>
      </c>
      <c r="U59" s="29">
        <v>1700000</v>
      </c>
      <c r="V59" s="29"/>
      <c r="W59" s="29"/>
      <c r="X59" s="29"/>
      <c r="Y59" s="29"/>
      <c r="Z59" s="29"/>
      <c r="AA59" s="29"/>
      <c r="AB59" s="31"/>
      <c r="AC59" s="465"/>
      <c r="AD59" s="32">
        <v>1500000</v>
      </c>
      <c r="AE59" s="466">
        <v>1500000</v>
      </c>
      <c r="AF59" s="468"/>
      <c r="AG59" s="440"/>
      <c r="AH59" s="440"/>
    </row>
    <row r="60" spans="1:34" s="5" customFormat="1" x14ac:dyDescent="0.2">
      <c r="A60" s="56"/>
      <c r="B60" s="36"/>
      <c r="C60" s="58" t="s">
        <v>52</v>
      </c>
      <c r="D60" s="502">
        <v>1500000</v>
      </c>
      <c r="E60" s="521">
        <v>470000</v>
      </c>
      <c r="F60" s="504">
        <v>211000</v>
      </c>
      <c r="G60" s="504">
        <v>211000</v>
      </c>
      <c r="H60" s="521"/>
      <c r="I60" s="521">
        <f t="shared" si="3"/>
        <v>211000</v>
      </c>
      <c r="J60" s="521">
        <f t="shared" si="21"/>
        <v>259000</v>
      </c>
      <c r="K60" s="69"/>
      <c r="L60" s="70"/>
      <c r="M60" s="465"/>
      <c r="N60" s="29"/>
      <c r="O60" s="502"/>
      <c r="P60" s="503"/>
      <c r="Q60" s="502">
        <f t="shared" si="6"/>
        <v>0</v>
      </c>
      <c r="R60" s="502"/>
      <c r="S60" s="502"/>
      <c r="T60" s="502"/>
      <c r="U60" s="29"/>
      <c r="V60" s="29"/>
      <c r="W60" s="29"/>
      <c r="X60" s="29"/>
      <c r="Y60" s="29"/>
      <c r="Z60" s="29"/>
      <c r="AA60" s="29"/>
      <c r="AB60" s="31"/>
      <c r="AC60" s="465"/>
      <c r="AD60" s="189"/>
      <c r="AE60" s="502"/>
      <c r="AF60" s="465"/>
      <c r="AG60" s="440"/>
      <c r="AH60" s="440"/>
    </row>
    <row r="61" spans="1:34" s="5" customFormat="1" x14ac:dyDescent="0.2">
      <c r="A61" s="56"/>
      <c r="B61" s="36"/>
      <c r="C61" s="58" t="s">
        <v>66</v>
      </c>
      <c r="D61" s="502"/>
      <c r="E61" s="521">
        <v>1002000</v>
      </c>
      <c r="F61" s="504">
        <v>200000</v>
      </c>
      <c r="G61" s="504">
        <v>200000</v>
      </c>
      <c r="H61" s="521"/>
      <c r="I61" s="521">
        <f t="shared" si="3"/>
        <v>200000</v>
      </c>
      <c r="J61" s="521">
        <f t="shared" si="21"/>
        <v>802000</v>
      </c>
      <c r="K61" s="67">
        <f>SUM(K62:K64)</f>
        <v>45249800</v>
      </c>
      <c r="L61" s="68">
        <v>54653575.00999999</v>
      </c>
      <c r="M61" s="498">
        <f>SUM(M62:M64)</f>
        <v>65562000</v>
      </c>
      <c r="N61" s="67">
        <v>50000000</v>
      </c>
      <c r="O61" s="529">
        <v>48000000</v>
      </c>
      <c r="P61" s="530">
        <v>3000000</v>
      </c>
      <c r="Q61" s="529">
        <f t="shared" si="6"/>
        <v>45000000</v>
      </c>
      <c r="R61" s="529">
        <v>29247025.199999999</v>
      </c>
      <c r="S61" s="529"/>
      <c r="T61" s="529">
        <f t="shared" si="7"/>
        <v>15752974.800000001</v>
      </c>
      <c r="U61" s="529">
        <f>SUM(U62:U64)</f>
        <v>65942000</v>
      </c>
      <c r="V61" s="529">
        <f t="shared" ref="V61:AF61" si="40">SUM(V62:V64)</f>
        <v>0</v>
      </c>
      <c r="W61" s="529">
        <f t="shared" si="40"/>
        <v>0</v>
      </c>
      <c r="X61" s="529">
        <f t="shared" si="40"/>
        <v>0</v>
      </c>
      <c r="Y61" s="529">
        <f t="shared" si="40"/>
        <v>0</v>
      </c>
      <c r="Z61" s="529">
        <f t="shared" si="40"/>
        <v>0</v>
      </c>
      <c r="AA61" s="529">
        <f t="shared" si="40"/>
        <v>0</v>
      </c>
      <c r="AB61" s="529">
        <f t="shared" si="40"/>
        <v>0</v>
      </c>
      <c r="AC61" s="529">
        <f t="shared" si="40"/>
        <v>0</v>
      </c>
      <c r="AD61" s="529">
        <f t="shared" si="40"/>
        <v>55768800</v>
      </c>
      <c r="AE61" s="529">
        <f t="shared" si="40"/>
        <v>55768800</v>
      </c>
      <c r="AF61" s="529">
        <f t="shared" si="40"/>
        <v>10500000</v>
      </c>
      <c r="AG61" s="440"/>
      <c r="AH61" s="440"/>
    </row>
    <row r="62" spans="1:34" s="5" customFormat="1" x14ac:dyDescent="0.2">
      <c r="A62" s="33"/>
      <c r="B62" s="34" t="s">
        <v>774</v>
      </c>
      <c r="C62" s="103"/>
      <c r="D62" s="529">
        <f>SUM(D63:D65)</f>
        <v>45268800</v>
      </c>
      <c r="E62" s="531">
        <f>SUM(E63:E65)</f>
        <v>62279400</v>
      </c>
      <c r="F62" s="532">
        <f>SUM(F63:F65)</f>
        <v>15000000</v>
      </c>
      <c r="G62" s="532">
        <f>SUM(G63:G65)</f>
        <v>15000000</v>
      </c>
      <c r="H62" s="531">
        <f t="shared" ref="H62" si="41">SUM(H63:H65)</f>
        <v>0</v>
      </c>
      <c r="I62" s="531">
        <f t="shared" si="3"/>
        <v>15000000</v>
      </c>
      <c r="J62" s="531">
        <f t="shared" si="21"/>
        <v>47279400</v>
      </c>
      <c r="K62" s="29">
        <v>1220000</v>
      </c>
      <c r="L62" s="30"/>
      <c r="M62" s="465">
        <v>10373000</v>
      </c>
      <c r="N62" s="29"/>
      <c r="O62" s="502"/>
      <c r="P62" s="503"/>
      <c r="Q62" s="502">
        <f t="shared" si="6"/>
        <v>0</v>
      </c>
      <c r="R62" s="502"/>
      <c r="S62" s="502"/>
      <c r="T62" s="502">
        <f t="shared" si="7"/>
        <v>0</v>
      </c>
      <c r="U62" s="29">
        <v>9470000</v>
      </c>
      <c r="V62" s="29"/>
      <c r="W62" s="29"/>
      <c r="X62" s="29"/>
      <c r="Y62" s="29"/>
      <c r="Z62" s="29"/>
      <c r="AA62" s="29"/>
      <c r="AB62" s="31"/>
      <c r="AC62" s="465"/>
      <c r="AD62" s="32">
        <v>7000000</v>
      </c>
      <c r="AE62" s="466">
        <v>7000000</v>
      </c>
      <c r="AF62" s="468"/>
      <c r="AG62" s="440"/>
      <c r="AH62" s="440"/>
    </row>
    <row r="63" spans="1:34" s="5" customFormat="1" x14ac:dyDescent="0.2">
      <c r="A63" s="56"/>
      <c r="B63" s="36"/>
      <c r="C63" s="58" t="s">
        <v>52</v>
      </c>
      <c r="D63" s="502">
        <v>7000000</v>
      </c>
      <c r="E63" s="521">
        <v>8959400</v>
      </c>
      <c r="F63" s="504">
        <v>782500</v>
      </c>
      <c r="G63" s="504">
        <v>782500</v>
      </c>
      <c r="H63" s="521"/>
      <c r="I63" s="521">
        <f t="shared" si="3"/>
        <v>782500</v>
      </c>
      <c r="J63" s="521">
        <f t="shared" si="21"/>
        <v>8176900</v>
      </c>
      <c r="K63" s="29">
        <v>9929800</v>
      </c>
      <c r="L63" s="30"/>
      <c r="M63" s="465">
        <v>15189000</v>
      </c>
      <c r="N63" s="29"/>
      <c r="O63" s="502"/>
      <c r="P63" s="503"/>
      <c r="Q63" s="502">
        <f t="shared" si="6"/>
        <v>0</v>
      </c>
      <c r="R63" s="502"/>
      <c r="S63" s="502"/>
      <c r="T63" s="502">
        <f t="shared" si="7"/>
        <v>0</v>
      </c>
      <c r="U63" s="29">
        <v>16472000</v>
      </c>
      <c r="V63" s="29"/>
      <c r="W63" s="29"/>
      <c r="X63" s="29"/>
      <c r="Y63" s="29"/>
      <c r="Z63" s="29"/>
      <c r="AA63" s="29"/>
      <c r="AB63" s="31"/>
      <c r="AC63" s="465"/>
      <c r="AD63" s="32">
        <v>10000000</v>
      </c>
      <c r="AE63" s="466">
        <v>10000000</v>
      </c>
      <c r="AF63" s="468">
        <v>9000000</v>
      </c>
      <c r="AG63" s="440"/>
      <c r="AH63" s="440"/>
    </row>
    <row r="64" spans="1:34" s="5" customFormat="1" x14ac:dyDescent="0.2">
      <c r="A64" s="56"/>
      <c r="B64" s="36"/>
      <c r="C64" s="58" t="s">
        <v>50</v>
      </c>
      <c r="D64" s="502">
        <v>1000000</v>
      </c>
      <c r="E64" s="521">
        <v>13320000</v>
      </c>
      <c r="F64" s="504">
        <v>3135500</v>
      </c>
      <c r="G64" s="504">
        <v>3135500</v>
      </c>
      <c r="H64" s="521"/>
      <c r="I64" s="521">
        <f t="shared" si="3"/>
        <v>3135500</v>
      </c>
      <c r="J64" s="521">
        <f t="shared" si="21"/>
        <v>10184500</v>
      </c>
      <c r="K64" s="29">
        <v>34100000</v>
      </c>
      <c r="L64" s="30"/>
      <c r="M64" s="465">
        <v>40000000</v>
      </c>
      <c r="N64" s="29"/>
      <c r="O64" s="502"/>
      <c r="P64" s="503"/>
      <c r="Q64" s="502">
        <f t="shared" si="6"/>
        <v>0</v>
      </c>
      <c r="R64" s="502"/>
      <c r="S64" s="502"/>
      <c r="T64" s="502">
        <f t="shared" si="7"/>
        <v>0</v>
      </c>
      <c r="U64" s="29">
        <v>40000000</v>
      </c>
      <c r="V64" s="29"/>
      <c r="W64" s="29"/>
      <c r="X64" s="29"/>
      <c r="Y64" s="29"/>
      <c r="Z64" s="29"/>
      <c r="AA64" s="29"/>
      <c r="AB64" s="31"/>
      <c r="AC64" s="465"/>
      <c r="AD64" s="32">
        <v>38768800</v>
      </c>
      <c r="AE64" s="466">
        <v>38768800</v>
      </c>
      <c r="AF64" s="468">
        <v>1500000</v>
      </c>
      <c r="AG64" s="440"/>
      <c r="AH64" s="440"/>
    </row>
    <row r="65" spans="1:34" s="5" customFormat="1" x14ac:dyDescent="0.2">
      <c r="A65" s="56"/>
      <c r="B65" s="36"/>
      <c r="C65" s="58" t="s">
        <v>69</v>
      </c>
      <c r="D65" s="502">
        <v>37268800</v>
      </c>
      <c r="E65" s="521">
        <v>40000000</v>
      </c>
      <c r="F65" s="504">
        <v>11082000</v>
      </c>
      <c r="G65" s="504">
        <v>11082000</v>
      </c>
      <c r="H65" s="521"/>
      <c r="I65" s="521">
        <f t="shared" si="3"/>
        <v>11082000</v>
      </c>
      <c r="J65" s="521">
        <f t="shared" si="21"/>
        <v>28918000</v>
      </c>
      <c r="K65" s="52">
        <v>5000000</v>
      </c>
      <c r="L65" s="68">
        <v>1118252.5</v>
      </c>
      <c r="M65" s="494">
        <v>6500000</v>
      </c>
      <c r="N65" s="52">
        <v>5000000</v>
      </c>
      <c r="O65" s="501">
        <v>4000000</v>
      </c>
      <c r="P65" s="524"/>
      <c r="Q65" s="501">
        <f t="shared" si="6"/>
        <v>4000000</v>
      </c>
      <c r="R65" s="501">
        <v>0</v>
      </c>
      <c r="S65" s="501"/>
      <c r="T65" s="501">
        <f t="shared" si="7"/>
        <v>4000000</v>
      </c>
      <c r="U65" s="52">
        <v>5000000</v>
      </c>
      <c r="V65" s="52">
        <f>SUM(U65*105/100)</f>
        <v>5250000</v>
      </c>
      <c r="W65" s="52">
        <f>SUM(V65*105/100)</f>
        <v>5512500</v>
      </c>
      <c r="X65" s="52">
        <v>5788100</v>
      </c>
      <c r="Y65" s="52">
        <f>SUM(X65*5)</f>
        <v>28940500</v>
      </c>
      <c r="Z65" s="52">
        <f>SUM(X65*5)</f>
        <v>28940500</v>
      </c>
      <c r="AA65" s="52">
        <f>SUM(X65*3)</f>
        <v>17364300</v>
      </c>
      <c r="AB65" s="54">
        <v>4000000</v>
      </c>
      <c r="AC65" s="494">
        <v>0</v>
      </c>
      <c r="AD65" s="55">
        <v>4000000</v>
      </c>
      <c r="AE65" s="462">
        <v>4000000</v>
      </c>
      <c r="AF65" s="496">
        <v>1000000</v>
      </c>
      <c r="AG65" s="440"/>
      <c r="AH65" s="440"/>
    </row>
    <row r="66" spans="1:34" s="5" customFormat="1" x14ac:dyDescent="0.2">
      <c r="A66" s="33"/>
      <c r="B66" s="34" t="s">
        <v>775</v>
      </c>
      <c r="C66" s="103"/>
      <c r="D66" s="501">
        <v>3000000</v>
      </c>
      <c r="E66" s="525">
        <v>3000000</v>
      </c>
      <c r="F66" s="526">
        <v>0</v>
      </c>
      <c r="G66" s="526">
        <v>0</v>
      </c>
      <c r="H66" s="525"/>
      <c r="I66" s="525">
        <f t="shared" si="3"/>
        <v>0</v>
      </c>
      <c r="J66" s="525">
        <f t="shared" si="21"/>
        <v>3000000</v>
      </c>
      <c r="K66" s="78">
        <v>0</v>
      </c>
      <c r="L66" s="79"/>
      <c r="M66" s="533">
        <f>SUM(M67:M70)</f>
        <v>10734400</v>
      </c>
      <c r="N66" s="80">
        <v>8287100</v>
      </c>
      <c r="O66" s="501">
        <v>8287100</v>
      </c>
      <c r="P66" s="524"/>
      <c r="Q66" s="501">
        <f t="shared" si="6"/>
        <v>8287100</v>
      </c>
      <c r="R66" s="501">
        <v>353300</v>
      </c>
      <c r="S66" s="501"/>
      <c r="T66" s="501">
        <f t="shared" si="7"/>
        <v>7933800</v>
      </c>
      <c r="U66" s="501">
        <f>SUM(U67:U70)</f>
        <v>8287100</v>
      </c>
      <c r="V66" s="501">
        <f t="shared" ref="V66:AF66" si="42">SUM(V67:V70)</f>
        <v>0</v>
      </c>
      <c r="W66" s="501">
        <f t="shared" si="42"/>
        <v>0</v>
      </c>
      <c r="X66" s="501">
        <f t="shared" si="42"/>
        <v>0</v>
      </c>
      <c r="Y66" s="501">
        <f t="shared" si="42"/>
        <v>0</v>
      </c>
      <c r="Z66" s="501">
        <f t="shared" si="42"/>
        <v>0</v>
      </c>
      <c r="AA66" s="501">
        <f t="shared" si="42"/>
        <v>0</v>
      </c>
      <c r="AB66" s="501">
        <f t="shared" si="42"/>
        <v>0</v>
      </c>
      <c r="AC66" s="501">
        <f t="shared" si="42"/>
        <v>0</v>
      </c>
      <c r="AD66" s="501">
        <f t="shared" si="42"/>
        <v>8287100</v>
      </c>
      <c r="AE66" s="501">
        <f t="shared" si="42"/>
        <v>8287100</v>
      </c>
      <c r="AF66" s="501">
        <f t="shared" si="42"/>
        <v>2000000</v>
      </c>
      <c r="AG66" s="440"/>
      <c r="AH66" s="440"/>
    </row>
    <row r="67" spans="1:34" s="5" customFormat="1" x14ac:dyDescent="0.2">
      <c r="A67" s="96"/>
      <c r="B67" s="97" t="s">
        <v>776</v>
      </c>
      <c r="C67" s="98"/>
      <c r="D67" s="501">
        <f>SUM(D68:D71)</f>
        <v>6287100</v>
      </c>
      <c r="E67" s="525">
        <f>SUM(E68:E71)</f>
        <v>9368300</v>
      </c>
      <c r="F67" s="526">
        <f>SUM(F68:F71)</f>
        <v>353300</v>
      </c>
      <c r="G67" s="526">
        <f>SUM(G68:G71)</f>
        <v>353300</v>
      </c>
      <c r="H67" s="525">
        <f t="shared" ref="H67" si="43">SUM(H68:H71)</f>
        <v>0</v>
      </c>
      <c r="I67" s="525">
        <f t="shared" si="3"/>
        <v>353300</v>
      </c>
      <c r="J67" s="525">
        <f t="shared" si="21"/>
        <v>9015000</v>
      </c>
      <c r="K67" s="29"/>
      <c r="L67" s="30"/>
      <c r="M67" s="513">
        <v>5000000</v>
      </c>
      <c r="N67" s="29"/>
      <c r="O67" s="502"/>
      <c r="P67" s="503"/>
      <c r="Q67" s="502">
        <f t="shared" si="6"/>
        <v>0</v>
      </c>
      <c r="R67" s="502"/>
      <c r="S67" s="502"/>
      <c r="T67" s="502">
        <f t="shared" si="7"/>
        <v>0</v>
      </c>
      <c r="U67" s="100">
        <v>3733000</v>
      </c>
      <c r="V67" s="29"/>
      <c r="W67" s="29"/>
      <c r="X67" s="29"/>
      <c r="Y67" s="29"/>
      <c r="Z67" s="29"/>
      <c r="AA67" s="29"/>
      <c r="AB67" s="31"/>
      <c r="AC67" s="465"/>
      <c r="AD67" s="32">
        <v>3733000</v>
      </c>
      <c r="AE67" s="466">
        <v>3733000</v>
      </c>
      <c r="AF67" s="468">
        <v>1000000</v>
      </c>
      <c r="AG67" s="440"/>
      <c r="AH67" s="440"/>
    </row>
    <row r="68" spans="1:34" s="5" customFormat="1" x14ac:dyDescent="0.2">
      <c r="A68" s="56"/>
      <c r="B68" s="36"/>
      <c r="C68" s="58" t="s">
        <v>52</v>
      </c>
      <c r="D68" s="502">
        <v>2733000</v>
      </c>
      <c r="E68" s="521">
        <v>3263000</v>
      </c>
      <c r="F68" s="504">
        <v>120000</v>
      </c>
      <c r="G68" s="504">
        <v>120000</v>
      </c>
      <c r="H68" s="521"/>
      <c r="I68" s="521">
        <f t="shared" si="3"/>
        <v>120000</v>
      </c>
      <c r="J68" s="521">
        <f t="shared" si="21"/>
        <v>3143000</v>
      </c>
      <c r="K68" s="29"/>
      <c r="L68" s="30"/>
      <c r="M68" s="513">
        <v>659600</v>
      </c>
      <c r="N68" s="29"/>
      <c r="O68" s="502"/>
      <c r="P68" s="503"/>
      <c r="Q68" s="502">
        <f t="shared" si="6"/>
        <v>0</v>
      </c>
      <c r="R68" s="502"/>
      <c r="S68" s="502"/>
      <c r="T68" s="502">
        <f t="shared" si="7"/>
        <v>0</v>
      </c>
      <c r="U68" s="29">
        <v>509000</v>
      </c>
      <c r="V68" s="29"/>
      <c r="W68" s="29"/>
      <c r="X68" s="29"/>
      <c r="Y68" s="29"/>
      <c r="Z68" s="29"/>
      <c r="AA68" s="29"/>
      <c r="AB68" s="31"/>
      <c r="AC68" s="465"/>
      <c r="AD68" s="32">
        <v>509000</v>
      </c>
      <c r="AE68" s="466">
        <v>509000</v>
      </c>
      <c r="AF68" s="468"/>
      <c r="AG68" s="440"/>
      <c r="AH68" s="440"/>
    </row>
    <row r="69" spans="1:34" s="5" customFormat="1" x14ac:dyDescent="0.2">
      <c r="A69" s="56"/>
      <c r="B69" s="36"/>
      <c r="C69" s="58" t="s">
        <v>49</v>
      </c>
      <c r="D69" s="502">
        <v>509000</v>
      </c>
      <c r="E69" s="521">
        <v>1225600</v>
      </c>
      <c r="F69" s="504">
        <v>76600</v>
      </c>
      <c r="G69" s="504">
        <v>76600</v>
      </c>
      <c r="H69" s="521"/>
      <c r="I69" s="521">
        <f t="shared" si="3"/>
        <v>76600</v>
      </c>
      <c r="J69" s="521">
        <f t="shared" si="21"/>
        <v>1149000</v>
      </c>
      <c r="K69" s="29"/>
      <c r="L69" s="30"/>
      <c r="M69" s="513">
        <v>1264900</v>
      </c>
      <c r="N69" s="29"/>
      <c r="O69" s="502"/>
      <c r="P69" s="503"/>
      <c r="Q69" s="502">
        <f t="shared" si="6"/>
        <v>0</v>
      </c>
      <c r="R69" s="502"/>
      <c r="S69" s="502"/>
      <c r="T69" s="502">
        <f t="shared" si="7"/>
        <v>0</v>
      </c>
      <c r="U69" s="29">
        <v>1117700</v>
      </c>
      <c r="V69" s="29"/>
      <c r="W69" s="29"/>
      <c r="X69" s="29"/>
      <c r="Y69" s="29"/>
      <c r="Z69" s="29"/>
      <c r="AA69" s="29"/>
      <c r="AB69" s="31"/>
      <c r="AC69" s="465"/>
      <c r="AD69" s="32">
        <v>1117700</v>
      </c>
      <c r="AE69" s="466">
        <v>1117700</v>
      </c>
      <c r="AF69" s="468"/>
      <c r="AG69" s="440"/>
      <c r="AH69" s="440"/>
    </row>
    <row r="70" spans="1:34" s="5" customFormat="1" x14ac:dyDescent="0.2">
      <c r="A70" s="56"/>
      <c r="B70" s="36"/>
      <c r="C70" s="58" t="s">
        <v>54</v>
      </c>
      <c r="D70" s="502">
        <v>1117700</v>
      </c>
      <c r="E70" s="521">
        <v>1907300</v>
      </c>
      <c r="F70" s="504">
        <v>100000</v>
      </c>
      <c r="G70" s="504">
        <v>100000</v>
      </c>
      <c r="H70" s="521"/>
      <c r="I70" s="521">
        <f t="shared" si="3"/>
        <v>100000</v>
      </c>
      <c r="J70" s="521">
        <f t="shared" si="21"/>
        <v>1807300</v>
      </c>
      <c r="K70" s="29"/>
      <c r="L70" s="30"/>
      <c r="M70" s="513">
        <v>3809900</v>
      </c>
      <c r="N70" s="29"/>
      <c r="O70" s="502"/>
      <c r="P70" s="503"/>
      <c r="Q70" s="502">
        <f t="shared" si="6"/>
        <v>0</v>
      </c>
      <c r="R70" s="502"/>
      <c r="S70" s="502"/>
      <c r="T70" s="502">
        <f t="shared" si="7"/>
        <v>0</v>
      </c>
      <c r="U70" s="29">
        <v>2927400</v>
      </c>
      <c r="V70" s="29"/>
      <c r="W70" s="29"/>
      <c r="X70" s="29"/>
      <c r="Y70" s="29"/>
      <c r="Z70" s="29"/>
      <c r="AA70" s="29"/>
      <c r="AB70" s="31"/>
      <c r="AC70" s="465"/>
      <c r="AD70" s="32">
        <v>2927400</v>
      </c>
      <c r="AE70" s="466">
        <v>2927400</v>
      </c>
      <c r="AF70" s="468">
        <v>1000000</v>
      </c>
      <c r="AG70" s="440"/>
      <c r="AH70" s="440"/>
    </row>
    <row r="71" spans="1:34" s="5" customFormat="1" ht="24" customHeight="1" x14ac:dyDescent="0.2">
      <c r="A71" s="56"/>
      <c r="B71" s="36"/>
      <c r="C71" s="58" t="s">
        <v>66</v>
      </c>
      <c r="D71" s="502">
        <v>1927400</v>
      </c>
      <c r="E71" s="511">
        <v>2972400</v>
      </c>
      <c r="F71" s="506">
        <v>56700</v>
      </c>
      <c r="G71" s="506">
        <v>56700</v>
      </c>
      <c r="H71" s="511"/>
      <c r="I71" s="511">
        <f t="shared" si="3"/>
        <v>56700</v>
      </c>
      <c r="J71" s="511">
        <f t="shared" si="21"/>
        <v>2915700</v>
      </c>
      <c r="K71" s="100"/>
      <c r="L71" s="114"/>
      <c r="M71" s="513"/>
      <c r="N71" s="100"/>
      <c r="O71" s="529">
        <v>3000000</v>
      </c>
      <c r="P71" s="514"/>
      <c r="Q71" s="505">
        <f t="shared" si="6"/>
        <v>3000000</v>
      </c>
      <c r="R71" s="505"/>
      <c r="S71" s="505"/>
      <c r="T71" s="505">
        <f t="shared" si="7"/>
        <v>3000000</v>
      </c>
      <c r="U71" s="100"/>
      <c r="V71" s="100"/>
      <c r="W71" s="100"/>
      <c r="X71" s="100"/>
      <c r="Y71" s="100"/>
      <c r="Z71" s="100"/>
      <c r="AA71" s="100"/>
      <c r="AB71" s="31"/>
      <c r="AC71" s="513"/>
      <c r="AD71" s="32"/>
      <c r="AE71" s="507"/>
      <c r="AF71" s="508"/>
      <c r="AG71" s="515"/>
      <c r="AH71" s="515"/>
    </row>
    <row r="72" spans="1:34" s="5" customFormat="1" ht="24" hidden="1" customHeight="1" x14ac:dyDescent="0.2">
      <c r="A72" s="56"/>
      <c r="B72" s="34" t="s">
        <v>222</v>
      </c>
      <c r="C72" s="58"/>
      <c r="D72" s="505"/>
      <c r="E72" s="534"/>
      <c r="F72" s="325"/>
      <c r="G72" s="325"/>
      <c r="H72" s="534"/>
      <c r="I72" s="534">
        <f t="shared" ref="I72:I135" si="44">+G72-H72</f>
        <v>0</v>
      </c>
      <c r="J72" s="534">
        <f t="shared" si="21"/>
        <v>0</v>
      </c>
      <c r="K72" s="78"/>
      <c r="L72" s="79"/>
      <c r="M72" s="533"/>
      <c r="N72" s="80"/>
      <c r="O72" s="517"/>
      <c r="P72" s="518"/>
      <c r="Q72" s="517">
        <f t="shared" ref="Q72:Q135" si="45">+O72-P72</f>
        <v>0</v>
      </c>
      <c r="R72" s="517"/>
      <c r="S72" s="517"/>
      <c r="T72" s="517"/>
      <c r="U72" s="80"/>
      <c r="V72" s="80"/>
      <c r="W72" s="80"/>
      <c r="X72" s="80"/>
      <c r="Y72" s="99"/>
      <c r="Z72" s="80"/>
      <c r="AA72" s="80"/>
      <c r="AB72" s="81"/>
      <c r="AC72" s="516"/>
      <c r="AD72" s="210"/>
      <c r="AE72" s="517"/>
      <c r="AF72" s="516"/>
      <c r="AG72" s="440"/>
      <c r="AH72" s="440"/>
    </row>
    <row r="73" spans="1:34" s="5" customFormat="1" x14ac:dyDescent="0.2">
      <c r="A73" s="77"/>
      <c r="B73" s="211" t="s">
        <v>291</v>
      </c>
      <c r="C73" s="113"/>
      <c r="D73" s="517"/>
      <c r="E73" s="472">
        <v>360000</v>
      </c>
      <c r="F73" s="464">
        <v>0</v>
      </c>
      <c r="G73" s="464">
        <v>0</v>
      </c>
      <c r="H73" s="472"/>
      <c r="I73" s="472">
        <f t="shared" si="44"/>
        <v>0</v>
      </c>
      <c r="J73" s="472">
        <f t="shared" si="21"/>
        <v>360000</v>
      </c>
      <c r="K73" s="78"/>
      <c r="L73" s="79"/>
      <c r="M73" s="533"/>
      <c r="N73" s="80"/>
      <c r="O73" s="517"/>
      <c r="P73" s="518"/>
      <c r="Q73" s="517">
        <f t="shared" si="45"/>
        <v>0</v>
      </c>
      <c r="R73" s="517"/>
      <c r="S73" s="517"/>
      <c r="T73" s="517"/>
      <c r="U73" s="80"/>
      <c r="V73" s="80"/>
      <c r="W73" s="80"/>
      <c r="X73" s="80"/>
      <c r="Y73" s="99"/>
      <c r="Z73" s="80"/>
      <c r="AA73" s="80"/>
      <c r="AB73" s="81"/>
      <c r="AC73" s="516"/>
      <c r="AD73" s="210"/>
      <c r="AE73" s="517"/>
      <c r="AF73" s="516"/>
      <c r="AG73" s="440"/>
      <c r="AH73" s="440"/>
    </row>
    <row r="74" spans="1:34" s="5" customFormat="1" x14ac:dyDescent="0.2">
      <c r="A74" s="77"/>
      <c r="B74" s="211" t="s">
        <v>299</v>
      </c>
      <c r="C74" s="113"/>
      <c r="D74" s="517"/>
      <c r="E74" s="472">
        <v>570000</v>
      </c>
      <c r="F74" s="473">
        <v>0</v>
      </c>
      <c r="G74" s="473">
        <v>0</v>
      </c>
      <c r="H74" s="472"/>
      <c r="I74" s="472">
        <f t="shared" si="44"/>
        <v>0</v>
      </c>
      <c r="J74" s="472">
        <f t="shared" si="21"/>
        <v>570000</v>
      </c>
      <c r="K74" s="17" t="e">
        <f>SUM(#REF!)</f>
        <v>#REF!</v>
      </c>
      <c r="L74" s="18" t="e">
        <f>SUM(#REF!)</f>
        <v>#REF!</v>
      </c>
      <c r="M74" s="493" t="e">
        <f>SUM(#REF!)</f>
        <v>#REF!</v>
      </c>
      <c r="N74" s="19" t="e">
        <f>SUM(#REF!)</f>
        <v>#REF!</v>
      </c>
      <c r="O74" s="517"/>
      <c r="P74" s="518"/>
      <c r="Q74" s="517">
        <f t="shared" si="45"/>
        <v>0</v>
      </c>
      <c r="R74" s="517"/>
      <c r="S74" s="517"/>
      <c r="T74" s="447">
        <f t="shared" ref="T74:T85" si="46">Q75-R75-S75</f>
        <v>93090554.909999967</v>
      </c>
      <c r="U74" s="447">
        <f>SUM(U75+U83)</f>
        <v>102683800</v>
      </c>
      <c r="V74" s="447">
        <f t="shared" ref="V74:AF74" si="47">SUM(V75+V83)</f>
        <v>107018000</v>
      </c>
      <c r="W74" s="447">
        <f t="shared" si="47"/>
        <v>111569000</v>
      </c>
      <c r="X74" s="447">
        <f t="shared" si="47"/>
        <v>116347600</v>
      </c>
      <c r="Y74" s="447">
        <f t="shared" si="47"/>
        <v>526738000</v>
      </c>
      <c r="Z74" s="447">
        <f t="shared" si="47"/>
        <v>526738000</v>
      </c>
      <c r="AA74" s="447">
        <f t="shared" si="47"/>
        <v>316042800</v>
      </c>
      <c r="AB74" s="447">
        <f t="shared" si="47"/>
        <v>84704600</v>
      </c>
      <c r="AC74" s="447">
        <f t="shared" si="47"/>
        <v>0</v>
      </c>
      <c r="AD74" s="447">
        <f t="shared" si="47"/>
        <v>84704600</v>
      </c>
      <c r="AE74" s="447">
        <f t="shared" si="47"/>
        <v>84704600</v>
      </c>
      <c r="AF74" s="447">
        <f t="shared" si="47"/>
        <v>8000000</v>
      </c>
      <c r="AG74" s="440"/>
      <c r="AH74" s="440"/>
    </row>
    <row r="75" spans="1:34" s="5" customFormat="1" x14ac:dyDescent="0.2">
      <c r="A75" s="14" t="s">
        <v>129</v>
      </c>
      <c r="B75" s="15"/>
      <c r="C75" s="16"/>
      <c r="D75" s="447">
        <f>SUM(D76+D84)</f>
        <v>76704600</v>
      </c>
      <c r="E75" s="448">
        <f>SUM(E76+E84)</f>
        <v>94665000</v>
      </c>
      <c r="F75" s="449">
        <f>SUM(F76+F84)</f>
        <v>36101500</v>
      </c>
      <c r="G75" s="449">
        <f>SUM(G76+G84)</f>
        <v>36101500</v>
      </c>
      <c r="H75" s="448">
        <f t="shared" ref="H75" si="48">SUM(H76+H84)</f>
        <v>0</v>
      </c>
      <c r="I75" s="448">
        <f t="shared" si="44"/>
        <v>36101500</v>
      </c>
      <c r="J75" s="448">
        <f t="shared" si="21"/>
        <v>58563500</v>
      </c>
      <c r="K75" s="450" t="e">
        <f>+K76+K84+#REF!+K139+#REF!+K87+#REF!</f>
        <v>#REF!</v>
      </c>
      <c r="L75" s="450" t="e">
        <f>+L76+L84+#REF!+L139+#REF!+L87+#REF!</f>
        <v>#REF!</v>
      </c>
      <c r="M75" s="450" t="e">
        <f>+M76+M84+#REF!+M139+#REF!+M87+#REF!</f>
        <v>#REF!</v>
      </c>
      <c r="N75" s="450" t="e">
        <f>+N76+N84+#REF!+N139+#REF!+N87+#REF!</f>
        <v>#REF!</v>
      </c>
      <c r="O75" s="447">
        <f>SUM(O76+O84)</f>
        <v>407820800</v>
      </c>
      <c r="P75" s="447">
        <f>SUM(P76+P84)</f>
        <v>500000</v>
      </c>
      <c r="Q75" s="447">
        <f t="shared" si="45"/>
        <v>407320800</v>
      </c>
      <c r="R75" s="447">
        <f>SUM(R76+R84)</f>
        <v>314230245.09000003</v>
      </c>
      <c r="S75" s="447">
        <f>SUM(S76+S84)</f>
        <v>0</v>
      </c>
      <c r="T75" s="450">
        <f t="shared" si="46"/>
        <v>87590554.909999967</v>
      </c>
      <c r="U75" s="450">
        <f>SUM(U76:U78)</f>
        <v>86683800</v>
      </c>
      <c r="V75" s="450">
        <f t="shared" ref="S75:AF76" si="49">SUM(V76:V78)</f>
        <v>91018000</v>
      </c>
      <c r="W75" s="450">
        <f t="shared" si="49"/>
        <v>95569000</v>
      </c>
      <c r="X75" s="450">
        <f t="shared" si="49"/>
        <v>100347600</v>
      </c>
      <c r="Y75" s="450">
        <f t="shared" si="49"/>
        <v>501738000</v>
      </c>
      <c r="Z75" s="450">
        <f t="shared" si="49"/>
        <v>501738000</v>
      </c>
      <c r="AA75" s="450">
        <f t="shared" si="49"/>
        <v>301042800</v>
      </c>
      <c r="AB75" s="450">
        <f t="shared" si="49"/>
        <v>68704600</v>
      </c>
      <c r="AC75" s="450">
        <f t="shared" si="49"/>
        <v>0</v>
      </c>
      <c r="AD75" s="450">
        <f t="shared" si="49"/>
        <v>68704600</v>
      </c>
      <c r="AE75" s="450">
        <f t="shared" si="49"/>
        <v>68704600</v>
      </c>
      <c r="AF75" s="450">
        <f t="shared" si="49"/>
        <v>8000000</v>
      </c>
      <c r="AG75" s="440"/>
      <c r="AH75" s="440"/>
    </row>
    <row r="76" spans="1:34" s="5" customFormat="1" x14ac:dyDescent="0.2">
      <c r="A76" s="20" t="s">
        <v>45</v>
      </c>
      <c r="B76" s="21"/>
      <c r="C76" s="22"/>
      <c r="D76" s="450">
        <f>SUM(D77:D79)</f>
        <v>60704600</v>
      </c>
      <c r="E76" s="451">
        <f>SUM(E77:E79)</f>
        <v>78345000</v>
      </c>
      <c r="F76" s="452">
        <f>SUM(F77:F79)</f>
        <v>19801500</v>
      </c>
      <c r="G76" s="452">
        <f>SUM(G77:G79)</f>
        <v>19801500</v>
      </c>
      <c r="H76" s="451">
        <f>SUM(H77:H79)</f>
        <v>0</v>
      </c>
      <c r="I76" s="451">
        <f t="shared" si="44"/>
        <v>19801500</v>
      </c>
      <c r="J76" s="451">
        <f t="shared" si="21"/>
        <v>58543500</v>
      </c>
      <c r="K76" s="52">
        <v>6000000</v>
      </c>
      <c r="L76" s="53">
        <v>5662657.8300000001</v>
      </c>
      <c r="M76" s="494">
        <v>8000000</v>
      </c>
      <c r="N76" s="52">
        <v>6000000</v>
      </c>
      <c r="O76" s="450">
        <f>SUM(O77:O83)</f>
        <v>391820800</v>
      </c>
      <c r="P76" s="450">
        <f>SUM(P77:P83)</f>
        <v>500000</v>
      </c>
      <c r="Q76" s="450">
        <f t="shared" si="45"/>
        <v>391320800</v>
      </c>
      <c r="R76" s="450">
        <f>SUM(R77:R83)</f>
        <v>303730245.09000003</v>
      </c>
      <c r="S76" s="450">
        <f t="shared" si="49"/>
        <v>0</v>
      </c>
      <c r="T76" s="462">
        <f t="shared" si="46"/>
        <v>2728488.67</v>
      </c>
      <c r="U76" s="52">
        <v>7000000</v>
      </c>
      <c r="V76" s="52">
        <f>SUM(U76*105/100)</f>
        <v>7350000</v>
      </c>
      <c r="W76" s="52">
        <f>SUM(V76*105/100)</f>
        <v>7717500</v>
      </c>
      <c r="X76" s="52">
        <v>8103400</v>
      </c>
      <c r="Y76" s="52">
        <f>SUM(X76*5)</f>
        <v>40517000</v>
      </c>
      <c r="Z76" s="52">
        <f>SUM(X76*5)</f>
        <v>40517000</v>
      </c>
      <c r="AA76" s="52">
        <f>SUM(X76*3)</f>
        <v>24310200</v>
      </c>
      <c r="AB76" s="54">
        <v>6000000</v>
      </c>
      <c r="AC76" s="494">
        <v>0</v>
      </c>
      <c r="AD76" s="55">
        <v>6000000</v>
      </c>
      <c r="AE76" s="462">
        <v>6000000</v>
      </c>
      <c r="AF76" s="496">
        <v>1000000</v>
      </c>
      <c r="AG76" s="440"/>
      <c r="AH76" s="440"/>
    </row>
    <row r="77" spans="1:34" s="5" customFormat="1" x14ac:dyDescent="0.2">
      <c r="A77" s="33"/>
      <c r="B77" s="34" t="s">
        <v>184</v>
      </c>
      <c r="C77" s="35"/>
      <c r="D77" s="462">
        <v>5000000</v>
      </c>
      <c r="E77" s="463">
        <v>6800000</v>
      </c>
      <c r="F77" s="464">
        <v>2801500</v>
      </c>
      <c r="G77" s="464">
        <v>2801500</v>
      </c>
      <c r="H77" s="463"/>
      <c r="I77" s="463">
        <f t="shared" si="44"/>
        <v>2801500</v>
      </c>
      <c r="J77" s="463">
        <f t="shared" si="21"/>
        <v>3998500</v>
      </c>
      <c r="K77" s="52">
        <v>38324600</v>
      </c>
      <c r="L77" s="53">
        <v>28671162.050000001</v>
      </c>
      <c r="M77" s="494">
        <v>52740000</v>
      </c>
      <c r="N77" s="52">
        <v>35000000</v>
      </c>
      <c r="O77" s="462">
        <v>6000000</v>
      </c>
      <c r="P77" s="495">
        <v>500000</v>
      </c>
      <c r="Q77" s="462">
        <f t="shared" si="45"/>
        <v>5500000</v>
      </c>
      <c r="R77" s="462">
        <v>2771511.33</v>
      </c>
      <c r="S77" s="462"/>
      <c r="T77" s="501">
        <f t="shared" si="46"/>
        <v>17110805.800000001</v>
      </c>
      <c r="U77" s="52">
        <v>43500000</v>
      </c>
      <c r="V77" s="52">
        <f>SUM(U77*105/100)</f>
        <v>45675000</v>
      </c>
      <c r="W77" s="52">
        <v>47958800</v>
      </c>
      <c r="X77" s="52">
        <v>50356800</v>
      </c>
      <c r="Y77" s="52">
        <f>SUM(X77*5)</f>
        <v>251784000</v>
      </c>
      <c r="Z77" s="52">
        <f>SUM(X77*5)</f>
        <v>251784000</v>
      </c>
      <c r="AA77" s="52">
        <f>SUM(X77*3)</f>
        <v>151070400</v>
      </c>
      <c r="AB77" s="54">
        <v>29000000</v>
      </c>
      <c r="AC77" s="494">
        <v>0</v>
      </c>
      <c r="AD77" s="55">
        <v>29000000</v>
      </c>
      <c r="AE77" s="462">
        <v>29000000</v>
      </c>
      <c r="AF77" s="496">
        <v>2500000</v>
      </c>
      <c r="AG77" s="440"/>
      <c r="AH77" s="440"/>
    </row>
    <row r="78" spans="1:34" s="5" customFormat="1" x14ac:dyDescent="0.2">
      <c r="A78" s="33"/>
      <c r="B78" s="34" t="s">
        <v>185</v>
      </c>
      <c r="C78" s="103"/>
      <c r="D78" s="501">
        <v>26500000</v>
      </c>
      <c r="E78" s="525">
        <v>42520000</v>
      </c>
      <c r="F78" s="526">
        <v>7000000</v>
      </c>
      <c r="G78" s="526">
        <v>7000000</v>
      </c>
      <c r="H78" s="525"/>
      <c r="I78" s="525">
        <f t="shared" si="44"/>
        <v>7000000</v>
      </c>
      <c r="J78" s="525">
        <f t="shared" si="21"/>
        <v>35520000</v>
      </c>
      <c r="K78" s="80">
        <f>SUM(K79:K81)</f>
        <v>37097200</v>
      </c>
      <c r="L78" s="99">
        <v>14968848.949999999</v>
      </c>
      <c r="M78" s="533">
        <f>SUM(M79:M81)</f>
        <v>48370000</v>
      </c>
      <c r="N78" s="80">
        <v>37097200</v>
      </c>
      <c r="O78" s="501">
        <v>32000000</v>
      </c>
      <c r="P78" s="524"/>
      <c r="Q78" s="501">
        <f t="shared" si="45"/>
        <v>32000000</v>
      </c>
      <c r="R78" s="501">
        <v>14889194.199999999</v>
      </c>
      <c r="S78" s="501"/>
      <c r="T78" s="501">
        <f t="shared" si="46"/>
        <v>18002365.43</v>
      </c>
      <c r="U78" s="80">
        <f>SUM(U79:U81)</f>
        <v>36183800</v>
      </c>
      <c r="V78" s="80">
        <v>37993000</v>
      </c>
      <c r="W78" s="80">
        <v>39892700</v>
      </c>
      <c r="X78" s="80">
        <v>41887400</v>
      </c>
      <c r="Y78" s="80">
        <f>SUM(X78*5)</f>
        <v>209437000</v>
      </c>
      <c r="Z78" s="80">
        <f>SUM(X78*5)</f>
        <v>209437000</v>
      </c>
      <c r="AA78" s="80">
        <f>SUM(X78*3)</f>
        <v>125662200</v>
      </c>
      <c r="AB78" s="81">
        <v>33704600</v>
      </c>
      <c r="AC78" s="516">
        <v>0</v>
      </c>
      <c r="AD78" s="82">
        <v>33704600</v>
      </c>
      <c r="AE78" s="535">
        <f>SUM(AE79:AE81)</f>
        <v>33704600</v>
      </c>
      <c r="AF78" s="536">
        <f>SUM(AF79:AF81)</f>
        <v>4500000</v>
      </c>
      <c r="AG78" s="440"/>
      <c r="AH78" s="440"/>
    </row>
    <row r="79" spans="1:34" s="5" customFormat="1" x14ac:dyDescent="0.2">
      <c r="A79" s="96"/>
      <c r="B79" s="97" t="s">
        <v>186</v>
      </c>
      <c r="C79" s="98"/>
      <c r="D79" s="501">
        <f>SUM(D80:D82)</f>
        <v>29204600</v>
      </c>
      <c r="E79" s="525">
        <f>SUM(E80:E82)</f>
        <v>29025000</v>
      </c>
      <c r="F79" s="526">
        <f>SUM(F80:F82)</f>
        <v>10000000</v>
      </c>
      <c r="G79" s="526">
        <f>SUM(G80:G82)</f>
        <v>10000000</v>
      </c>
      <c r="H79" s="525">
        <f t="shared" ref="H79" si="50">SUM(H80:H82)</f>
        <v>0</v>
      </c>
      <c r="I79" s="525">
        <f t="shared" si="44"/>
        <v>10000000</v>
      </c>
      <c r="J79" s="525">
        <f t="shared" si="21"/>
        <v>19025000</v>
      </c>
      <c r="K79" s="78">
        <v>21017200</v>
      </c>
      <c r="L79" s="79">
        <v>9295878.3399999999</v>
      </c>
      <c r="M79" s="537">
        <v>25000000</v>
      </c>
      <c r="N79" s="78"/>
      <c r="O79" s="501">
        <v>27097200</v>
      </c>
      <c r="P79" s="524"/>
      <c r="Q79" s="501">
        <f t="shared" si="45"/>
        <v>27097200</v>
      </c>
      <c r="R79" s="501">
        <v>9094834.5700000003</v>
      </c>
      <c r="S79" s="501"/>
      <c r="T79" s="502">
        <f t="shared" si="46"/>
        <v>0</v>
      </c>
      <c r="U79" s="78">
        <v>22500000</v>
      </c>
      <c r="V79" s="78"/>
      <c r="W79" s="78"/>
      <c r="X79" s="78"/>
      <c r="Y79" s="78"/>
      <c r="Z79" s="78"/>
      <c r="AA79" s="78"/>
      <c r="AB79" s="92"/>
      <c r="AC79" s="538"/>
      <c r="AD79" s="93">
        <v>22500000</v>
      </c>
      <c r="AE79" s="539">
        <v>22500000</v>
      </c>
      <c r="AF79" s="540">
        <v>2500000</v>
      </c>
      <c r="AG79" s="440"/>
      <c r="AH79" s="440"/>
    </row>
    <row r="80" spans="1:34" s="5" customFormat="1" x14ac:dyDescent="0.2">
      <c r="A80" s="90"/>
      <c r="B80" s="91"/>
      <c r="C80" s="110" t="s">
        <v>63</v>
      </c>
      <c r="D80" s="502">
        <v>20000000</v>
      </c>
      <c r="E80" s="521">
        <v>20000000</v>
      </c>
      <c r="F80" s="504">
        <v>6561000</v>
      </c>
      <c r="G80" s="504">
        <v>6561000</v>
      </c>
      <c r="H80" s="521"/>
      <c r="I80" s="521">
        <f t="shared" si="44"/>
        <v>6561000</v>
      </c>
      <c r="J80" s="521">
        <f t="shared" si="21"/>
        <v>13439000</v>
      </c>
      <c r="K80" s="78">
        <v>15710000</v>
      </c>
      <c r="L80" s="79">
        <v>0</v>
      </c>
      <c r="M80" s="537">
        <v>22770000</v>
      </c>
      <c r="N80" s="78"/>
      <c r="O80" s="502"/>
      <c r="P80" s="503"/>
      <c r="Q80" s="502">
        <f t="shared" si="45"/>
        <v>0</v>
      </c>
      <c r="R80" s="502"/>
      <c r="S80" s="502"/>
      <c r="T80" s="502">
        <f t="shared" si="46"/>
        <v>0</v>
      </c>
      <c r="U80" s="78">
        <v>13083800</v>
      </c>
      <c r="V80" s="78"/>
      <c r="W80" s="78"/>
      <c r="X80" s="78"/>
      <c r="Y80" s="78"/>
      <c r="Z80" s="78"/>
      <c r="AA80" s="78"/>
      <c r="AB80" s="92"/>
      <c r="AC80" s="538"/>
      <c r="AD80" s="93">
        <v>10604600</v>
      </c>
      <c r="AE80" s="539">
        <v>10604600</v>
      </c>
      <c r="AF80" s="540">
        <v>2000000</v>
      </c>
      <c r="AG80" s="440"/>
      <c r="AH80" s="440"/>
    </row>
    <row r="81" spans="1:34" s="5" customFormat="1" x14ac:dyDescent="0.2">
      <c r="A81" s="90"/>
      <c r="B81" s="91"/>
      <c r="C81" s="110" t="s">
        <v>50</v>
      </c>
      <c r="D81" s="502">
        <v>8604600</v>
      </c>
      <c r="E81" s="521">
        <v>8425000</v>
      </c>
      <c r="F81" s="504">
        <v>2991000</v>
      </c>
      <c r="G81" s="504">
        <v>2991000</v>
      </c>
      <c r="H81" s="521"/>
      <c r="I81" s="521">
        <f t="shared" si="44"/>
        <v>2991000</v>
      </c>
      <c r="J81" s="521">
        <f t="shared" si="21"/>
        <v>5434000</v>
      </c>
      <c r="K81" s="78">
        <v>370000</v>
      </c>
      <c r="L81" s="79">
        <v>396000</v>
      </c>
      <c r="M81" s="538">
        <v>600000</v>
      </c>
      <c r="N81" s="78"/>
      <c r="O81" s="502"/>
      <c r="P81" s="503"/>
      <c r="Q81" s="502">
        <f t="shared" si="45"/>
        <v>0</v>
      </c>
      <c r="R81" s="502"/>
      <c r="S81" s="502"/>
      <c r="T81" s="502">
        <f t="shared" si="46"/>
        <v>0</v>
      </c>
      <c r="U81" s="78">
        <v>600000</v>
      </c>
      <c r="V81" s="78"/>
      <c r="W81" s="78"/>
      <c r="X81" s="78"/>
      <c r="Y81" s="78"/>
      <c r="Z81" s="78"/>
      <c r="AA81" s="78"/>
      <c r="AB81" s="92"/>
      <c r="AC81" s="538"/>
      <c r="AD81" s="93">
        <v>600000</v>
      </c>
      <c r="AE81" s="539">
        <v>600000</v>
      </c>
      <c r="AF81" s="540"/>
      <c r="AG81" s="440"/>
      <c r="AH81" s="440"/>
    </row>
    <row r="82" spans="1:34" s="5" customFormat="1" x14ac:dyDescent="0.2">
      <c r="A82" s="90"/>
      <c r="B82" s="91"/>
      <c r="C82" s="110" t="s">
        <v>62</v>
      </c>
      <c r="D82" s="502">
        <v>600000</v>
      </c>
      <c r="E82" s="521">
        <v>600000</v>
      </c>
      <c r="F82" s="504">
        <v>448000</v>
      </c>
      <c r="G82" s="504">
        <v>448000</v>
      </c>
      <c r="H82" s="521"/>
      <c r="I82" s="521">
        <f t="shared" si="44"/>
        <v>448000</v>
      </c>
      <c r="J82" s="521">
        <f t="shared" si="21"/>
        <v>152000</v>
      </c>
      <c r="K82" s="138"/>
      <c r="L82" s="268"/>
      <c r="M82" s="537"/>
      <c r="N82" s="138"/>
      <c r="O82" s="502"/>
      <c r="P82" s="503"/>
      <c r="Q82" s="502">
        <f t="shared" si="45"/>
        <v>0</v>
      </c>
      <c r="R82" s="502"/>
      <c r="S82" s="502"/>
      <c r="T82" s="505">
        <f t="shared" si="46"/>
        <v>49748895.00999999</v>
      </c>
      <c r="U82" s="138"/>
      <c r="V82" s="138"/>
      <c r="W82" s="138"/>
      <c r="X82" s="138"/>
      <c r="Y82" s="138"/>
      <c r="Z82" s="138"/>
      <c r="AA82" s="138"/>
      <c r="AB82" s="92"/>
      <c r="AC82" s="537"/>
      <c r="AD82" s="93"/>
      <c r="AE82" s="541"/>
      <c r="AF82" s="542"/>
      <c r="AG82" s="515"/>
      <c r="AH82" s="515"/>
    </row>
    <row r="83" spans="1:34" s="5" customFormat="1" ht="24" hidden="1" customHeight="1" x14ac:dyDescent="0.2">
      <c r="A83" s="90"/>
      <c r="B83" s="97" t="s">
        <v>287</v>
      </c>
      <c r="C83" s="110"/>
      <c r="D83" s="505"/>
      <c r="E83" s="511">
        <v>0</v>
      </c>
      <c r="F83" s="506">
        <v>0</v>
      </c>
      <c r="G83" s="506">
        <v>0</v>
      </c>
      <c r="H83" s="511"/>
      <c r="I83" s="511">
        <f t="shared" si="44"/>
        <v>0</v>
      </c>
      <c r="J83" s="511">
        <f t="shared" si="21"/>
        <v>0</v>
      </c>
      <c r="K83" s="23">
        <f>+K84+K88+K89+K92</f>
        <v>84000000</v>
      </c>
      <c r="L83" s="23">
        <f>+L84+L88+L89+L92</f>
        <v>109373184</v>
      </c>
      <c r="M83" s="543">
        <f>+M84+M88+M89+M92</f>
        <v>168204000</v>
      </c>
      <c r="N83" s="23">
        <f>+N84+N88+N89+N92</f>
        <v>116051200</v>
      </c>
      <c r="O83" s="505">
        <v>326723600</v>
      </c>
      <c r="P83" s="514"/>
      <c r="Q83" s="505">
        <f t="shared" si="45"/>
        <v>326723600</v>
      </c>
      <c r="R83" s="505">
        <v>276974704.99000001</v>
      </c>
      <c r="S83" s="505"/>
      <c r="T83" s="450">
        <f t="shared" si="46"/>
        <v>5500000</v>
      </c>
      <c r="U83" s="450">
        <f>SUM(U84:U85)</f>
        <v>16000000</v>
      </c>
      <c r="V83" s="450">
        <f t="shared" ref="O83:AF84" si="51">SUM(V84:V85)</f>
        <v>16000000</v>
      </c>
      <c r="W83" s="450">
        <f t="shared" si="51"/>
        <v>16000000</v>
      </c>
      <c r="X83" s="450">
        <f t="shared" si="51"/>
        <v>16000000</v>
      </c>
      <c r="Y83" s="450">
        <f t="shared" si="51"/>
        <v>25000000</v>
      </c>
      <c r="Z83" s="450">
        <f t="shared" si="51"/>
        <v>25000000</v>
      </c>
      <c r="AA83" s="450">
        <f t="shared" si="51"/>
        <v>15000000</v>
      </c>
      <c r="AB83" s="450">
        <f t="shared" si="51"/>
        <v>16000000</v>
      </c>
      <c r="AC83" s="450">
        <f t="shared" si="51"/>
        <v>0</v>
      </c>
      <c r="AD83" s="450">
        <f t="shared" si="51"/>
        <v>16000000</v>
      </c>
      <c r="AE83" s="450">
        <f t="shared" si="51"/>
        <v>16000000</v>
      </c>
      <c r="AF83" s="450">
        <f t="shared" si="51"/>
        <v>0</v>
      </c>
      <c r="AG83" s="440"/>
      <c r="AH83" s="440"/>
    </row>
    <row r="84" spans="1:34" s="5" customFormat="1" x14ac:dyDescent="0.2">
      <c r="A84" s="20" t="s">
        <v>183</v>
      </c>
      <c r="B84" s="21"/>
      <c r="C84" s="22"/>
      <c r="D84" s="450">
        <f>SUM(D85:D86)</f>
        <v>16000000</v>
      </c>
      <c r="E84" s="451">
        <f>SUM(E85:E87)</f>
        <v>16320000</v>
      </c>
      <c r="F84" s="452">
        <f>SUM(F85:F87)</f>
        <v>16300000</v>
      </c>
      <c r="G84" s="452">
        <f>SUM(G85:G87)</f>
        <v>16300000</v>
      </c>
      <c r="H84" s="451">
        <f t="shared" ref="H84" si="52">SUM(H85:H87)</f>
        <v>0</v>
      </c>
      <c r="I84" s="451">
        <f t="shared" si="44"/>
        <v>16300000</v>
      </c>
      <c r="J84" s="451">
        <f t="shared" ref="J84:J147" si="53">+E84-G84</f>
        <v>20000</v>
      </c>
      <c r="K84" s="52">
        <v>5000000</v>
      </c>
      <c r="L84" s="53">
        <v>5000000</v>
      </c>
      <c r="M84" s="494">
        <v>5000000</v>
      </c>
      <c r="N84" s="52">
        <v>5000000</v>
      </c>
      <c r="O84" s="450">
        <f t="shared" si="51"/>
        <v>16000000</v>
      </c>
      <c r="P84" s="450">
        <f t="shared" si="51"/>
        <v>0</v>
      </c>
      <c r="Q84" s="450">
        <f t="shared" si="45"/>
        <v>16000000</v>
      </c>
      <c r="R84" s="450">
        <f t="shared" si="51"/>
        <v>10500000</v>
      </c>
      <c r="S84" s="450">
        <f t="shared" si="51"/>
        <v>0</v>
      </c>
      <c r="T84" s="501">
        <f t="shared" si="46"/>
        <v>0</v>
      </c>
      <c r="U84" s="52">
        <v>5000000</v>
      </c>
      <c r="V84" s="52">
        <v>5000000</v>
      </c>
      <c r="W84" s="29">
        <v>5000000</v>
      </c>
      <c r="X84" s="52">
        <v>5000000</v>
      </c>
      <c r="Y84" s="52">
        <f>SUM(X84*5)</f>
        <v>25000000</v>
      </c>
      <c r="Z84" s="52">
        <f>SUM(X84*5)</f>
        <v>25000000</v>
      </c>
      <c r="AA84" s="52">
        <f>SUM(X84*3)</f>
        <v>15000000</v>
      </c>
      <c r="AB84" s="54">
        <v>5000000</v>
      </c>
      <c r="AC84" s="494">
        <v>0</v>
      </c>
      <c r="AD84" s="55">
        <v>5000000</v>
      </c>
      <c r="AE84" s="462">
        <v>5000000</v>
      </c>
      <c r="AF84" s="496"/>
      <c r="AG84" s="440"/>
      <c r="AH84" s="440"/>
    </row>
    <row r="85" spans="1:34" s="5" customFormat="1" x14ac:dyDescent="0.2">
      <c r="A85" s="33"/>
      <c r="B85" s="34" t="s">
        <v>187</v>
      </c>
      <c r="C85" s="35"/>
      <c r="D85" s="501">
        <v>5000000</v>
      </c>
      <c r="E85" s="525">
        <v>5000000</v>
      </c>
      <c r="F85" s="526">
        <v>5000000</v>
      </c>
      <c r="G85" s="526">
        <v>5000000</v>
      </c>
      <c r="H85" s="525"/>
      <c r="I85" s="525">
        <f t="shared" si="44"/>
        <v>5000000</v>
      </c>
      <c r="J85" s="525">
        <f t="shared" si="53"/>
        <v>0</v>
      </c>
      <c r="K85" s="29"/>
      <c r="L85" s="30"/>
      <c r="M85" s="494">
        <v>11000000</v>
      </c>
      <c r="N85" s="52">
        <v>11000000</v>
      </c>
      <c r="O85" s="501">
        <v>5000000</v>
      </c>
      <c r="P85" s="524"/>
      <c r="Q85" s="501">
        <f t="shared" si="45"/>
        <v>5000000</v>
      </c>
      <c r="R85" s="501">
        <v>5000000</v>
      </c>
      <c r="S85" s="501"/>
      <c r="T85" s="501">
        <f t="shared" si="46"/>
        <v>5500000</v>
      </c>
      <c r="U85" s="52">
        <v>11000000</v>
      </c>
      <c r="V85" s="52">
        <v>11000000</v>
      </c>
      <c r="W85" s="52">
        <v>11000000</v>
      </c>
      <c r="X85" s="52">
        <v>11000000</v>
      </c>
      <c r="Y85" s="52">
        <v>0</v>
      </c>
      <c r="Z85" s="52">
        <v>0</v>
      </c>
      <c r="AA85" s="52">
        <v>0</v>
      </c>
      <c r="AB85" s="54">
        <v>11000000</v>
      </c>
      <c r="AC85" s="494">
        <v>0</v>
      </c>
      <c r="AD85" s="55">
        <v>11000000</v>
      </c>
      <c r="AE85" s="462">
        <v>11000000</v>
      </c>
      <c r="AF85" s="496"/>
      <c r="AG85" s="440"/>
      <c r="AH85" s="440"/>
    </row>
    <row r="86" spans="1:34" s="5" customFormat="1" x14ac:dyDescent="0.2">
      <c r="A86" s="33"/>
      <c r="B86" s="34" t="s">
        <v>188</v>
      </c>
      <c r="C86" s="35"/>
      <c r="D86" s="501">
        <v>11000000</v>
      </c>
      <c r="E86" s="525">
        <v>11000000</v>
      </c>
      <c r="F86" s="526">
        <v>11000000</v>
      </c>
      <c r="G86" s="526">
        <v>11000000</v>
      </c>
      <c r="H86" s="525"/>
      <c r="I86" s="525">
        <f t="shared" si="44"/>
        <v>11000000</v>
      </c>
      <c r="J86" s="525">
        <f t="shared" si="53"/>
        <v>0</v>
      </c>
      <c r="K86" s="86"/>
      <c r="L86" s="87"/>
      <c r="M86" s="544"/>
      <c r="N86" s="106"/>
      <c r="O86" s="501">
        <v>11000000</v>
      </c>
      <c r="P86" s="524"/>
      <c r="Q86" s="501">
        <f t="shared" si="45"/>
        <v>11000000</v>
      </c>
      <c r="R86" s="501">
        <v>5500000</v>
      </c>
      <c r="S86" s="501"/>
      <c r="T86" s="545"/>
      <c r="U86" s="106"/>
      <c r="V86" s="106"/>
      <c r="W86" s="106"/>
      <c r="X86" s="106"/>
      <c r="Y86" s="106"/>
      <c r="Z86" s="106"/>
      <c r="AA86" s="106"/>
      <c r="AB86" s="108"/>
      <c r="AC86" s="544"/>
      <c r="AD86" s="109"/>
      <c r="AE86" s="546"/>
      <c r="AF86" s="547"/>
      <c r="AG86" s="440"/>
      <c r="AH86" s="440"/>
    </row>
    <row r="87" spans="1:34" s="5" customFormat="1" x14ac:dyDescent="0.2">
      <c r="A87" s="104"/>
      <c r="B87" s="105" t="s">
        <v>270</v>
      </c>
      <c r="C87" s="269"/>
      <c r="D87" s="545"/>
      <c r="E87" s="548">
        <v>320000</v>
      </c>
      <c r="F87" s="549">
        <v>300000</v>
      </c>
      <c r="G87" s="549">
        <v>300000</v>
      </c>
      <c r="H87" s="548"/>
      <c r="I87" s="548">
        <f t="shared" si="44"/>
        <v>300000</v>
      </c>
      <c r="J87" s="548">
        <f t="shared" si="53"/>
        <v>20000</v>
      </c>
      <c r="K87" s="63">
        <f t="shared" ref="K87:O88" si="54">+K88+K113</f>
        <v>575737300</v>
      </c>
      <c r="L87" s="64">
        <f t="shared" si="54"/>
        <v>545517633.44000006</v>
      </c>
      <c r="M87" s="550">
        <f t="shared" si="54"/>
        <v>703574600</v>
      </c>
      <c r="N87" s="64">
        <f t="shared" si="54"/>
        <v>607501200</v>
      </c>
      <c r="O87" s="545"/>
      <c r="P87" s="551"/>
      <c r="Q87" s="545">
        <f t="shared" si="45"/>
        <v>0</v>
      </c>
      <c r="R87" s="545"/>
      <c r="S87" s="545"/>
      <c r="T87" s="552">
        <f t="shared" ref="T87:T92" si="55">Q88-R88-S88</f>
        <v>210857132.15999997</v>
      </c>
      <c r="U87" s="552">
        <f>+U88+U113</f>
        <v>1651090400</v>
      </c>
      <c r="V87" s="552">
        <f t="shared" ref="P87:AF88" si="56">+V88+V113</f>
        <v>1851236100</v>
      </c>
      <c r="W87" s="552">
        <f t="shared" si="56"/>
        <v>2083798200</v>
      </c>
      <c r="X87" s="552">
        <f t="shared" si="56"/>
        <v>1820488400</v>
      </c>
      <c r="Y87" s="552">
        <f t="shared" si="56"/>
        <v>9102442000</v>
      </c>
      <c r="Z87" s="552">
        <f t="shared" si="56"/>
        <v>9102442000</v>
      </c>
      <c r="AA87" s="552">
        <f t="shared" si="56"/>
        <v>5461465200</v>
      </c>
      <c r="AB87" s="552">
        <f t="shared" si="56"/>
        <v>1147617600</v>
      </c>
      <c r="AC87" s="552">
        <f t="shared" si="56"/>
        <v>1245200</v>
      </c>
      <c r="AD87" s="552">
        <f t="shared" si="56"/>
        <v>1171572400</v>
      </c>
      <c r="AE87" s="552">
        <f t="shared" si="56"/>
        <v>1171572400</v>
      </c>
      <c r="AF87" s="552">
        <f t="shared" si="56"/>
        <v>90000000</v>
      </c>
      <c r="AG87" s="440"/>
      <c r="AH87" s="440"/>
    </row>
    <row r="88" spans="1:34" s="5" customFormat="1" x14ac:dyDescent="0.2">
      <c r="A88" s="60" t="s">
        <v>166</v>
      </c>
      <c r="B88" s="61"/>
      <c r="C88" s="62"/>
      <c r="D88" s="552">
        <f>+D89+D114</f>
        <v>1130557100</v>
      </c>
      <c r="E88" s="553">
        <f>+E89+E114</f>
        <v>2925811400</v>
      </c>
      <c r="F88" s="554">
        <f t="shared" ref="F88:H88" si="57">+F89+F114</f>
        <v>1238794700</v>
      </c>
      <c r="G88" s="554">
        <f t="shared" si="57"/>
        <v>1048794700</v>
      </c>
      <c r="H88" s="553">
        <f t="shared" si="57"/>
        <v>0</v>
      </c>
      <c r="I88" s="553">
        <f t="shared" si="44"/>
        <v>1048794700</v>
      </c>
      <c r="J88" s="553">
        <f t="shared" si="53"/>
        <v>1877016700</v>
      </c>
      <c r="K88" s="17">
        <f t="shared" ref="K88:N88" si="58">SUM(K89)</f>
        <v>36000000</v>
      </c>
      <c r="L88" s="18">
        <f t="shared" si="58"/>
        <v>48706041.710000001</v>
      </c>
      <c r="M88" s="493">
        <f t="shared" si="58"/>
        <v>76602000</v>
      </c>
      <c r="N88" s="19">
        <f t="shared" si="58"/>
        <v>52025600</v>
      </c>
      <c r="O88" s="552">
        <f t="shared" si="54"/>
        <v>1216662900</v>
      </c>
      <c r="P88" s="552">
        <f t="shared" si="56"/>
        <v>0</v>
      </c>
      <c r="Q88" s="552">
        <f t="shared" si="45"/>
        <v>1216662900</v>
      </c>
      <c r="R88" s="552">
        <f t="shared" si="56"/>
        <v>1005805767.84</v>
      </c>
      <c r="S88" s="552">
        <f t="shared" si="56"/>
        <v>0</v>
      </c>
      <c r="T88" s="447">
        <f t="shared" si="55"/>
        <v>146458286.40000001</v>
      </c>
      <c r="U88" s="447">
        <f>SUM(U89)</f>
        <v>496857400</v>
      </c>
      <c r="V88" s="447">
        <f t="shared" ref="V88:AF88" si="59">SUM(V89)</f>
        <v>642966400</v>
      </c>
      <c r="W88" s="447">
        <f t="shared" si="59"/>
        <v>815114800</v>
      </c>
      <c r="X88" s="447">
        <f t="shared" si="59"/>
        <v>488370700</v>
      </c>
      <c r="Y88" s="447">
        <f t="shared" si="59"/>
        <v>2441853500</v>
      </c>
      <c r="Z88" s="447">
        <f t="shared" si="59"/>
        <v>2441853500</v>
      </c>
      <c r="AA88" s="447">
        <f t="shared" si="59"/>
        <v>1465112100</v>
      </c>
      <c r="AB88" s="447">
        <f t="shared" si="59"/>
        <v>396010500</v>
      </c>
      <c r="AC88" s="447">
        <f t="shared" si="59"/>
        <v>0</v>
      </c>
      <c r="AD88" s="447">
        <f t="shared" si="59"/>
        <v>421210500</v>
      </c>
      <c r="AE88" s="447">
        <f t="shared" si="59"/>
        <v>421210500</v>
      </c>
      <c r="AF88" s="447">
        <f t="shared" si="59"/>
        <v>40000000</v>
      </c>
      <c r="AG88" s="440"/>
      <c r="AH88" s="440"/>
    </row>
    <row r="89" spans="1:34" s="5" customFormat="1" x14ac:dyDescent="0.2">
      <c r="A89" s="14" t="s">
        <v>131</v>
      </c>
      <c r="B89" s="15"/>
      <c r="C89" s="16"/>
      <c r="D89" s="447">
        <f t="shared" ref="D89" si="60">SUM(D90)</f>
        <v>395195200</v>
      </c>
      <c r="E89" s="448">
        <f>SUM(E90)</f>
        <v>1809847700</v>
      </c>
      <c r="F89" s="449">
        <f t="shared" ref="F89:H89" si="61">SUM(F90)</f>
        <v>785668800</v>
      </c>
      <c r="G89" s="449">
        <f t="shared" si="61"/>
        <v>685668800</v>
      </c>
      <c r="H89" s="448">
        <f t="shared" si="61"/>
        <v>0</v>
      </c>
      <c r="I89" s="448">
        <f t="shared" si="44"/>
        <v>685668800</v>
      </c>
      <c r="J89" s="448">
        <f t="shared" si="53"/>
        <v>1124178900</v>
      </c>
      <c r="K89" s="23">
        <f>+K92+K90+K94</f>
        <v>36000000</v>
      </c>
      <c r="L89" s="24">
        <f>+L92+L90+L94+L95+L96+L98+L100+L102</f>
        <v>48706041.710000001</v>
      </c>
      <c r="M89" s="543">
        <f>+M92+M90+M94+M96+M98+M100+M102</f>
        <v>76602000</v>
      </c>
      <c r="N89" s="23">
        <f>+N92+N90+N94+N96+N98+N100+N102</f>
        <v>52025600</v>
      </c>
      <c r="O89" s="447">
        <f t="shared" ref="O89:S89" si="62">SUM(O90)</f>
        <v>333876500</v>
      </c>
      <c r="P89" s="447">
        <f t="shared" si="62"/>
        <v>0</v>
      </c>
      <c r="Q89" s="447">
        <f t="shared" si="45"/>
        <v>333876500</v>
      </c>
      <c r="R89" s="447">
        <f t="shared" si="62"/>
        <v>187418213.59999999</v>
      </c>
      <c r="S89" s="447">
        <f t="shared" si="62"/>
        <v>0</v>
      </c>
      <c r="T89" s="450">
        <f t="shared" si="55"/>
        <v>146458286.40000001</v>
      </c>
      <c r="U89" s="450">
        <f>+U92+U90+U94+U96+U97+U99+U102+U95+U104+U105+U106+U112</f>
        <v>496857400</v>
      </c>
      <c r="V89" s="450">
        <f t="shared" ref="P89:AF90" si="63">+V92+V90+V94+V96+V97+V99+V102+V95+V104+V105+V106+V112</f>
        <v>642966400</v>
      </c>
      <c r="W89" s="450">
        <f t="shared" si="63"/>
        <v>815114800</v>
      </c>
      <c r="X89" s="450">
        <f t="shared" si="63"/>
        <v>488370700</v>
      </c>
      <c r="Y89" s="450">
        <f t="shared" si="63"/>
        <v>2441853500</v>
      </c>
      <c r="Z89" s="450">
        <f t="shared" si="63"/>
        <v>2441853500</v>
      </c>
      <c r="AA89" s="450">
        <f t="shared" si="63"/>
        <v>1465112100</v>
      </c>
      <c r="AB89" s="450">
        <f t="shared" si="63"/>
        <v>396010500</v>
      </c>
      <c r="AC89" s="450">
        <f t="shared" si="63"/>
        <v>0</v>
      </c>
      <c r="AD89" s="450">
        <f t="shared" si="63"/>
        <v>421210500</v>
      </c>
      <c r="AE89" s="450">
        <f t="shared" si="63"/>
        <v>421210500</v>
      </c>
      <c r="AF89" s="450">
        <f t="shared" si="63"/>
        <v>40000000</v>
      </c>
      <c r="AG89" s="440"/>
      <c r="AH89" s="440"/>
    </row>
    <row r="90" spans="1:34" s="5" customFormat="1" x14ac:dyDescent="0.2">
      <c r="A90" s="20" t="s">
        <v>45</v>
      </c>
      <c r="B90" s="65"/>
      <c r="C90" s="22"/>
      <c r="D90" s="450">
        <f>+D93+D91+D95+D97+D98+D100+D103+D96+D105+D106+D107+D113</f>
        <v>395195200</v>
      </c>
      <c r="E90" s="451">
        <f>+E93+E91+E95+E97+E98+E100+E103+E96+E105+E106+E107+E113</f>
        <v>1809847700</v>
      </c>
      <c r="F90" s="452">
        <f t="shared" ref="F90:H90" si="64">+F93+F91+F95+F97+F98+F100+F103+F96+F105+F106+F107+F113</f>
        <v>785668800</v>
      </c>
      <c r="G90" s="452">
        <f t="shared" si="64"/>
        <v>685668800</v>
      </c>
      <c r="H90" s="451">
        <f t="shared" si="64"/>
        <v>0</v>
      </c>
      <c r="I90" s="451">
        <f t="shared" si="44"/>
        <v>685668800</v>
      </c>
      <c r="J90" s="451">
        <f t="shared" si="53"/>
        <v>1124178900</v>
      </c>
      <c r="K90" s="52">
        <v>19000000</v>
      </c>
      <c r="L90" s="53">
        <v>18859302.199999999</v>
      </c>
      <c r="M90" s="494">
        <v>30000000</v>
      </c>
      <c r="N90" s="52">
        <v>15000000</v>
      </c>
      <c r="O90" s="450">
        <f>+O93+O91+O95+O97+O99+O100+O103+O96+O105+O106+O107+O113</f>
        <v>333876500</v>
      </c>
      <c r="P90" s="450">
        <f t="shared" si="63"/>
        <v>0</v>
      </c>
      <c r="Q90" s="450">
        <f t="shared" si="45"/>
        <v>333876500</v>
      </c>
      <c r="R90" s="450">
        <f>+R93+R91+R95+R97+R98+R100+R103+R96+R105+R106+R107+R113</f>
        <v>187418213.59999999</v>
      </c>
      <c r="S90" s="450">
        <f t="shared" si="63"/>
        <v>0</v>
      </c>
      <c r="T90" s="462">
        <f t="shared" si="55"/>
        <v>9548005.5199999996</v>
      </c>
      <c r="U90" s="52">
        <v>30000000</v>
      </c>
      <c r="V90" s="52">
        <f>SUM(U90*105/100)</f>
        <v>31500000</v>
      </c>
      <c r="W90" s="52">
        <f>SUM(V90*105/100)</f>
        <v>33075000</v>
      </c>
      <c r="X90" s="52">
        <v>34728800</v>
      </c>
      <c r="Y90" s="52">
        <f>SUM(X90*5)</f>
        <v>173644000</v>
      </c>
      <c r="Z90" s="52">
        <f>SUM(X90*5)</f>
        <v>173644000</v>
      </c>
      <c r="AA90" s="52">
        <f>SUM(X90*3)</f>
        <v>104186400</v>
      </c>
      <c r="AB90" s="54">
        <v>18859800</v>
      </c>
      <c r="AC90" s="494">
        <v>0</v>
      </c>
      <c r="AD90" s="55">
        <v>18859800</v>
      </c>
      <c r="AE90" s="462">
        <v>18859800</v>
      </c>
      <c r="AF90" s="496"/>
      <c r="AG90" s="440"/>
      <c r="AH90" s="440"/>
    </row>
    <row r="91" spans="1:34" s="5" customFormat="1" x14ac:dyDescent="0.2">
      <c r="A91" s="33"/>
      <c r="B91" s="266" t="s">
        <v>296</v>
      </c>
      <c r="C91" s="66"/>
      <c r="D91" s="462">
        <v>18859800</v>
      </c>
      <c r="E91" s="463">
        <v>18000000</v>
      </c>
      <c r="F91" s="464">
        <v>5266600</v>
      </c>
      <c r="G91" s="464">
        <v>5266600</v>
      </c>
      <c r="H91" s="463"/>
      <c r="I91" s="463">
        <f t="shared" si="44"/>
        <v>5266600</v>
      </c>
      <c r="J91" s="463">
        <f t="shared" si="53"/>
        <v>12733400</v>
      </c>
      <c r="K91" s="52"/>
      <c r="L91" s="53"/>
      <c r="M91" s="494"/>
      <c r="N91" s="52"/>
      <c r="O91" s="462">
        <v>15000000</v>
      </c>
      <c r="P91" s="495"/>
      <c r="Q91" s="462">
        <f t="shared" si="45"/>
        <v>15000000</v>
      </c>
      <c r="R91" s="462">
        <v>5451994.4800000004</v>
      </c>
      <c r="S91" s="462"/>
      <c r="T91" s="462">
        <f t="shared" si="55"/>
        <v>0</v>
      </c>
      <c r="U91" s="52"/>
      <c r="V91" s="52"/>
      <c r="W91" s="52"/>
      <c r="X91" s="52"/>
      <c r="Y91" s="52"/>
      <c r="Z91" s="52"/>
      <c r="AA91" s="52"/>
      <c r="AB91" s="54"/>
      <c r="AC91" s="494"/>
      <c r="AD91" s="55"/>
      <c r="AE91" s="462"/>
      <c r="AF91" s="496"/>
      <c r="AG91" s="440"/>
      <c r="AH91" s="440"/>
    </row>
    <row r="92" spans="1:34" s="5" customFormat="1" x14ac:dyDescent="0.2">
      <c r="A92" s="33"/>
      <c r="B92" s="183"/>
      <c r="C92" s="58" t="s">
        <v>297</v>
      </c>
      <c r="D92" s="462"/>
      <c r="E92" s="463"/>
      <c r="F92" s="464"/>
      <c r="G92" s="464"/>
      <c r="H92" s="463"/>
      <c r="I92" s="463">
        <f t="shared" si="44"/>
        <v>0</v>
      </c>
      <c r="J92" s="463">
        <f t="shared" si="53"/>
        <v>0</v>
      </c>
      <c r="K92" s="52">
        <v>7000000</v>
      </c>
      <c r="L92" s="53">
        <v>6961100.5800000001</v>
      </c>
      <c r="M92" s="494">
        <v>10000000</v>
      </c>
      <c r="N92" s="52">
        <v>7000000</v>
      </c>
      <c r="O92" s="462"/>
      <c r="P92" s="495"/>
      <c r="Q92" s="462">
        <f t="shared" si="45"/>
        <v>0</v>
      </c>
      <c r="R92" s="462"/>
      <c r="S92" s="462"/>
      <c r="T92" s="462">
        <f t="shared" si="55"/>
        <v>3996419.97</v>
      </c>
      <c r="U92" s="52">
        <v>10000000</v>
      </c>
      <c r="V92" s="52">
        <f>SUM(U92*105/100)</f>
        <v>10500000</v>
      </c>
      <c r="W92" s="52">
        <f>SUM(V92*105/100)</f>
        <v>11025000</v>
      </c>
      <c r="X92" s="52">
        <v>11576300</v>
      </c>
      <c r="Y92" s="52">
        <f>SUM(X92*5)</f>
        <v>57881500</v>
      </c>
      <c r="Z92" s="52">
        <f>SUM(X92*5)</f>
        <v>57881500</v>
      </c>
      <c r="AA92" s="52">
        <f>SUM(X92*3)</f>
        <v>34728900</v>
      </c>
      <c r="AB92" s="54">
        <v>7000000</v>
      </c>
      <c r="AC92" s="494">
        <v>0</v>
      </c>
      <c r="AD92" s="55">
        <v>7000000</v>
      </c>
      <c r="AE92" s="462">
        <v>7000000</v>
      </c>
      <c r="AF92" s="496"/>
      <c r="AG92" s="440"/>
      <c r="AH92" s="440"/>
    </row>
    <row r="93" spans="1:34" s="5" customFormat="1" x14ac:dyDescent="0.2">
      <c r="A93" s="33"/>
      <c r="B93" s="266" t="s">
        <v>298</v>
      </c>
      <c r="C93" s="66"/>
      <c r="D93" s="462">
        <v>7000000</v>
      </c>
      <c r="E93" s="463">
        <v>10000000</v>
      </c>
      <c r="F93" s="464">
        <v>2972500</v>
      </c>
      <c r="G93" s="464">
        <v>2972500</v>
      </c>
      <c r="H93" s="463"/>
      <c r="I93" s="463">
        <f t="shared" si="44"/>
        <v>2972500</v>
      </c>
      <c r="J93" s="463">
        <f t="shared" si="53"/>
        <v>7027500</v>
      </c>
      <c r="K93" s="52"/>
      <c r="L93" s="53"/>
      <c r="M93" s="494"/>
      <c r="N93" s="52"/>
      <c r="O93" s="462">
        <v>7000000</v>
      </c>
      <c r="P93" s="495"/>
      <c r="Q93" s="462">
        <f t="shared" si="45"/>
        <v>7000000</v>
      </c>
      <c r="R93" s="462">
        <v>3003580.03</v>
      </c>
      <c r="S93" s="462"/>
      <c r="T93" s="462"/>
      <c r="U93" s="52"/>
      <c r="V93" s="52"/>
      <c r="W93" s="52"/>
      <c r="X93" s="52"/>
      <c r="Y93" s="52"/>
      <c r="Z93" s="52"/>
      <c r="AA93" s="52"/>
      <c r="AB93" s="54"/>
      <c r="AC93" s="494"/>
      <c r="AD93" s="55"/>
      <c r="AE93" s="462"/>
      <c r="AF93" s="496"/>
      <c r="AG93" s="440"/>
      <c r="AH93" s="440"/>
    </row>
    <row r="94" spans="1:34" s="5" customFormat="1" x14ac:dyDescent="0.2">
      <c r="A94" s="33"/>
      <c r="C94" s="267" t="s">
        <v>295</v>
      </c>
      <c r="D94" s="462"/>
      <c r="E94" s="463"/>
      <c r="F94" s="464"/>
      <c r="G94" s="464"/>
      <c r="H94" s="463"/>
      <c r="I94" s="463">
        <f t="shared" si="44"/>
        <v>0</v>
      </c>
      <c r="J94" s="463">
        <f t="shared" si="53"/>
        <v>0</v>
      </c>
      <c r="K94" s="52">
        <v>10000000</v>
      </c>
      <c r="L94" s="53">
        <v>7929268.3700000001</v>
      </c>
      <c r="M94" s="494">
        <v>15000000</v>
      </c>
      <c r="N94" s="52">
        <v>10000000</v>
      </c>
      <c r="O94" s="462"/>
      <c r="P94" s="495"/>
      <c r="Q94" s="462">
        <f t="shared" si="45"/>
        <v>0</v>
      </c>
      <c r="R94" s="462"/>
      <c r="S94" s="462"/>
      <c r="T94" s="462">
        <f t="shared" ref="T94:T100" si="65">Q95-R95-S95</f>
        <v>4320478.1399999997</v>
      </c>
      <c r="U94" s="52">
        <v>15000000</v>
      </c>
      <c r="V94" s="52">
        <f>SUM(U94*105/100)</f>
        <v>15750000</v>
      </c>
      <c r="W94" s="52">
        <f>SUM(V94*105/100)</f>
        <v>16537500</v>
      </c>
      <c r="X94" s="52">
        <v>17364400</v>
      </c>
      <c r="Y94" s="52">
        <f>SUM(X94*5)</f>
        <v>86822000</v>
      </c>
      <c r="Z94" s="52">
        <f>SUM(X94*5)</f>
        <v>86822000</v>
      </c>
      <c r="AA94" s="52">
        <f>SUM(X94*3)</f>
        <v>52093200</v>
      </c>
      <c r="AB94" s="54">
        <v>10000000</v>
      </c>
      <c r="AC94" s="494">
        <v>0</v>
      </c>
      <c r="AD94" s="55">
        <v>10000000</v>
      </c>
      <c r="AE94" s="462">
        <v>10000000</v>
      </c>
      <c r="AF94" s="496"/>
      <c r="AG94" s="440"/>
      <c r="AH94" s="440"/>
    </row>
    <row r="95" spans="1:34" s="5" customFormat="1" x14ac:dyDescent="0.2">
      <c r="A95" s="33"/>
      <c r="B95" s="34" t="s">
        <v>195</v>
      </c>
      <c r="C95" s="66"/>
      <c r="D95" s="462">
        <v>10000000</v>
      </c>
      <c r="E95" s="463">
        <v>11000000</v>
      </c>
      <c r="F95" s="464">
        <v>4000000</v>
      </c>
      <c r="G95" s="464">
        <v>4000000</v>
      </c>
      <c r="H95" s="463"/>
      <c r="I95" s="463">
        <f t="shared" si="44"/>
        <v>4000000</v>
      </c>
      <c r="J95" s="463">
        <f t="shared" si="53"/>
        <v>7000000</v>
      </c>
      <c r="K95" s="67">
        <v>15000000</v>
      </c>
      <c r="L95" s="68">
        <v>14956370.560000001</v>
      </c>
      <c r="M95" s="498">
        <v>47732600</v>
      </c>
      <c r="N95" s="67">
        <v>28000000</v>
      </c>
      <c r="O95" s="462">
        <v>10000000</v>
      </c>
      <c r="P95" s="495"/>
      <c r="Q95" s="462">
        <f t="shared" si="45"/>
        <v>10000000</v>
      </c>
      <c r="R95" s="462">
        <v>5679521.8600000003</v>
      </c>
      <c r="S95" s="462"/>
      <c r="T95" s="462">
        <f t="shared" si="65"/>
        <v>18716477.460000001</v>
      </c>
      <c r="U95" s="67">
        <v>64493900</v>
      </c>
      <c r="V95" s="67">
        <v>67718600</v>
      </c>
      <c r="W95" s="67">
        <v>71104500</v>
      </c>
      <c r="X95" s="67">
        <v>74659700</v>
      </c>
      <c r="Y95" s="67">
        <f>SUM(X95*5)</f>
        <v>373298500</v>
      </c>
      <c r="Z95" s="67">
        <f>SUM(X95*5)</f>
        <v>373298500</v>
      </c>
      <c r="AA95" s="67">
        <f>SUM(X95*3)</f>
        <v>223979100</v>
      </c>
      <c r="AB95" s="54">
        <v>35864300</v>
      </c>
      <c r="AC95" s="498">
        <v>0</v>
      </c>
      <c r="AD95" s="55">
        <v>35864300</v>
      </c>
      <c r="AE95" s="462">
        <v>35864300</v>
      </c>
      <c r="AF95" s="496"/>
      <c r="AG95" s="440"/>
      <c r="AH95" s="440"/>
    </row>
    <row r="96" spans="1:34" s="5" customFormat="1" x14ac:dyDescent="0.2">
      <c r="A96" s="33"/>
      <c r="B96" s="34" t="s">
        <v>196</v>
      </c>
      <c r="C96" s="66"/>
      <c r="D96" s="462">
        <v>35864300</v>
      </c>
      <c r="E96" s="463">
        <v>51502500</v>
      </c>
      <c r="F96" s="464">
        <v>2383500</v>
      </c>
      <c r="G96" s="464">
        <v>2383500</v>
      </c>
      <c r="H96" s="463"/>
      <c r="I96" s="463">
        <f t="shared" si="44"/>
        <v>2383500</v>
      </c>
      <c r="J96" s="463">
        <f t="shared" si="53"/>
        <v>49119000</v>
      </c>
      <c r="K96" s="69">
        <v>0</v>
      </c>
      <c r="L96" s="70"/>
      <c r="M96" s="498">
        <v>14602000</v>
      </c>
      <c r="N96" s="52">
        <v>13025600</v>
      </c>
      <c r="O96" s="462">
        <v>23100000</v>
      </c>
      <c r="P96" s="495"/>
      <c r="Q96" s="462">
        <f t="shared" si="45"/>
        <v>23100000</v>
      </c>
      <c r="R96" s="462">
        <v>4383522.54</v>
      </c>
      <c r="S96" s="462"/>
      <c r="T96" s="462">
        <f t="shared" si="65"/>
        <v>8025600</v>
      </c>
      <c r="U96" s="52">
        <v>17799000</v>
      </c>
      <c r="V96" s="52">
        <v>18689000</v>
      </c>
      <c r="W96" s="52">
        <v>19623500</v>
      </c>
      <c r="X96" s="52">
        <v>20604700</v>
      </c>
      <c r="Y96" s="52">
        <f>SUM(X96*5)</f>
        <v>103023500</v>
      </c>
      <c r="Z96" s="52">
        <f>SUM(X96*5)</f>
        <v>103023500</v>
      </c>
      <c r="AA96" s="52">
        <f>SUM(X96*3)</f>
        <v>61814100</v>
      </c>
      <c r="AB96" s="54">
        <v>14990300</v>
      </c>
      <c r="AC96" s="494">
        <v>0</v>
      </c>
      <c r="AD96" s="55">
        <v>14990300</v>
      </c>
      <c r="AE96" s="462">
        <v>14990300</v>
      </c>
      <c r="AF96" s="496"/>
      <c r="AG96" s="440"/>
      <c r="AH96" s="440"/>
    </row>
    <row r="97" spans="1:34" s="5" customFormat="1" x14ac:dyDescent="0.2">
      <c r="A97" s="33"/>
      <c r="B97" s="34" t="s">
        <v>197</v>
      </c>
      <c r="C97" s="66"/>
      <c r="D97" s="462">
        <v>14990300</v>
      </c>
      <c r="E97" s="463">
        <v>14653000</v>
      </c>
      <c r="F97" s="464">
        <v>0</v>
      </c>
      <c r="G97" s="464">
        <v>0</v>
      </c>
      <c r="H97" s="463"/>
      <c r="I97" s="463">
        <f t="shared" si="44"/>
        <v>0</v>
      </c>
      <c r="J97" s="463">
        <f t="shared" si="53"/>
        <v>14653000</v>
      </c>
      <c r="K97" s="29"/>
      <c r="L97" s="30"/>
      <c r="M97" s="498"/>
      <c r="N97" s="29"/>
      <c r="O97" s="462">
        <v>8025600</v>
      </c>
      <c r="P97" s="495"/>
      <c r="Q97" s="462">
        <f t="shared" si="45"/>
        <v>8025600</v>
      </c>
      <c r="R97" s="462">
        <v>0</v>
      </c>
      <c r="S97" s="462"/>
      <c r="T97" s="462">
        <f t="shared" si="65"/>
        <v>0</v>
      </c>
      <c r="U97" s="29"/>
      <c r="V97" s="29"/>
      <c r="W97" s="29"/>
      <c r="X97" s="29"/>
      <c r="Y97" s="29"/>
      <c r="Z97" s="29"/>
      <c r="AA97" s="29"/>
      <c r="AB97" s="31"/>
      <c r="AC97" s="465"/>
      <c r="AD97" s="55"/>
      <c r="AE97" s="462"/>
      <c r="AF97" s="496"/>
      <c r="AG97" s="440"/>
      <c r="AH97" s="440"/>
    </row>
    <row r="98" spans="1:34" s="5" customFormat="1" x14ac:dyDescent="0.2">
      <c r="A98" s="71"/>
      <c r="B98" s="72" t="s">
        <v>198</v>
      </c>
      <c r="C98" s="73"/>
      <c r="D98" s="462">
        <v>5000000</v>
      </c>
      <c r="E98" s="555">
        <v>0</v>
      </c>
      <c r="F98" s="556"/>
      <c r="G98" s="556"/>
      <c r="H98" s="555"/>
      <c r="I98" s="555">
        <f t="shared" si="44"/>
        <v>0</v>
      </c>
      <c r="J98" s="555">
        <f t="shared" si="53"/>
        <v>0</v>
      </c>
      <c r="K98" s="29">
        <v>0</v>
      </c>
      <c r="L98" s="30"/>
      <c r="M98" s="498">
        <v>7000000</v>
      </c>
      <c r="N98" s="52">
        <v>7000000</v>
      </c>
      <c r="O98" s="462"/>
      <c r="P98" s="495"/>
      <c r="Q98" s="462">
        <f t="shared" si="45"/>
        <v>0</v>
      </c>
      <c r="R98" s="462"/>
      <c r="S98" s="462"/>
      <c r="T98" s="462">
        <f t="shared" si="65"/>
        <v>7000000</v>
      </c>
      <c r="U98" s="52">
        <v>5000000</v>
      </c>
      <c r="V98" s="52">
        <f>SUM(U98*105/100)</f>
        <v>5250000</v>
      </c>
      <c r="W98" s="52">
        <f>SUM(V98*105/100)</f>
        <v>5512500</v>
      </c>
      <c r="X98" s="52">
        <v>5788200</v>
      </c>
      <c r="Y98" s="52">
        <f>SUM(X98*5)</f>
        <v>28941000</v>
      </c>
      <c r="Z98" s="52">
        <f>SUM(X98*5)</f>
        <v>28941000</v>
      </c>
      <c r="AA98" s="52">
        <f>SUM(X98*3)</f>
        <v>17364600</v>
      </c>
      <c r="AB98" s="54">
        <v>5000000</v>
      </c>
      <c r="AC98" s="494">
        <v>0</v>
      </c>
      <c r="AD98" s="54">
        <v>5000000</v>
      </c>
      <c r="AE98" s="494">
        <v>5000000</v>
      </c>
      <c r="AF98" s="494"/>
      <c r="AG98" s="440"/>
      <c r="AH98" s="440"/>
    </row>
    <row r="99" spans="1:34" s="5" customFormat="1" x14ac:dyDescent="0.2">
      <c r="A99" s="71"/>
      <c r="B99" s="72" t="s">
        <v>276</v>
      </c>
      <c r="C99" s="73"/>
      <c r="D99" s="462"/>
      <c r="E99" s="463"/>
      <c r="F99" s="464"/>
      <c r="G99" s="464"/>
      <c r="H99" s="463"/>
      <c r="I99" s="463">
        <f t="shared" si="44"/>
        <v>0</v>
      </c>
      <c r="J99" s="463">
        <f t="shared" si="53"/>
        <v>0</v>
      </c>
      <c r="K99" s="41"/>
      <c r="L99" s="74"/>
      <c r="M99" s="557"/>
      <c r="N99" s="75"/>
      <c r="O99" s="462">
        <v>7000000</v>
      </c>
      <c r="P99" s="495"/>
      <c r="Q99" s="462">
        <f t="shared" si="45"/>
        <v>7000000</v>
      </c>
      <c r="R99" s="462">
        <v>0</v>
      </c>
      <c r="S99" s="462"/>
      <c r="T99" s="471">
        <f t="shared" si="65"/>
        <v>0</v>
      </c>
      <c r="U99" s="75"/>
      <c r="V99" s="75"/>
      <c r="W99" s="75"/>
      <c r="X99" s="75"/>
      <c r="Y99" s="75"/>
      <c r="Z99" s="75"/>
      <c r="AA99" s="75"/>
      <c r="AB99" s="42"/>
      <c r="AC99" s="474"/>
      <c r="AD99" s="76"/>
      <c r="AE99" s="471"/>
      <c r="AF99" s="558"/>
      <c r="AG99" s="440"/>
      <c r="AH99" s="440"/>
    </row>
    <row r="100" spans="1:34" s="5" customFormat="1" x14ac:dyDescent="0.2">
      <c r="A100" s="71"/>
      <c r="B100" s="263" t="s">
        <v>777</v>
      </c>
      <c r="C100" s="73"/>
      <c r="D100" s="462">
        <v>24980700</v>
      </c>
      <c r="E100" s="463">
        <v>330734600</v>
      </c>
      <c r="F100" s="464">
        <v>122894400</v>
      </c>
      <c r="G100" s="559">
        <v>22894400</v>
      </c>
      <c r="H100" s="472"/>
      <c r="I100" s="472">
        <f t="shared" si="44"/>
        <v>22894400</v>
      </c>
      <c r="J100" s="472">
        <f t="shared" si="53"/>
        <v>307840200</v>
      </c>
      <c r="K100" s="78"/>
      <c r="L100" s="79"/>
      <c r="M100" s="533"/>
      <c r="N100" s="80"/>
      <c r="O100" s="471"/>
      <c r="P100" s="560"/>
      <c r="Q100" s="471">
        <f t="shared" si="45"/>
        <v>0</v>
      </c>
      <c r="R100" s="471"/>
      <c r="S100" s="471"/>
      <c r="T100" s="535">
        <f t="shared" si="65"/>
        <v>0</v>
      </c>
      <c r="U100" s="80">
        <v>41457600</v>
      </c>
      <c r="V100" s="80"/>
      <c r="W100" s="80"/>
      <c r="X100" s="80"/>
      <c r="Y100" s="80"/>
      <c r="Z100" s="80"/>
      <c r="AA100" s="80"/>
      <c r="AB100" s="81">
        <v>32180700</v>
      </c>
      <c r="AC100" s="516">
        <v>0</v>
      </c>
      <c r="AD100" s="82">
        <v>32180700</v>
      </c>
      <c r="AE100" s="535">
        <v>32180700</v>
      </c>
      <c r="AF100" s="536">
        <v>7200000</v>
      </c>
      <c r="AG100" s="440"/>
      <c r="AH100" s="440"/>
    </row>
    <row r="101" spans="1:34" s="5" customFormat="1" x14ac:dyDescent="0.2">
      <c r="A101" s="77"/>
      <c r="B101" s="111"/>
      <c r="C101" s="271" t="s">
        <v>300</v>
      </c>
      <c r="D101" s="535"/>
      <c r="E101" s="561"/>
      <c r="F101" s="562"/>
      <c r="G101" s="562"/>
      <c r="H101" s="561"/>
      <c r="I101" s="561">
        <f t="shared" si="44"/>
        <v>0</v>
      </c>
      <c r="J101" s="561">
        <f t="shared" si="53"/>
        <v>0</v>
      </c>
      <c r="K101" s="78"/>
      <c r="L101" s="79"/>
      <c r="M101" s="533"/>
      <c r="N101" s="80"/>
      <c r="O101" s="535"/>
      <c r="P101" s="563"/>
      <c r="Q101" s="535">
        <f t="shared" si="45"/>
        <v>0</v>
      </c>
      <c r="R101" s="535"/>
      <c r="S101" s="535"/>
      <c r="T101" s="535"/>
      <c r="U101" s="80"/>
      <c r="V101" s="80"/>
      <c r="W101" s="80"/>
      <c r="X101" s="80"/>
      <c r="Y101" s="80"/>
      <c r="Z101" s="80"/>
      <c r="AA101" s="80"/>
      <c r="AB101" s="81"/>
      <c r="AC101" s="516"/>
      <c r="AD101" s="82"/>
      <c r="AE101" s="535"/>
      <c r="AF101" s="536"/>
      <c r="AG101" s="440"/>
      <c r="AH101" s="440"/>
    </row>
    <row r="102" spans="1:34" s="5" customFormat="1" x14ac:dyDescent="0.2">
      <c r="A102" s="77"/>
      <c r="C102" s="111" t="s">
        <v>301</v>
      </c>
      <c r="D102" s="535"/>
      <c r="E102" s="561"/>
      <c r="F102" s="562"/>
      <c r="G102" s="562"/>
      <c r="H102" s="561"/>
      <c r="I102" s="561">
        <f t="shared" si="44"/>
        <v>0</v>
      </c>
      <c r="J102" s="561">
        <f t="shared" si="53"/>
        <v>0</v>
      </c>
      <c r="K102" s="29"/>
      <c r="L102" s="30"/>
      <c r="M102" s="498"/>
      <c r="N102" s="52"/>
      <c r="O102" s="535"/>
      <c r="P102" s="563"/>
      <c r="Q102" s="535">
        <f t="shared" si="45"/>
        <v>0</v>
      </c>
      <c r="R102" s="535"/>
      <c r="S102" s="535"/>
      <c r="T102" s="462">
        <f>Q103-R103-S103</f>
        <v>0</v>
      </c>
      <c r="U102" s="52">
        <v>35050200</v>
      </c>
      <c r="V102" s="67">
        <v>200000000</v>
      </c>
      <c r="W102" s="52">
        <v>350000000</v>
      </c>
      <c r="X102" s="52"/>
      <c r="Y102" s="52"/>
      <c r="Z102" s="52"/>
      <c r="AA102" s="52"/>
      <c r="AB102" s="54">
        <v>29796100</v>
      </c>
      <c r="AC102" s="494">
        <v>0</v>
      </c>
      <c r="AD102" s="55">
        <v>29796100</v>
      </c>
      <c r="AE102" s="462">
        <v>29796100</v>
      </c>
      <c r="AF102" s="496"/>
      <c r="AG102" s="440"/>
      <c r="AH102" s="440"/>
    </row>
    <row r="103" spans="1:34" s="5" customFormat="1" x14ac:dyDescent="0.2">
      <c r="A103" s="71"/>
      <c r="B103" s="72" t="s">
        <v>778</v>
      </c>
      <c r="C103" s="73"/>
      <c r="D103" s="462">
        <v>29796100</v>
      </c>
      <c r="E103" s="463">
        <v>1068688500</v>
      </c>
      <c r="F103" s="464">
        <v>479252200</v>
      </c>
      <c r="G103" s="464">
        <v>479252200</v>
      </c>
      <c r="H103" s="463"/>
      <c r="I103" s="463">
        <f t="shared" si="44"/>
        <v>479252200</v>
      </c>
      <c r="J103" s="463">
        <f t="shared" si="53"/>
        <v>589436300</v>
      </c>
      <c r="K103" s="29"/>
      <c r="L103" s="30"/>
      <c r="M103" s="498"/>
      <c r="N103" s="52"/>
      <c r="O103" s="462"/>
      <c r="P103" s="495"/>
      <c r="Q103" s="462">
        <f t="shared" si="45"/>
        <v>0</v>
      </c>
      <c r="R103" s="462"/>
      <c r="S103" s="462"/>
      <c r="T103" s="501"/>
      <c r="U103" s="52"/>
      <c r="V103" s="67"/>
      <c r="W103" s="52"/>
      <c r="X103" s="52"/>
      <c r="Y103" s="52"/>
      <c r="Z103" s="52"/>
      <c r="AA103" s="52"/>
      <c r="AB103" s="54"/>
      <c r="AC103" s="494"/>
      <c r="AD103" s="55"/>
      <c r="AE103" s="462"/>
      <c r="AF103" s="496"/>
      <c r="AG103" s="440"/>
      <c r="AH103" s="440"/>
    </row>
    <row r="104" spans="1:34" s="112" customFormat="1" x14ac:dyDescent="0.2">
      <c r="A104" s="71"/>
      <c r="B104" s="72"/>
      <c r="C104" s="270" t="s">
        <v>275</v>
      </c>
      <c r="D104" s="501"/>
      <c r="E104" s="525"/>
      <c r="F104" s="526"/>
      <c r="G104" s="526"/>
      <c r="H104" s="525"/>
      <c r="I104" s="525">
        <f t="shared" si="44"/>
        <v>0</v>
      </c>
      <c r="J104" s="525">
        <f t="shared" si="53"/>
        <v>0</v>
      </c>
      <c r="K104" s="52">
        <v>13632050</v>
      </c>
      <c r="L104" s="53"/>
      <c r="M104" s="494">
        <v>29012400</v>
      </c>
      <c r="N104" s="52"/>
      <c r="O104" s="501"/>
      <c r="P104" s="524"/>
      <c r="Q104" s="501">
        <f t="shared" si="45"/>
        <v>0</v>
      </c>
      <c r="R104" s="501"/>
      <c r="S104" s="501"/>
      <c r="T104" s="501">
        <f t="shared" ref="T104:T115" si="66">Q105-R105-S105</f>
        <v>26750900</v>
      </c>
      <c r="U104" s="52">
        <v>37902300</v>
      </c>
      <c r="V104" s="52"/>
      <c r="W104" s="52"/>
      <c r="X104" s="52"/>
      <c r="Y104" s="52"/>
      <c r="Z104" s="52"/>
      <c r="AA104" s="52"/>
      <c r="AB104" s="54"/>
      <c r="AC104" s="494"/>
      <c r="AD104" s="55">
        <v>24500000</v>
      </c>
      <c r="AE104" s="462">
        <v>24500000</v>
      </c>
      <c r="AF104" s="496"/>
      <c r="AG104" s="564"/>
      <c r="AH104" s="440"/>
    </row>
    <row r="105" spans="1:34" s="5" customFormat="1" x14ac:dyDescent="0.2">
      <c r="A105" s="184"/>
      <c r="B105" s="72" t="s">
        <v>199</v>
      </c>
      <c r="C105" s="103"/>
      <c r="D105" s="501">
        <v>9204000</v>
      </c>
      <c r="E105" s="525">
        <v>38898800</v>
      </c>
      <c r="F105" s="526">
        <v>0</v>
      </c>
      <c r="G105" s="526">
        <v>0</v>
      </c>
      <c r="H105" s="525"/>
      <c r="I105" s="525">
        <f t="shared" si="44"/>
        <v>0</v>
      </c>
      <c r="J105" s="525">
        <f t="shared" si="53"/>
        <v>38898800</v>
      </c>
      <c r="K105" s="29">
        <f>350000+450000</f>
        <v>800000</v>
      </c>
      <c r="L105" s="30"/>
      <c r="M105" s="465">
        <v>6072000</v>
      </c>
      <c r="N105" s="29"/>
      <c r="O105" s="501">
        <f>16750900+10000000</f>
        <v>26750900</v>
      </c>
      <c r="P105" s="524"/>
      <c r="Q105" s="501">
        <f t="shared" si="45"/>
        <v>26750900</v>
      </c>
      <c r="R105" s="501"/>
      <c r="S105" s="501"/>
      <c r="T105" s="502">
        <f t="shared" si="66"/>
        <v>500000</v>
      </c>
      <c r="U105" s="29">
        <v>2032200</v>
      </c>
      <c r="V105" s="29"/>
      <c r="W105" s="29"/>
      <c r="X105" s="29"/>
      <c r="Y105" s="29"/>
      <c r="Z105" s="29"/>
      <c r="AA105" s="29"/>
      <c r="AB105" s="31"/>
      <c r="AC105" s="465"/>
      <c r="AD105" s="32">
        <v>700000</v>
      </c>
      <c r="AE105" s="507">
        <v>700000</v>
      </c>
      <c r="AF105" s="508"/>
      <c r="AG105" s="440"/>
      <c r="AH105" s="440"/>
    </row>
    <row r="106" spans="1:34" s="5" customFormat="1" x14ac:dyDescent="0.2">
      <c r="A106" s="56"/>
      <c r="B106" s="72" t="s">
        <v>200</v>
      </c>
      <c r="C106" s="58"/>
      <c r="D106" s="502">
        <v>0</v>
      </c>
      <c r="E106" s="525">
        <v>2032200</v>
      </c>
      <c r="F106" s="526">
        <v>0</v>
      </c>
      <c r="G106" s="526">
        <v>0</v>
      </c>
      <c r="H106" s="525"/>
      <c r="I106" s="525">
        <f t="shared" si="44"/>
        <v>0</v>
      </c>
      <c r="J106" s="525">
        <f t="shared" si="53"/>
        <v>2032200</v>
      </c>
      <c r="K106" s="80">
        <f>SUM(K107:K111)</f>
        <v>10000000</v>
      </c>
      <c r="L106" s="99">
        <v>8853889.4200000018</v>
      </c>
      <c r="M106" s="516">
        <f>SUM(M107:M111)</f>
        <v>16233100</v>
      </c>
      <c r="N106" s="80">
        <v>10000000</v>
      </c>
      <c r="O106" s="502">
        <v>500000</v>
      </c>
      <c r="P106" s="503"/>
      <c r="Q106" s="502">
        <f t="shared" si="45"/>
        <v>500000</v>
      </c>
      <c r="R106" s="502"/>
      <c r="S106" s="502"/>
      <c r="T106" s="517">
        <f t="shared" si="66"/>
        <v>7046381.4299999997</v>
      </c>
      <c r="U106" s="80">
        <f>SUM(U107:U111)</f>
        <v>14579800</v>
      </c>
      <c r="V106" s="80">
        <v>15308800</v>
      </c>
      <c r="W106" s="80">
        <v>16074300</v>
      </c>
      <c r="X106" s="80">
        <v>16878000</v>
      </c>
      <c r="Y106" s="80">
        <f>SUM(X106*5)</f>
        <v>84390000</v>
      </c>
      <c r="Z106" s="80">
        <f>SUM(X106*5)</f>
        <v>84390000</v>
      </c>
      <c r="AA106" s="80">
        <f>SUM(X106*3)</f>
        <v>50634000</v>
      </c>
      <c r="AB106" s="81">
        <v>9500000</v>
      </c>
      <c r="AC106" s="516">
        <v>0</v>
      </c>
      <c r="AD106" s="82">
        <v>9500000</v>
      </c>
      <c r="AE106" s="535">
        <v>9500000</v>
      </c>
      <c r="AF106" s="536"/>
      <c r="AG106" s="440"/>
      <c r="AH106" s="440"/>
    </row>
    <row r="107" spans="1:34" s="5" customFormat="1" x14ac:dyDescent="0.2">
      <c r="A107" s="96"/>
      <c r="B107" s="97" t="s">
        <v>779</v>
      </c>
      <c r="C107" s="98"/>
      <c r="D107" s="517">
        <f>SUM(D108:D112)</f>
        <v>9500000</v>
      </c>
      <c r="E107" s="519">
        <f>SUM(E108:E112)</f>
        <v>14338100</v>
      </c>
      <c r="F107" s="520">
        <f>SUM(F108:F112)</f>
        <v>2453600</v>
      </c>
      <c r="G107" s="520">
        <f>SUM(G108:G112)</f>
        <v>2453600</v>
      </c>
      <c r="H107" s="519">
        <f t="shared" ref="H107" si="67">SUM(H108:H112)</f>
        <v>0</v>
      </c>
      <c r="I107" s="519">
        <f t="shared" si="44"/>
        <v>2453600</v>
      </c>
      <c r="J107" s="519">
        <f t="shared" si="53"/>
        <v>11884500</v>
      </c>
      <c r="K107" s="29">
        <v>3250000</v>
      </c>
      <c r="L107" s="30"/>
      <c r="M107" s="513">
        <v>5669500</v>
      </c>
      <c r="N107" s="29"/>
      <c r="O107" s="517">
        <v>9500000</v>
      </c>
      <c r="P107" s="518"/>
      <c r="Q107" s="517">
        <f t="shared" si="45"/>
        <v>9500000</v>
      </c>
      <c r="R107" s="517">
        <v>2453618.5699999998</v>
      </c>
      <c r="S107" s="517"/>
      <c r="T107" s="502">
        <f t="shared" si="66"/>
        <v>0</v>
      </c>
      <c r="U107" s="29">
        <v>5196000</v>
      </c>
      <c r="V107" s="29"/>
      <c r="W107" s="29"/>
      <c r="X107" s="29"/>
      <c r="Y107" s="29"/>
      <c r="Z107" s="29"/>
      <c r="AA107" s="29"/>
      <c r="AB107" s="31"/>
      <c r="AC107" s="465"/>
      <c r="AD107" s="32">
        <v>3000000</v>
      </c>
      <c r="AE107" s="466">
        <v>3000000</v>
      </c>
      <c r="AF107" s="468"/>
      <c r="AG107" s="440"/>
      <c r="AH107" s="440"/>
    </row>
    <row r="108" spans="1:34" s="5" customFormat="1" x14ac:dyDescent="0.2">
      <c r="A108" s="56"/>
      <c r="B108" s="36"/>
      <c r="C108" s="58" t="s">
        <v>51</v>
      </c>
      <c r="D108" s="502">
        <v>3000000</v>
      </c>
      <c r="E108" s="521">
        <v>3562900</v>
      </c>
      <c r="F108" s="504">
        <v>1850000</v>
      </c>
      <c r="G108" s="504">
        <v>1850000</v>
      </c>
      <c r="H108" s="521"/>
      <c r="I108" s="521">
        <f t="shared" si="44"/>
        <v>1850000</v>
      </c>
      <c r="J108" s="521">
        <f t="shared" si="53"/>
        <v>1712900</v>
      </c>
      <c r="K108" s="29">
        <v>460000</v>
      </c>
      <c r="L108" s="30"/>
      <c r="M108" s="513">
        <v>460000</v>
      </c>
      <c r="N108" s="29"/>
      <c r="O108" s="502"/>
      <c r="P108" s="503"/>
      <c r="Q108" s="502">
        <f t="shared" si="45"/>
        <v>0</v>
      </c>
      <c r="R108" s="502"/>
      <c r="S108" s="502"/>
      <c r="T108" s="502">
        <f t="shared" si="66"/>
        <v>0</v>
      </c>
      <c r="U108" s="29">
        <v>464800</v>
      </c>
      <c r="V108" s="29"/>
      <c r="W108" s="29"/>
      <c r="X108" s="29"/>
      <c r="Y108" s="29"/>
      <c r="Z108" s="29"/>
      <c r="AA108" s="29"/>
      <c r="AB108" s="31"/>
      <c r="AC108" s="465"/>
      <c r="AD108" s="32">
        <v>400000</v>
      </c>
      <c r="AE108" s="466">
        <v>400000</v>
      </c>
      <c r="AF108" s="468"/>
      <c r="AG108" s="440"/>
      <c r="AH108" s="440"/>
    </row>
    <row r="109" spans="1:34" s="5" customFormat="1" x14ac:dyDescent="0.2">
      <c r="A109" s="56"/>
      <c r="B109" s="36"/>
      <c r="C109" s="58" t="s">
        <v>52</v>
      </c>
      <c r="D109" s="502">
        <v>400000</v>
      </c>
      <c r="E109" s="521">
        <v>464800</v>
      </c>
      <c r="F109" s="504">
        <v>180000</v>
      </c>
      <c r="G109" s="504">
        <v>180000</v>
      </c>
      <c r="H109" s="521"/>
      <c r="I109" s="521">
        <f t="shared" si="44"/>
        <v>180000</v>
      </c>
      <c r="J109" s="521">
        <f t="shared" si="53"/>
        <v>284800</v>
      </c>
      <c r="K109" s="29">
        <v>3600000</v>
      </c>
      <c r="L109" s="30"/>
      <c r="M109" s="513">
        <v>4912800</v>
      </c>
      <c r="N109" s="29"/>
      <c r="O109" s="502"/>
      <c r="P109" s="503"/>
      <c r="Q109" s="502">
        <f t="shared" si="45"/>
        <v>0</v>
      </c>
      <c r="R109" s="502"/>
      <c r="S109" s="502"/>
      <c r="T109" s="502">
        <f t="shared" si="66"/>
        <v>0</v>
      </c>
      <c r="U109" s="29">
        <v>3951400</v>
      </c>
      <c r="V109" s="29"/>
      <c r="W109" s="29"/>
      <c r="X109" s="29"/>
      <c r="Y109" s="29"/>
      <c r="Z109" s="29"/>
      <c r="AA109" s="29"/>
      <c r="AB109" s="31"/>
      <c r="AC109" s="465"/>
      <c r="AD109" s="32">
        <v>3000000</v>
      </c>
      <c r="AE109" s="466">
        <v>3000000</v>
      </c>
      <c r="AF109" s="468"/>
      <c r="AG109" s="440"/>
      <c r="AH109" s="440"/>
    </row>
    <row r="110" spans="1:34" s="5" customFormat="1" x14ac:dyDescent="0.2">
      <c r="A110" s="56"/>
      <c r="B110" s="36"/>
      <c r="C110" s="58" t="s">
        <v>53</v>
      </c>
      <c r="D110" s="502">
        <v>3000000</v>
      </c>
      <c r="E110" s="521">
        <v>4586200</v>
      </c>
      <c r="F110" s="504">
        <v>203600</v>
      </c>
      <c r="G110" s="504">
        <v>203600</v>
      </c>
      <c r="H110" s="521"/>
      <c r="I110" s="521">
        <f t="shared" si="44"/>
        <v>203600</v>
      </c>
      <c r="J110" s="521">
        <f t="shared" si="53"/>
        <v>4382600</v>
      </c>
      <c r="K110" s="29">
        <v>2690000</v>
      </c>
      <c r="L110" s="70"/>
      <c r="M110" s="513">
        <v>4098800</v>
      </c>
      <c r="N110" s="29"/>
      <c r="O110" s="502"/>
      <c r="P110" s="503"/>
      <c r="Q110" s="502">
        <f t="shared" si="45"/>
        <v>0</v>
      </c>
      <c r="R110" s="502"/>
      <c r="S110" s="502"/>
      <c r="T110" s="502">
        <f t="shared" si="66"/>
        <v>0</v>
      </c>
      <c r="U110" s="29">
        <v>3965700</v>
      </c>
      <c r="V110" s="29"/>
      <c r="W110" s="29"/>
      <c r="X110" s="29"/>
      <c r="Y110" s="29"/>
      <c r="Z110" s="29"/>
      <c r="AA110" s="29"/>
      <c r="AB110" s="31"/>
      <c r="AC110" s="465"/>
      <c r="AD110" s="32">
        <v>2200000</v>
      </c>
      <c r="AE110" s="466">
        <v>2200000</v>
      </c>
      <c r="AF110" s="468"/>
      <c r="AG110" s="440"/>
      <c r="AH110" s="440"/>
    </row>
    <row r="111" spans="1:34" s="5" customFormat="1" x14ac:dyDescent="0.2">
      <c r="A111" s="56"/>
      <c r="B111" s="36"/>
      <c r="C111" s="58" t="s">
        <v>49</v>
      </c>
      <c r="D111" s="502">
        <v>2200000</v>
      </c>
      <c r="E111" s="521">
        <v>3735600</v>
      </c>
      <c r="F111" s="504">
        <v>120000</v>
      </c>
      <c r="G111" s="504">
        <v>120000</v>
      </c>
      <c r="H111" s="521"/>
      <c r="I111" s="521">
        <f t="shared" si="44"/>
        <v>120000</v>
      </c>
      <c r="J111" s="521">
        <f t="shared" si="53"/>
        <v>3615600</v>
      </c>
      <c r="K111" s="69">
        <v>0</v>
      </c>
      <c r="L111" s="70"/>
      <c r="M111" s="513">
        <v>1092000</v>
      </c>
      <c r="N111" s="29"/>
      <c r="O111" s="502"/>
      <c r="P111" s="503"/>
      <c r="Q111" s="502">
        <f t="shared" si="45"/>
        <v>0</v>
      </c>
      <c r="R111" s="502"/>
      <c r="S111" s="502"/>
      <c r="T111" s="466">
        <f t="shared" si="66"/>
        <v>0</v>
      </c>
      <c r="U111" s="29">
        <v>1001900</v>
      </c>
      <c r="V111" s="29"/>
      <c r="W111" s="29"/>
      <c r="X111" s="29"/>
      <c r="Y111" s="29"/>
      <c r="Z111" s="29"/>
      <c r="AA111" s="29"/>
      <c r="AB111" s="31"/>
      <c r="AC111" s="465"/>
      <c r="AD111" s="32">
        <v>900000</v>
      </c>
      <c r="AE111" s="466">
        <v>900000</v>
      </c>
      <c r="AF111" s="468"/>
      <c r="AG111" s="440"/>
      <c r="AH111" s="440"/>
    </row>
    <row r="112" spans="1:34" s="112" customFormat="1" x14ac:dyDescent="0.2">
      <c r="A112" s="56"/>
      <c r="B112" s="36"/>
      <c r="C112" s="58" t="s">
        <v>54</v>
      </c>
      <c r="D112" s="466">
        <v>900000</v>
      </c>
      <c r="E112" s="469">
        <v>1988600</v>
      </c>
      <c r="F112" s="470">
        <v>100000</v>
      </c>
      <c r="G112" s="470">
        <v>100000</v>
      </c>
      <c r="H112" s="469"/>
      <c r="I112" s="469">
        <f t="shared" si="44"/>
        <v>100000</v>
      </c>
      <c r="J112" s="469">
        <f t="shared" si="53"/>
        <v>1888600</v>
      </c>
      <c r="K112" s="52">
        <v>234000000</v>
      </c>
      <c r="L112" s="53">
        <v>226359063.45000002</v>
      </c>
      <c r="M112" s="494">
        <v>270000000</v>
      </c>
      <c r="N112" s="52">
        <v>227000000</v>
      </c>
      <c r="O112" s="466"/>
      <c r="P112" s="467"/>
      <c r="Q112" s="466">
        <f t="shared" si="45"/>
        <v>0</v>
      </c>
      <c r="R112" s="466"/>
      <c r="S112" s="466"/>
      <c r="T112" s="501">
        <f t="shared" si="66"/>
        <v>60554023.879999995</v>
      </c>
      <c r="U112" s="52">
        <v>270000000</v>
      </c>
      <c r="V112" s="52">
        <f>SUM(U112*105/100)</f>
        <v>283500000</v>
      </c>
      <c r="W112" s="52">
        <f>SUM(V112*105/100)</f>
        <v>297675000</v>
      </c>
      <c r="X112" s="52">
        <v>312558800</v>
      </c>
      <c r="Y112" s="52">
        <f>SUM(X112*5)</f>
        <v>1562794000</v>
      </c>
      <c r="Z112" s="52">
        <f>SUM(X112*5)</f>
        <v>1562794000</v>
      </c>
      <c r="AA112" s="52">
        <f>SUM(X112*3)</f>
        <v>937676400</v>
      </c>
      <c r="AB112" s="54">
        <v>270000000</v>
      </c>
      <c r="AC112" s="494">
        <v>0</v>
      </c>
      <c r="AD112" s="55">
        <v>270000000</v>
      </c>
      <c r="AE112" s="462">
        <v>270000000</v>
      </c>
      <c r="AF112" s="496">
        <v>40000000</v>
      </c>
      <c r="AG112" s="564"/>
      <c r="AH112" s="440"/>
    </row>
    <row r="113" spans="1:34" s="5" customFormat="1" ht="24" customHeight="1" x14ac:dyDescent="0.2">
      <c r="A113" s="101"/>
      <c r="B113" s="289" t="s">
        <v>780</v>
      </c>
      <c r="C113" s="290"/>
      <c r="D113" s="565">
        <v>230000000</v>
      </c>
      <c r="E113" s="527">
        <v>250000000</v>
      </c>
      <c r="F113" s="566">
        <v>166446000</v>
      </c>
      <c r="G113" s="566">
        <v>166446000</v>
      </c>
      <c r="H113" s="527"/>
      <c r="I113" s="527">
        <f t="shared" si="44"/>
        <v>166446000</v>
      </c>
      <c r="J113" s="527">
        <f t="shared" si="53"/>
        <v>83554000</v>
      </c>
      <c r="K113" s="83">
        <f t="shared" ref="K113:S114" si="68">+K114+K128</f>
        <v>539737300</v>
      </c>
      <c r="L113" s="84">
        <f t="shared" si="68"/>
        <v>496811591.73000002</v>
      </c>
      <c r="M113" s="567">
        <f t="shared" si="68"/>
        <v>626972600</v>
      </c>
      <c r="N113" s="85">
        <f t="shared" si="68"/>
        <v>555475600</v>
      </c>
      <c r="O113" s="501">
        <v>227000000</v>
      </c>
      <c r="P113" s="524"/>
      <c r="Q113" s="501">
        <f t="shared" si="45"/>
        <v>227000000</v>
      </c>
      <c r="R113" s="501">
        <v>166445976.12</v>
      </c>
      <c r="S113" s="501"/>
      <c r="T113" s="568">
        <f t="shared" si="66"/>
        <v>64398845.75999999</v>
      </c>
      <c r="U113" s="568">
        <f>+U114+U128</f>
        <v>1154233000</v>
      </c>
      <c r="V113" s="568">
        <f t="shared" ref="V113:AF113" si="69">+V114+V128</f>
        <v>1208269700</v>
      </c>
      <c r="W113" s="568">
        <f t="shared" si="69"/>
        <v>1268683400</v>
      </c>
      <c r="X113" s="568">
        <f t="shared" si="69"/>
        <v>1332117700</v>
      </c>
      <c r="Y113" s="568">
        <f t="shared" si="69"/>
        <v>6660588500</v>
      </c>
      <c r="Z113" s="568">
        <f t="shared" si="69"/>
        <v>6660588500</v>
      </c>
      <c r="AA113" s="568">
        <f t="shared" si="69"/>
        <v>3996353100</v>
      </c>
      <c r="AB113" s="568">
        <f t="shared" si="69"/>
        <v>751607100</v>
      </c>
      <c r="AC113" s="568">
        <f t="shared" si="69"/>
        <v>1245200</v>
      </c>
      <c r="AD113" s="568">
        <f t="shared" si="69"/>
        <v>750361900</v>
      </c>
      <c r="AE113" s="568">
        <f t="shared" si="69"/>
        <v>750361900</v>
      </c>
      <c r="AF113" s="568">
        <f t="shared" si="69"/>
        <v>50000000</v>
      </c>
      <c r="AG113" s="440"/>
      <c r="AH113" s="440"/>
    </row>
    <row r="114" spans="1:34" s="5" customFormat="1" x14ac:dyDescent="0.2">
      <c r="A114" s="310" t="s">
        <v>132</v>
      </c>
      <c r="B114" s="311"/>
      <c r="C114" s="312"/>
      <c r="D114" s="569">
        <f>+D115+D129</f>
        <v>735361900</v>
      </c>
      <c r="E114" s="570">
        <f>+E115+E129</f>
        <v>1115963700</v>
      </c>
      <c r="F114" s="571">
        <f t="shared" ref="F114:H114" si="70">+F115+F129</f>
        <v>453125900</v>
      </c>
      <c r="G114" s="571">
        <f t="shared" si="70"/>
        <v>363125900</v>
      </c>
      <c r="H114" s="570">
        <f t="shared" si="70"/>
        <v>0</v>
      </c>
      <c r="I114" s="570">
        <f t="shared" si="44"/>
        <v>363125900</v>
      </c>
      <c r="J114" s="570">
        <f t="shared" si="53"/>
        <v>752837800</v>
      </c>
      <c r="K114" s="570">
        <f t="shared" si="68"/>
        <v>488554300</v>
      </c>
      <c r="L114" s="570">
        <f t="shared" si="68"/>
        <v>466313178.03000003</v>
      </c>
      <c r="M114" s="570">
        <f t="shared" si="68"/>
        <v>572728000</v>
      </c>
      <c r="N114" s="570">
        <f t="shared" si="68"/>
        <v>509650200</v>
      </c>
      <c r="O114" s="569">
        <f t="shared" si="68"/>
        <v>882786400</v>
      </c>
      <c r="P114" s="569">
        <f t="shared" si="68"/>
        <v>0</v>
      </c>
      <c r="Q114" s="569">
        <f t="shared" si="45"/>
        <v>882786400</v>
      </c>
      <c r="R114" s="569">
        <f t="shared" si="68"/>
        <v>818387554.24000001</v>
      </c>
      <c r="S114" s="569">
        <f t="shared" si="68"/>
        <v>0</v>
      </c>
      <c r="T114" s="450">
        <f t="shared" si="66"/>
        <v>42164024.970000029</v>
      </c>
      <c r="U114" s="450">
        <f>SUM(U115:U127)</f>
        <v>1093847000</v>
      </c>
      <c r="V114" s="450">
        <f t="shared" ref="V114:AF114" si="71">SUM(V115:V127)</f>
        <v>1148539400</v>
      </c>
      <c r="W114" s="450">
        <f t="shared" si="71"/>
        <v>1205966500</v>
      </c>
      <c r="X114" s="450">
        <f t="shared" si="71"/>
        <v>1266264900</v>
      </c>
      <c r="Y114" s="450">
        <f t="shared" si="71"/>
        <v>6331324500</v>
      </c>
      <c r="Z114" s="450">
        <f t="shared" si="71"/>
        <v>6331324500</v>
      </c>
      <c r="AA114" s="450">
        <f t="shared" si="71"/>
        <v>3798794700</v>
      </c>
      <c r="AB114" s="450">
        <f t="shared" si="71"/>
        <v>711024200</v>
      </c>
      <c r="AC114" s="450">
        <f t="shared" si="71"/>
        <v>0</v>
      </c>
      <c r="AD114" s="450">
        <f t="shared" si="71"/>
        <v>711024200</v>
      </c>
      <c r="AE114" s="450">
        <f t="shared" si="71"/>
        <v>711024200</v>
      </c>
      <c r="AF114" s="450">
        <f t="shared" si="71"/>
        <v>45000000</v>
      </c>
      <c r="AG114" s="440"/>
      <c r="AH114" s="440"/>
    </row>
    <row r="115" spans="1:34" s="5" customFormat="1" x14ac:dyDescent="0.2">
      <c r="A115" s="20" t="s">
        <v>55</v>
      </c>
      <c r="B115" s="21"/>
      <c r="C115" s="22"/>
      <c r="D115" s="450">
        <f>SUM(D116:D128)</f>
        <v>701024200</v>
      </c>
      <c r="E115" s="451">
        <f>SUM(E116:E128)</f>
        <v>1066630700</v>
      </c>
      <c r="F115" s="452">
        <f t="shared" ref="F115:H115" si="72">SUM(F116:F128)</f>
        <v>441643700</v>
      </c>
      <c r="G115" s="452">
        <f t="shared" si="72"/>
        <v>351643700</v>
      </c>
      <c r="H115" s="451">
        <f t="shared" si="72"/>
        <v>0</v>
      </c>
      <c r="I115" s="451">
        <f t="shared" si="44"/>
        <v>351643700</v>
      </c>
      <c r="J115" s="451">
        <f t="shared" si="53"/>
        <v>714987000</v>
      </c>
      <c r="K115" s="451">
        <f t="shared" ref="K115:S115" si="73">SUM(K116:K128)</f>
        <v>482726700</v>
      </c>
      <c r="L115" s="451">
        <f t="shared" si="73"/>
        <v>460205709.41000003</v>
      </c>
      <c r="M115" s="451">
        <f t="shared" si="73"/>
        <v>562274000</v>
      </c>
      <c r="N115" s="451">
        <f t="shared" si="73"/>
        <v>503822600</v>
      </c>
      <c r="O115" s="450">
        <f>SUM(O116:O128)</f>
        <v>846253600</v>
      </c>
      <c r="P115" s="450">
        <f t="shared" si="73"/>
        <v>0</v>
      </c>
      <c r="Q115" s="450">
        <f t="shared" si="45"/>
        <v>846253600</v>
      </c>
      <c r="R115" s="450">
        <f t="shared" si="73"/>
        <v>804089575.02999997</v>
      </c>
      <c r="S115" s="450">
        <f t="shared" si="73"/>
        <v>0</v>
      </c>
      <c r="T115" s="466">
        <f t="shared" si="66"/>
        <v>42782900</v>
      </c>
      <c r="U115" s="29">
        <v>737437000</v>
      </c>
      <c r="V115" s="29">
        <v>774308900</v>
      </c>
      <c r="W115" s="29">
        <v>813024400</v>
      </c>
      <c r="X115" s="29">
        <v>853675600</v>
      </c>
      <c r="Y115" s="29">
        <f>SUM(X115*5)</f>
        <v>4268378000</v>
      </c>
      <c r="Z115" s="29">
        <f>SUM(X115*5)</f>
        <v>4268378000</v>
      </c>
      <c r="AA115" s="29">
        <f>SUM(X115*3)</f>
        <v>2561026800</v>
      </c>
      <c r="AB115" s="31">
        <v>389056000</v>
      </c>
      <c r="AC115" s="465">
        <v>0</v>
      </c>
      <c r="AD115" s="32">
        <v>389056000</v>
      </c>
      <c r="AE115" s="466">
        <v>389056000</v>
      </c>
      <c r="AF115" s="468">
        <v>45000000</v>
      </c>
      <c r="AG115" s="440"/>
      <c r="AH115" s="440"/>
    </row>
    <row r="116" spans="1:34" s="5" customFormat="1" x14ac:dyDescent="0.2">
      <c r="A116" s="26"/>
      <c r="B116" s="266" t="s">
        <v>303</v>
      </c>
      <c r="C116" s="259"/>
      <c r="D116" s="466">
        <v>344056000</v>
      </c>
      <c r="E116" s="469">
        <v>767378700</v>
      </c>
      <c r="F116" s="470">
        <v>211737200</v>
      </c>
      <c r="G116" s="454">
        <v>121737200</v>
      </c>
      <c r="H116" s="469"/>
      <c r="I116" s="469">
        <f t="shared" si="44"/>
        <v>121737200</v>
      </c>
      <c r="J116" s="469">
        <f t="shared" si="53"/>
        <v>645641500</v>
      </c>
      <c r="K116" s="29"/>
      <c r="L116" s="30"/>
      <c r="M116" s="465"/>
      <c r="N116" s="29"/>
      <c r="O116" s="466">
        <v>389056000</v>
      </c>
      <c r="P116" s="467"/>
      <c r="Q116" s="466">
        <f t="shared" si="45"/>
        <v>389056000</v>
      </c>
      <c r="R116" s="466">
        <v>346273100</v>
      </c>
      <c r="S116" s="466"/>
      <c r="T116" s="466"/>
      <c r="U116" s="29"/>
      <c r="V116" s="29"/>
      <c r="W116" s="29"/>
      <c r="X116" s="29"/>
      <c r="Y116" s="29"/>
      <c r="Z116" s="29"/>
      <c r="AA116" s="29"/>
      <c r="AB116" s="31"/>
      <c r="AC116" s="465"/>
      <c r="AD116" s="32"/>
      <c r="AE116" s="466"/>
      <c r="AF116" s="468"/>
      <c r="AG116" s="440"/>
      <c r="AH116" s="440"/>
    </row>
    <row r="117" spans="1:34" s="5" customFormat="1" x14ac:dyDescent="0.2">
      <c r="A117" s="26"/>
      <c r="B117" s="187"/>
      <c r="C117" s="258" t="s">
        <v>302</v>
      </c>
      <c r="D117" s="466"/>
      <c r="E117" s="469"/>
      <c r="F117" s="470"/>
      <c r="G117" s="470"/>
      <c r="H117" s="469"/>
      <c r="I117" s="469">
        <f t="shared" si="44"/>
        <v>0</v>
      </c>
      <c r="J117" s="469">
        <f t="shared" si="53"/>
        <v>0</v>
      </c>
      <c r="K117" s="29">
        <v>1000000</v>
      </c>
      <c r="L117" s="30">
        <v>421355</v>
      </c>
      <c r="M117" s="465">
        <v>1500000</v>
      </c>
      <c r="N117" s="29">
        <v>1000000</v>
      </c>
      <c r="O117" s="466"/>
      <c r="P117" s="467"/>
      <c r="Q117" s="466">
        <f t="shared" si="45"/>
        <v>0</v>
      </c>
      <c r="R117" s="466"/>
      <c r="S117" s="466"/>
      <c r="T117" s="466">
        <f t="shared" ref="T117:T159" si="74">Q118-R118-S118</f>
        <v>915490</v>
      </c>
      <c r="U117" s="29">
        <v>800000</v>
      </c>
      <c r="V117" s="29">
        <f>SUM(U117*105/100)</f>
        <v>840000</v>
      </c>
      <c r="W117" s="29">
        <f>SUM(V117*105/100)</f>
        <v>882000</v>
      </c>
      <c r="X117" s="29">
        <f>SUM(W117*105/100)</f>
        <v>926100</v>
      </c>
      <c r="Y117" s="29">
        <f>SUM(X117*5)</f>
        <v>4630500</v>
      </c>
      <c r="Z117" s="29">
        <f>SUM(X117*5)</f>
        <v>4630500</v>
      </c>
      <c r="AA117" s="29">
        <f>SUM(X117*3)</f>
        <v>2778300</v>
      </c>
      <c r="AB117" s="31">
        <v>800000</v>
      </c>
      <c r="AC117" s="465">
        <v>0</v>
      </c>
      <c r="AD117" s="32">
        <v>800000</v>
      </c>
      <c r="AE117" s="466">
        <v>800000</v>
      </c>
      <c r="AF117" s="468"/>
      <c r="AG117" s="440"/>
      <c r="AH117" s="440"/>
    </row>
    <row r="118" spans="1:34" s="5" customFormat="1" x14ac:dyDescent="0.2">
      <c r="A118" s="26"/>
      <c r="B118" s="27" t="s">
        <v>57</v>
      </c>
      <c r="C118" s="28"/>
      <c r="D118" s="466">
        <v>800000</v>
      </c>
      <c r="E118" s="469">
        <v>800000</v>
      </c>
      <c r="F118" s="470">
        <v>84500</v>
      </c>
      <c r="G118" s="470">
        <v>84500</v>
      </c>
      <c r="H118" s="469"/>
      <c r="I118" s="469">
        <f t="shared" si="44"/>
        <v>84500</v>
      </c>
      <c r="J118" s="469">
        <f t="shared" si="53"/>
        <v>715500</v>
      </c>
      <c r="K118" s="29">
        <v>43129200</v>
      </c>
      <c r="L118" s="30">
        <v>41956041.109999999</v>
      </c>
      <c r="M118" s="465">
        <v>43129200</v>
      </c>
      <c r="N118" s="29">
        <v>43129200</v>
      </c>
      <c r="O118" s="466">
        <v>1000000</v>
      </c>
      <c r="P118" s="467"/>
      <c r="Q118" s="466">
        <f t="shared" si="45"/>
        <v>1000000</v>
      </c>
      <c r="R118" s="466">
        <v>84510</v>
      </c>
      <c r="S118" s="466"/>
      <c r="T118" s="466">
        <f t="shared" si="74"/>
        <v>-1559094.3500000015</v>
      </c>
      <c r="U118" s="29">
        <v>44568000</v>
      </c>
      <c r="V118" s="29">
        <f>SUM(U118*105/100)</f>
        <v>46796400</v>
      </c>
      <c r="W118" s="29">
        <v>49136200</v>
      </c>
      <c r="X118" s="29">
        <v>51593000</v>
      </c>
      <c r="Y118" s="29">
        <f>SUM(X118*5)</f>
        <v>257965000</v>
      </c>
      <c r="Z118" s="29">
        <f>SUM(X118*5)</f>
        <v>257965000</v>
      </c>
      <c r="AA118" s="29">
        <f>SUM(X118*3)</f>
        <v>154779000</v>
      </c>
      <c r="AB118" s="31">
        <v>44466200</v>
      </c>
      <c r="AC118" s="465">
        <v>0</v>
      </c>
      <c r="AD118" s="32">
        <v>44466200</v>
      </c>
      <c r="AE118" s="466">
        <v>44466200</v>
      </c>
      <c r="AF118" s="468"/>
      <c r="AG118" s="440"/>
      <c r="AH118" s="440"/>
    </row>
    <row r="119" spans="1:34" s="5" customFormat="1" x14ac:dyDescent="0.2">
      <c r="A119" s="26"/>
      <c r="B119" s="27" t="s">
        <v>58</v>
      </c>
      <c r="C119" s="28"/>
      <c r="D119" s="466">
        <v>44466200</v>
      </c>
      <c r="E119" s="469">
        <v>42352000</v>
      </c>
      <c r="F119" s="470">
        <v>26322000</v>
      </c>
      <c r="G119" s="470">
        <v>26322000</v>
      </c>
      <c r="H119" s="469"/>
      <c r="I119" s="469">
        <f t="shared" si="44"/>
        <v>26322000</v>
      </c>
      <c r="J119" s="469">
        <f t="shared" si="53"/>
        <v>16030000</v>
      </c>
      <c r="K119" s="29">
        <v>21000000</v>
      </c>
      <c r="L119" s="30">
        <v>21000000</v>
      </c>
      <c r="M119" s="465">
        <v>23000000</v>
      </c>
      <c r="N119" s="29">
        <v>23000000</v>
      </c>
      <c r="O119" s="466">
        <v>41529600</v>
      </c>
      <c r="P119" s="467"/>
      <c r="Q119" s="466">
        <f t="shared" si="45"/>
        <v>41529600</v>
      </c>
      <c r="R119" s="466">
        <v>43088694.350000001</v>
      </c>
      <c r="S119" s="466"/>
      <c r="T119" s="466">
        <f t="shared" si="74"/>
        <v>0</v>
      </c>
      <c r="U119" s="29">
        <v>22000000</v>
      </c>
      <c r="V119" s="29">
        <f>SUM(U119*105/100)</f>
        <v>23100000</v>
      </c>
      <c r="W119" s="29">
        <f>SUM(V119*105/100)</f>
        <v>24255000</v>
      </c>
      <c r="X119" s="29">
        <v>25467800</v>
      </c>
      <c r="Y119" s="29">
        <f>SUM(X119*5)</f>
        <v>127339000</v>
      </c>
      <c r="Z119" s="29">
        <f>SUM(X119*5)</f>
        <v>127339000</v>
      </c>
      <c r="AA119" s="29">
        <f>SUM(X119*3)</f>
        <v>76403400</v>
      </c>
      <c r="AB119" s="31">
        <v>18000000</v>
      </c>
      <c r="AC119" s="465">
        <v>0</v>
      </c>
      <c r="AD119" s="32">
        <v>18000000</v>
      </c>
      <c r="AE119" s="466">
        <v>18000000</v>
      </c>
      <c r="AF119" s="468"/>
      <c r="AG119" s="440"/>
      <c r="AH119" s="440"/>
    </row>
    <row r="120" spans="1:34" s="5" customFormat="1" x14ac:dyDescent="0.2">
      <c r="A120" s="26"/>
      <c r="B120" s="266" t="s">
        <v>304</v>
      </c>
      <c r="C120" s="28"/>
      <c r="D120" s="466">
        <v>18000000</v>
      </c>
      <c r="E120" s="469">
        <v>500000</v>
      </c>
      <c r="F120" s="470">
        <v>500000</v>
      </c>
      <c r="G120" s="470">
        <v>500000</v>
      </c>
      <c r="H120" s="469"/>
      <c r="I120" s="469">
        <f t="shared" si="44"/>
        <v>500000</v>
      </c>
      <c r="J120" s="469">
        <f t="shared" si="53"/>
        <v>0</v>
      </c>
      <c r="K120" s="86"/>
      <c r="L120" s="87"/>
      <c r="M120" s="572"/>
      <c r="N120" s="86"/>
      <c r="O120" s="466">
        <v>18000000</v>
      </c>
      <c r="P120" s="467"/>
      <c r="Q120" s="466">
        <f t="shared" si="45"/>
        <v>18000000</v>
      </c>
      <c r="R120" s="466">
        <v>18000000</v>
      </c>
      <c r="S120" s="466"/>
      <c r="T120" s="573">
        <f t="shared" si="74"/>
        <v>0</v>
      </c>
      <c r="U120" s="86"/>
      <c r="V120" s="86"/>
      <c r="W120" s="86"/>
      <c r="X120" s="86"/>
      <c r="Y120" s="86"/>
      <c r="Z120" s="86"/>
      <c r="AA120" s="86"/>
      <c r="AB120" s="88"/>
      <c r="AC120" s="572"/>
      <c r="AD120" s="89"/>
      <c r="AE120" s="573"/>
      <c r="AF120" s="574"/>
      <c r="AG120" s="440"/>
      <c r="AH120" s="440"/>
    </row>
    <row r="121" spans="1:34" s="5" customFormat="1" x14ac:dyDescent="0.2">
      <c r="A121" s="26"/>
      <c r="B121" s="27" t="s">
        <v>307</v>
      </c>
      <c r="C121" s="259"/>
      <c r="D121" s="466">
        <v>3000000</v>
      </c>
      <c r="E121" s="469">
        <v>8000000</v>
      </c>
      <c r="F121" s="470">
        <v>3000000</v>
      </c>
      <c r="G121" s="470">
        <v>3000000</v>
      </c>
      <c r="H121" s="469"/>
      <c r="I121" s="469">
        <f t="shared" si="44"/>
        <v>3000000</v>
      </c>
      <c r="J121" s="469">
        <f t="shared" si="53"/>
        <v>5000000</v>
      </c>
      <c r="K121" s="29">
        <v>11000000</v>
      </c>
      <c r="L121" s="30">
        <v>11000000</v>
      </c>
      <c r="M121" s="465">
        <v>20000000</v>
      </c>
      <c r="N121" s="29">
        <v>5000000</v>
      </c>
      <c r="O121" s="573"/>
      <c r="P121" s="575"/>
      <c r="Q121" s="573">
        <f t="shared" si="45"/>
        <v>0</v>
      </c>
      <c r="R121" s="573"/>
      <c r="S121" s="573"/>
      <c r="T121" s="466">
        <f t="shared" si="74"/>
        <v>0</v>
      </c>
      <c r="U121" s="29">
        <v>10000000</v>
      </c>
      <c r="V121" s="29">
        <f>SUM(U121*105/100)</f>
        <v>10500000</v>
      </c>
      <c r="W121" s="29">
        <f>SUM(V121*105/100)</f>
        <v>11025000</v>
      </c>
      <c r="X121" s="29">
        <v>11576200</v>
      </c>
      <c r="Y121" s="29">
        <f>SUM(X121*5)</f>
        <v>57881000</v>
      </c>
      <c r="Z121" s="29">
        <f>SUM(X121*5)</f>
        <v>57881000</v>
      </c>
      <c r="AA121" s="29">
        <f>SUM(X121*3)</f>
        <v>34728600</v>
      </c>
      <c r="AB121" s="31">
        <v>10000000</v>
      </c>
      <c r="AC121" s="465">
        <v>0</v>
      </c>
      <c r="AD121" s="32">
        <v>10000000</v>
      </c>
      <c r="AE121" s="466">
        <v>10000000</v>
      </c>
      <c r="AF121" s="468"/>
      <c r="AG121" s="440"/>
      <c r="AH121" s="440"/>
    </row>
    <row r="122" spans="1:34" s="5" customFormat="1" x14ac:dyDescent="0.2">
      <c r="A122" s="26"/>
      <c r="B122" s="27" t="s">
        <v>59</v>
      </c>
      <c r="C122" s="28"/>
      <c r="D122" s="466">
        <v>10000000</v>
      </c>
      <c r="E122" s="469">
        <v>13400000</v>
      </c>
      <c r="F122" s="470">
        <v>5000000</v>
      </c>
      <c r="G122" s="470">
        <v>5000000</v>
      </c>
      <c r="H122" s="469"/>
      <c r="I122" s="469">
        <f t="shared" si="44"/>
        <v>5000000</v>
      </c>
      <c r="J122" s="469">
        <f t="shared" si="53"/>
        <v>8400000</v>
      </c>
      <c r="K122" s="29"/>
      <c r="L122" s="30"/>
      <c r="M122" s="465"/>
      <c r="N122" s="29"/>
      <c r="O122" s="466">
        <v>5000000</v>
      </c>
      <c r="P122" s="467"/>
      <c r="Q122" s="466">
        <f t="shared" si="45"/>
        <v>5000000</v>
      </c>
      <c r="R122" s="466">
        <v>5000000</v>
      </c>
      <c r="S122" s="466"/>
      <c r="T122" s="466">
        <f t="shared" si="74"/>
        <v>0</v>
      </c>
      <c r="U122" s="29"/>
      <c r="V122" s="29"/>
      <c r="W122" s="29"/>
      <c r="X122" s="29"/>
      <c r="Y122" s="29"/>
      <c r="Z122" s="29"/>
      <c r="AA122" s="29"/>
      <c r="AB122" s="31"/>
      <c r="AC122" s="465"/>
      <c r="AD122" s="32"/>
      <c r="AE122" s="466"/>
      <c r="AF122" s="468"/>
      <c r="AG122" s="440"/>
      <c r="AH122" s="440"/>
    </row>
    <row r="123" spans="1:34" s="5" customFormat="1" x14ac:dyDescent="0.2">
      <c r="A123" s="26"/>
      <c r="B123" s="266" t="s">
        <v>305</v>
      </c>
      <c r="C123" s="28"/>
      <c r="D123" s="466">
        <v>65000000</v>
      </c>
      <c r="E123" s="469">
        <v>65000000</v>
      </c>
      <c r="F123" s="470">
        <v>50000000</v>
      </c>
      <c r="G123" s="470">
        <v>50000000</v>
      </c>
      <c r="H123" s="469"/>
      <c r="I123" s="469">
        <f t="shared" si="44"/>
        <v>50000000</v>
      </c>
      <c r="J123" s="469">
        <f t="shared" si="53"/>
        <v>15000000</v>
      </c>
      <c r="K123" s="29">
        <v>65000000</v>
      </c>
      <c r="L123" s="30">
        <v>65000000</v>
      </c>
      <c r="M123" s="465">
        <v>65000000</v>
      </c>
      <c r="N123" s="29">
        <v>65000000</v>
      </c>
      <c r="O123" s="466">
        <v>5000000</v>
      </c>
      <c r="P123" s="467"/>
      <c r="Q123" s="466">
        <f t="shared" si="45"/>
        <v>5000000</v>
      </c>
      <c r="R123" s="466">
        <v>5000000</v>
      </c>
      <c r="S123" s="466"/>
      <c r="T123" s="466">
        <f t="shared" si="74"/>
        <v>24729.320000000298</v>
      </c>
      <c r="U123" s="29">
        <v>66500000</v>
      </c>
      <c r="V123" s="29">
        <f>SUM(U123*105/100)</f>
        <v>69825000</v>
      </c>
      <c r="W123" s="29">
        <v>73316300</v>
      </c>
      <c r="X123" s="29">
        <v>76982200</v>
      </c>
      <c r="Y123" s="29">
        <f>SUM(X123*5)</f>
        <v>384911000</v>
      </c>
      <c r="Z123" s="29">
        <f>SUM(X123*5)</f>
        <v>384911000</v>
      </c>
      <c r="AA123" s="29">
        <f>SUM(X123*3)</f>
        <v>230946600</v>
      </c>
      <c r="AB123" s="31">
        <v>65000000</v>
      </c>
      <c r="AC123" s="465">
        <v>0</v>
      </c>
      <c r="AD123" s="32">
        <v>65000000</v>
      </c>
      <c r="AE123" s="466">
        <v>65000000</v>
      </c>
      <c r="AF123" s="468"/>
      <c r="AG123" s="440"/>
      <c r="AH123" s="440"/>
    </row>
    <row r="124" spans="1:34" s="5" customFormat="1" x14ac:dyDescent="0.2">
      <c r="A124" s="26"/>
      <c r="B124" s="260" t="s">
        <v>306</v>
      </c>
      <c r="C124" s="28"/>
      <c r="D124" s="466"/>
      <c r="E124" s="469"/>
      <c r="F124" s="470"/>
      <c r="G124" s="470"/>
      <c r="H124" s="469"/>
      <c r="I124" s="469">
        <f t="shared" si="44"/>
        <v>0</v>
      </c>
      <c r="J124" s="469">
        <f t="shared" si="53"/>
        <v>0</v>
      </c>
      <c r="K124" s="78">
        <v>275414500</v>
      </c>
      <c r="L124" s="79">
        <v>275329899.60000002</v>
      </c>
      <c r="M124" s="537">
        <v>305868000</v>
      </c>
      <c r="N124" s="78">
        <v>305868000</v>
      </c>
      <c r="O124" s="466">
        <v>50000000</v>
      </c>
      <c r="P124" s="467"/>
      <c r="Q124" s="466">
        <f t="shared" si="45"/>
        <v>50000000</v>
      </c>
      <c r="R124" s="466">
        <v>49975270.68</v>
      </c>
      <c r="S124" s="466"/>
      <c r="T124" s="539">
        <f t="shared" si="74"/>
        <v>0</v>
      </c>
      <c r="U124" s="78">
        <v>168702000</v>
      </c>
      <c r="V124" s="78">
        <f>SUM(U124*105/100)</f>
        <v>177137100</v>
      </c>
      <c r="W124" s="78">
        <v>185994000</v>
      </c>
      <c r="X124" s="78">
        <f>SUM(W124*105/100)</f>
        <v>195293700</v>
      </c>
      <c r="Y124" s="78">
        <f>SUM(X124*5)</f>
        <v>976468500</v>
      </c>
      <c r="Z124" s="78">
        <f>SUM(X124*5)</f>
        <v>976468500</v>
      </c>
      <c r="AA124" s="78">
        <f>SUM(X124*3)</f>
        <v>585881100</v>
      </c>
      <c r="AB124" s="92">
        <v>168702000</v>
      </c>
      <c r="AC124" s="538">
        <v>0</v>
      </c>
      <c r="AD124" s="93">
        <v>168702000</v>
      </c>
      <c r="AE124" s="539">
        <v>168702000</v>
      </c>
      <c r="AF124" s="540"/>
      <c r="AG124" s="440"/>
      <c r="AH124" s="440"/>
    </row>
    <row r="125" spans="1:34" s="5" customFormat="1" x14ac:dyDescent="0.2">
      <c r="A125" s="26"/>
      <c r="B125" s="27" t="s">
        <v>123</v>
      </c>
      <c r="C125" s="28"/>
      <c r="D125" s="466">
        <v>168702000</v>
      </c>
      <c r="E125" s="469">
        <v>98000000</v>
      </c>
      <c r="F125" s="470">
        <v>98000000</v>
      </c>
      <c r="G125" s="470">
        <v>98000000</v>
      </c>
      <c r="H125" s="469"/>
      <c r="I125" s="469">
        <f t="shared" si="44"/>
        <v>98000000</v>
      </c>
      <c r="J125" s="469">
        <f t="shared" si="53"/>
        <v>0</v>
      </c>
      <c r="K125" s="86"/>
      <c r="L125" s="94"/>
      <c r="M125" s="576"/>
      <c r="N125" s="86"/>
      <c r="O125" s="539">
        <v>305868000</v>
      </c>
      <c r="P125" s="577"/>
      <c r="Q125" s="539">
        <f t="shared" si="45"/>
        <v>305868000</v>
      </c>
      <c r="R125" s="539">
        <v>305868000</v>
      </c>
      <c r="S125" s="539"/>
      <c r="T125" s="573">
        <f t="shared" si="74"/>
        <v>0</v>
      </c>
      <c r="U125" s="86"/>
      <c r="V125" s="86"/>
      <c r="W125" s="86"/>
      <c r="X125" s="86"/>
      <c r="Y125" s="86"/>
      <c r="Z125" s="86"/>
      <c r="AA125" s="86"/>
      <c r="AB125" s="88"/>
      <c r="AC125" s="572"/>
      <c r="AD125" s="89"/>
      <c r="AE125" s="573"/>
      <c r="AF125" s="574"/>
      <c r="AG125" s="440"/>
      <c r="AH125" s="440"/>
    </row>
    <row r="126" spans="1:34" s="5" customFormat="1" x14ac:dyDescent="0.2">
      <c r="A126" s="26"/>
      <c r="B126" s="27" t="s">
        <v>149</v>
      </c>
      <c r="C126" s="28"/>
      <c r="D126" s="466">
        <v>32000000</v>
      </c>
      <c r="E126" s="469">
        <v>32000000</v>
      </c>
      <c r="F126" s="470">
        <v>32000000</v>
      </c>
      <c r="G126" s="470">
        <v>32000000</v>
      </c>
      <c r="H126" s="469"/>
      <c r="I126" s="469">
        <f t="shared" si="44"/>
        <v>32000000</v>
      </c>
      <c r="J126" s="469">
        <f t="shared" si="53"/>
        <v>0</v>
      </c>
      <c r="K126" s="86"/>
      <c r="L126" s="87"/>
      <c r="M126" s="572"/>
      <c r="N126" s="86"/>
      <c r="O126" s="573">
        <v>15800000</v>
      </c>
      <c r="P126" s="575"/>
      <c r="Q126" s="573">
        <f t="shared" si="45"/>
        <v>15800000</v>
      </c>
      <c r="R126" s="573">
        <v>15800000</v>
      </c>
      <c r="S126" s="573"/>
      <c r="T126" s="573">
        <f t="shared" si="74"/>
        <v>0</v>
      </c>
      <c r="U126" s="86"/>
      <c r="V126" s="86"/>
      <c r="W126" s="86"/>
      <c r="X126" s="86"/>
      <c r="Y126" s="86"/>
      <c r="Z126" s="86"/>
      <c r="AA126" s="86"/>
      <c r="AB126" s="88"/>
      <c r="AC126" s="572"/>
      <c r="AD126" s="89"/>
      <c r="AE126" s="573"/>
      <c r="AF126" s="574"/>
      <c r="AG126" s="440"/>
      <c r="AH126" s="440"/>
    </row>
    <row r="127" spans="1:34" s="5" customFormat="1" x14ac:dyDescent="0.2">
      <c r="A127" s="26"/>
      <c r="B127" s="27" t="s">
        <v>121</v>
      </c>
      <c r="C127" s="28"/>
      <c r="D127" s="466">
        <v>15000000</v>
      </c>
      <c r="E127" s="469">
        <v>39200000</v>
      </c>
      <c r="F127" s="470">
        <v>15000000</v>
      </c>
      <c r="G127" s="470">
        <v>15000000</v>
      </c>
      <c r="H127" s="469"/>
      <c r="I127" s="469">
        <f t="shared" si="44"/>
        <v>15000000</v>
      </c>
      <c r="J127" s="469">
        <f t="shared" si="53"/>
        <v>24200000</v>
      </c>
      <c r="K127" s="78">
        <v>15000000</v>
      </c>
      <c r="L127" s="79">
        <v>15000000</v>
      </c>
      <c r="M127" s="538">
        <v>49532200</v>
      </c>
      <c r="N127" s="78">
        <v>15000000</v>
      </c>
      <c r="O127" s="573"/>
      <c r="P127" s="575"/>
      <c r="Q127" s="573">
        <f t="shared" si="45"/>
        <v>0</v>
      </c>
      <c r="R127" s="573"/>
      <c r="S127" s="573"/>
      <c r="T127" s="539">
        <f t="shared" si="74"/>
        <v>0</v>
      </c>
      <c r="U127" s="78">
        <v>43840000</v>
      </c>
      <c r="V127" s="78">
        <f>SUM(U127*105/100)</f>
        <v>46032000</v>
      </c>
      <c r="W127" s="78">
        <f>SUM(V127*105/100)</f>
        <v>48333600</v>
      </c>
      <c r="X127" s="78">
        <v>50750300</v>
      </c>
      <c r="Y127" s="78">
        <f>SUM(X127*5)</f>
        <v>253751500</v>
      </c>
      <c r="Z127" s="78">
        <f>SUM(X127*5)</f>
        <v>253751500</v>
      </c>
      <c r="AA127" s="78">
        <f>SUM(X127*3)</f>
        <v>152250900</v>
      </c>
      <c r="AB127" s="92">
        <v>15000000</v>
      </c>
      <c r="AC127" s="538">
        <v>0</v>
      </c>
      <c r="AD127" s="93">
        <v>15000000</v>
      </c>
      <c r="AE127" s="539">
        <v>15000000</v>
      </c>
      <c r="AF127" s="540"/>
      <c r="AG127" s="440"/>
      <c r="AH127" s="440"/>
    </row>
    <row r="128" spans="1:34" s="5" customFormat="1" x14ac:dyDescent="0.2">
      <c r="A128" s="56"/>
      <c r="B128" s="36" t="s">
        <v>150</v>
      </c>
      <c r="C128" s="37"/>
      <c r="D128" s="466"/>
      <c r="E128" s="469"/>
      <c r="F128" s="470"/>
      <c r="G128" s="470"/>
      <c r="H128" s="469"/>
      <c r="I128" s="469">
        <f t="shared" si="44"/>
        <v>0</v>
      </c>
      <c r="J128" s="469">
        <f t="shared" si="53"/>
        <v>0</v>
      </c>
      <c r="K128" s="23">
        <f t="shared" ref="K128:AF129" si="75">SUM(K129:K131)</f>
        <v>51183000</v>
      </c>
      <c r="L128" s="24">
        <f t="shared" si="75"/>
        <v>30498413.700000003</v>
      </c>
      <c r="M128" s="543">
        <f t="shared" si="75"/>
        <v>54244600</v>
      </c>
      <c r="N128" s="25">
        <f t="shared" si="75"/>
        <v>45825400</v>
      </c>
      <c r="O128" s="539">
        <v>15000000</v>
      </c>
      <c r="P128" s="577"/>
      <c r="Q128" s="539">
        <f t="shared" si="45"/>
        <v>15000000</v>
      </c>
      <c r="R128" s="539">
        <v>15000000</v>
      </c>
      <c r="S128" s="539"/>
      <c r="T128" s="450">
        <f t="shared" si="74"/>
        <v>22234820.789999999</v>
      </c>
      <c r="U128" s="450">
        <f>SUM(U129:U131)</f>
        <v>60386000</v>
      </c>
      <c r="V128" s="450">
        <f t="shared" si="75"/>
        <v>59730300</v>
      </c>
      <c r="W128" s="450">
        <f t="shared" si="75"/>
        <v>62716900</v>
      </c>
      <c r="X128" s="450">
        <f t="shared" si="75"/>
        <v>65852800</v>
      </c>
      <c r="Y128" s="450">
        <f t="shared" si="75"/>
        <v>329264000</v>
      </c>
      <c r="Z128" s="450">
        <f t="shared" si="75"/>
        <v>329264000</v>
      </c>
      <c r="AA128" s="450">
        <f t="shared" si="75"/>
        <v>197558400</v>
      </c>
      <c r="AB128" s="450">
        <f t="shared" si="75"/>
        <v>40582900</v>
      </c>
      <c r="AC128" s="450">
        <f t="shared" si="75"/>
        <v>1245200</v>
      </c>
      <c r="AD128" s="450">
        <f t="shared" si="75"/>
        <v>39337700</v>
      </c>
      <c r="AE128" s="450">
        <f t="shared" si="75"/>
        <v>39337700</v>
      </c>
      <c r="AF128" s="450">
        <f t="shared" si="75"/>
        <v>5000000</v>
      </c>
      <c r="AG128" s="440"/>
      <c r="AH128" s="440"/>
    </row>
    <row r="129" spans="1:36" s="5" customFormat="1" x14ac:dyDescent="0.2">
      <c r="A129" s="20" t="s">
        <v>56</v>
      </c>
      <c r="B129" s="21"/>
      <c r="C129" s="22"/>
      <c r="D129" s="450">
        <f>SUM(D130:D132)</f>
        <v>34337700</v>
      </c>
      <c r="E129" s="451">
        <f>SUM(E130:E132)</f>
        <v>49333000</v>
      </c>
      <c r="F129" s="452">
        <f>SUM(F130:F132)</f>
        <v>11482200</v>
      </c>
      <c r="G129" s="452">
        <f>SUM(G130:G132)</f>
        <v>11482200</v>
      </c>
      <c r="H129" s="451">
        <f t="shared" ref="H129" si="76">SUM(H130:H132)</f>
        <v>0</v>
      </c>
      <c r="I129" s="451">
        <f t="shared" si="44"/>
        <v>11482200</v>
      </c>
      <c r="J129" s="451">
        <f t="shared" si="53"/>
        <v>37850800</v>
      </c>
      <c r="K129" s="29">
        <v>5827600</v>
      </c>
      <c r="L129" s="30">
        <v>6107468.6200000001</v>
      </c>
      <c r="M129" s="465">
        <v>10454000</v>
      </c>
      <c r="N129" s="29">
        <v>5827600</v>
      </c>
      <c r="O129" s="450">
        <f>SUM(O130:O132)</f>
        <v>36532800</v>
      </c>
      <c r="P129" s="450">
        <f t="shared" si="75"/>
        <v>0</v>
      </c>
      <c r="Q129" s="450">
        <f t="shared" si="45"/>
        <v>36532800</v>
      </c>
      <c r="R129" s="450">
        <f>SUM(R130:R132)</f>
        <v>14297979.210000001</v>
      </c>
      <c r="S129" s="450">
        <f>SUM(S130:S132)</f>
        <v>0</v>
      </c>
      <c r="T129" s="466">
        <f t="shared" si="74"/>
        <v>5443985.7800000003</v>
      </c>
      <c r="U129" s="29">
        <v>13941000</v>
      </c>
      <c r="V129" s="29">
        <v>10963000</v>
      </c>
      <c r="W129" s="29">
        <v>11511200</v>
      </c>
      <c r="X129" s="29">
        <v>12086800</v>
      </c>
      <c r="Y129" s="29">
        <f>SUM(X129*5)</f>
        <v>60434000</v>
      </c>
      <c r="Z129" s="29">
        <f>SUM(X129*5)</f>
        <v>60434000</v>
      </c>
      <c r="AA129" s="29">
        <f>SUM(X129*3)</f>
        <v>36260400</v>
      </c>
      <c r="AB129" s="31">
        <v>10666400</v>
      </c>
      <c r="AC129" s="465">
        <v>0</v>
      </c>
      <c r="AD129" s="32">
        <v>10666400</v>
      </c>
      <c r="AE129" s="466">
        <v>10666400</v>
      </c>
      <c r="AF129" s="468">
        <v>5000000</v>
      </c>
      <c r="AG129" s="440"/>
      <c r="AH129" s="440"/>
    </row>
    <row r="130" spans="1:36" s="5" customFormat="1" x14ac:dyDescent="0.2">
      <c r="A130" s="26"/>
      <c r="B130" s="27" t="s">
        <v>124</v>
      </c>
      <c r="C130" s="28"/>
      <c r="D130" s="466">
        <v>5666400</v>
      </c>
      <c r="E130" s="469">
        <v>15210000</v>
      </c>
      <c r="F130" s="470">
        <v>0</v>
      </c>
      <c r="G130" s="470">
        <v>0</v>
      </c>
      <c r="H130" s="469"/>
      <c r="I130" s="469">
        <f t="shared" si="44"/>
        <v>0</v>
      </c>
      <c r="J130" s="469">
        <f t="shared" si="53"/>
        <v>15210000</v>
      </c>
      <c r="K130" s="29">
        <v>38173700</v>
      </c>
      <c r="L130" s="30">
        <v>20995307.84</v>
      </c>
      <c r="M130" s="465">
        <v>34935800</v>
      </c>
      <c r="N130" s="29">
        <v>34935800</v>
      </c>
      <c r="O130" s="466">
        <f>5827600+707400</f>
        <v>6535000</v>
      </c>
      <c r="P130" s="467"/>
      <c r="Q130" s="466">
        <f t="shared" si="45"/>
        <v>6535000</v>
      </c>
      <c r="R130" s="466">
        <f>1082899.22+8115</f>
        <v>1091014.22</v>
      </c>
      <c r="S130" s="466"/>
      <c r="T130" s="466">
        <f t="shared" si="74"/>
        <v>12124830.01</v>
      </c>
      <c r="U130" s="29">
        <v>41445000</v>
      </c>
      <c r="V130" s="29">
        <v>43517300</v>
      </c>
      <c r="W130" s="29">
        <v>45693200</v>
      </c>
      <c r="X130" s="29">
        <v>47977900</v>
      </c>
      <c r="Y130" s="29">
        <f>SUM(X130*5)</f>
        <v>239889500</v>
      </c>
      <c r="Z130" s="29">
        <f>SUM(X130*5)</f>
        <v>239889500</v>
      </c>
      <c r="AA130" s="29">
        <f>SUM(X130*3)</f>
        <v>143933700</v>
      </c>
      <c r="AB130" s="31">
        <v>24935800</v>
      </c>
      <c r="AC130" s="465">
        <v>0</v>
      </c>
      <c r="AD130" s="32">
        <v>24935800</v>
      </c>
      <c r="AE130" s="466">
        <v>24935800</v>
      </c>
      <c r="AF130" s="468"/>
      <c r="AG130" s="440"/>
      <c r="AH130" s="440"/>
    </row>
    <row r="131" spans="1:36" s="5" customFormat="1" x14ac:dyDescent="0.2">
      <c r="A131" s="26"/>
      <c r="B131" s="27" t="s">
        <v>781</v>
      </c>
      <c r="C131" s="28"/>
      <c r="D131" s="466">
        <v>24935800</v>
      </c>
      <c r="E131" s="469">
        <v>30910000</v>
      </c>
      <c r="F131" s="470">
        <v>11482200</v>
      </c>
      <c r="G131" s="470">
        <v>11482200</v>
      </c>
      <c r="H131" s="469"/>
      <c r="I131" s="469">
        <f t="shared" si="44"/>
        <v>11482200</v>
      </c>
      <c r="J131" s="469">
        <f t="shared" si="53"/>
        <v>19427800</v>
      </c>
      <c r="K131" s="29">
        <v>7181700</v>
      </c>
      <c r="L131" s="30">
        <v>3395637.24</v>
      </c>
      <c r="M131" s="465">
        <v>8854800</v>
      </c>
      <c r="N131" s="29">
        <v>5062000</v>
      </c>
      <c r="O131" s="466">
        <v>24935800</v>
      </c>
      <c r="P131" s="467"/>
      <c r="Q131" s="466">
        <f t="shared" si="45"/>
        <v>24935800</v>
      </c>
      <c r="R131" s="466">
        <v>12810969.99</v>
      </c>
      <c r="S131" s="466"/>
      <c r="T131" s="466">
        <f t="shared" si="74"/>
        <v>4666005</v>
      </c>
      <c r="U131" s="29">
        <v>5000000</v>
      </c>
      <c r="V131" s="29">
        <f>SUM(U131*105/100)</f>
        <v>5250000</v>
      </c>
      <c r="W131" s="29">
        <f>SUM(V131*105/100)</f>
        <v>5512500</v>
      </c>
      <c r="X131" s="29">
        <v>5788100</v>
      </c>
      <c r="Y131" s="29">
        <f>SUM(X131*5)</f>
        <v>28940500</v>
      </c>
      <c r="Z131" s="29">
        <f>SUM(X131*5)</f>
        <v>28940500</v>
      </c>
      <c r="AA131" s="29">
        <f>SUM(X131*3)</f>
        <v>17364300</v>
      </c>
      <c r="AB131" s="31">
        <v>4980700</v>
      </c>
      <c r="AC131" s="465">
        <v>1245200</v>
      </c>
      <c r="AD131" s="32">
        <v>3735500</v>
      </c>
      <c r="AE131" s="466">
        <v>3735500</v>
      </c>
      <c r="AF131" s="468"/>
      <c r="AG131" s="440"/>
      <c r="AH131" s="440"/>
    </row>
    <row r="132" spans="1:36" s="5" customFormat="1" x14ac:dyDescent="0.2">
      <c r="A132" s="26"/>
      <c r="B132" s="27" t="s">
        <v>125</v>
      </c>
      <c r="C132" s="28"/>
      <c r="D132" s="466">
        <v>3735500</v>
      </c>
      <c r="E132" s="469">
        <v>3213000</v>
      </c>
      <c r="F132" s="470">
        <v>0</v>
      </c>
      <c r="G132" s="470">
        <v>0</v>
      </c>
      <c r="H132" s="469"/>
      <c r="I132" s="469">
        <f t="shared" si="44"/>
        <v>0</v>
      </c>
      <c r="J132" s="469">
        <f t="shared" si="53"/>
        <v>3213000</v>
      </c>
      <c r="K132" s="12">
        <f t="shared" ref="K132:AF133" si="77">+K133</f>
        <v>506811350</v>
      </c>
      <c r="L132" s="13">
        <f t="shared" si="77"/>
        <v>71749670</v>
      </c>
      <c r="M132" s="578">
        <f t="shared" si="77"/>
        <v>599239600</v>
      </c>
      <c r="N132" s="13">
        <f t="shared" si="77"/>
        <v>0</v>
      </c>
      <c r="O132" s="466">
        <v>5062000</v>
      </c>
      <c r="P132" s="467"/>
      <c r="Q132" s="466">
        <f t="shared" si="45"/>
        <v>5062000</v>
      </c>
      <c r="R132" s="466">
        <v>395995</v>
      </c>
      <c r="S132" s="466"/>
      <c r="T132" s="459">
        <f t="shared" si="74"/>
        <v>-46045235.839999914</v>
      </c>
      <c r="U132" s="459">
        <f ca="1">+U133</f>
        <v>677674300</v>
      </c>
      <c r="V132" s="459">
        <f t="shared" si="77"/>
        <v>910998900</v>
      </c>
      <c r="W132" s="459">
        <f t="shared" si="77"/>
        <v>1023657300</v>
      </c>
      <c r="X132" s="459">
        <f t="shared" si="77"/>
        <v>1074840400</v>
      </c>
      <c r="Y132" s="459">
        <f t="shared" si="77"/>
        <v>5374202000</v>
      </c>
      <c r="Z132" s="459">
        <f t="shared" si="77"/>
        <v>5374202000</v>
      </c>
      <c r="AA132" s="459">
        <f t="shared" si="77"/>
        <v>3224521200</v>
      </c>
      <c r="AB132" s="459">
        <f t="shared" si="77"/>
        <v>771833200</v>
      </c>
      <c r="AC132" s="459">
        <f t="shared" si="77"/>
        <v>24357100</v>
      </c>
      <c r="AD132" s="459">
        <f t="shared" si="77"/>
        <v>747476100</v>
      </c>
      <c r="AE132" s="459">
        <f t="shared" ca="1" si="77"/>
        <v>584448300</v>
      </c>
      <c r="AF132" s="459">
        <f t="shared" si="77"/>
        <v>105000000</v>
      </c>
      <c r="AG132" s="440"/>
      <c r="AH132" s="440"/>
    </row>
    <row r="133" spans="1:36" s="5" customFormat="1" x14ac:dyDescent="0.2">
      <c r="A133" s="9" t="s">
        <v>167</v>
      </c>
      <c r="B133" s="10"/>
      <c r="C133" s="11"/>
      <c r="D133" s="459">
        <f>+D134</f>
        <v>584758300</v>
      </c>
      <c r="E133" s="460">
        <f>+E134</f>
        <v>742652900</v>
      </c>
      <c r="F133" s="461">
        <f t="shared" ref="F133:H133" si="78">+F134</f>
        <v>517564000</v>
      </c>
      <c r="G133" s="461">
        <f t="shared" si="78"/>
        <v>507564000</v>
      </c>
      <c r="H133" s="460">
        <f t="shared" si="78"/>
        <v>0</v>
      </c>
      <c r="I133" s="460">
        <f t="shared" si="44"/>
        <v>507564000</v>
      </c>
      <c r="J133" s="460">
        <f t="shared" si="53"/>
        <v>235088900</v>
      </c>
      <c r="K133" s="460">
        <f t="shared" si="77"/>
        <v>506811350</v>
      </c>
      <c r="L133" s="460">
        <f t="shared" si="77"/>
        <v>71749670</v>
      </c>
      <c r="M133" s="460">
        <f t="shared" si="77"/>
        <v>599239600</v>
      </c>
      <c r="N133" s="460">
        <f t="shared" si="77"/>
        <v>0</v>
      </c>
      <c r="O133" s="459">
        <f t="shared" si="77"/>
        <v>568051800</v>
      </c>
      <c r="P133" s="459">
        <f t="shared" si="77"/>
        <v>0</v>
      </c>
      <c r="Q133" s="459">
        <f t="shared" si="45"/>
        <v>568051800</v>
      </c>
      <c r="R133" s="459">
        <f t="shared" si="77"/>
        <v>614097035.83999991</v>
      </c>
      <c r="S133" s="459">
        <f t="shared" si="77"/>
        <v>0</v>
      </c>
      <c r="T133" s="447">
        <f t="shared" si="74"/>
        <v>-46045235.839999914</v>
      </c>
      <c r="U133" s="447">
        <f ca="1">SUM(U134,U142)</f>
        <v>677674300</v>
      </c>
      <c r="V133" s="447">
        <f t="shared" ref="V133:AF133" si="79">SUM(V134,V142)</f>
        <v>910998900</v>
      </c>
      <c r="W133" s="447">
        <f t="shared" si="79"/>
        <v>1023657300</v>
      </c>
      <c r="X133" s="447">
        <f t="shared" si="79"/>
        <v>1074840400</v>
      </c>
      <c r="Y133" s="447">
        <f t="shared" si="79"/>
        <v>5374202000</v>
      </c>
      <c r="Z133" s="447">
        <f t="shared" si="79"/>
        <v>5374202000</v>
      </c>
      <c r="AA133" s="447">
        <f t="shared" si="79"/>
        <v>3224521200</v>
      </c>
      <c r="AB133" s="447">
        <f t="shared" si="79"/>
        <v>771833200</v>
      </c>
      <c r="AC133" s="447">
        <f t="shared" si="79"/>
        <v>24357100</v>
      </c>
      <c r="AD133" s="447">
        <f t="shared" si="79"/>
        <v>747476100</v>
      </c>
      <c r="AE133" s="447">
        <f t="shared" ca="1" si="79"/>
        <v>584448300</v>
      </c>
      <c r="AF133" s="447">
        <f t="shared" si="79"/>
        <v>105000000</v>
      </c>
      <c r="AG133" s="440"/>
      <c r="AH133" s="440"/>
    </row>
    <row r="134" spans="1:36" s="5" customFormat="1" x14ac:dyDescent="0.2">
      <c r="A134" s="14" t="s">
        <v>168</v>
      </c>
      <c r="B134" s="15"/>
      <c r="C134" s="16"/>
      <c r="D134" s="447">
        <f>SUM(D135,D143)</f>
        <v>584758300</v>
      </c>
      <c r="E134" s="448">
        <f>SUM(E135,E143)</f>
        <v>742652900</v>
      </c>
      <c r="F134" s="449">
        <f t="shared" ref="F134:H134" si="80">SUM(F135,F143)</f>
        <v>517564000</v>
      </c>
      <c r="G134" s="449">
        <f t="shared" si="80"/>
        <v>507564000</v>
      </c>
      <c r="H134" s="448">
        <f t="shared" si="80"/>
        <v>0</v>
      </c>
      <c r="I134" s="448">
        <f t="shared" si="44"/>
        <v>507564000</v>
      </c>
      <c r="J134" s="448">
        <f t="shared" si="53"/>
        <v>235088900</v>
      </c>
      <c r="K134" s="448">
        <f t="shared" ref="K134:S134" si="81">SUM(K135,K143)</f>
        <v>506811350</v>
      </c>
      <c r="L134" s="448">
        <f t="shared" si="81"/>
        <v>71749670</v>
      </c>
      <c r="M134" s="448">
        <f t="shared" si="81"/>
        <v>599239600</v>
      </c>
      <c r="N134" s="448">
        <f t="shared" si="81"/>
        <v>0</v>
      </c>
      <c r="O134" s="447">
        <f t="shared" si="81"/>
        <v>568051800</v>
      </c>
      <c r="P134" s="447">
        <f t="shared" si="81"/>
        <v>0</v>
      </c>
      <c r="Q134" s="447">
        <f t="shared" si="45"/>
        <v>568051800</v>
      </c>
      <c r="R134" s="447">
        <f t="shared" si="81"/>
        <v>614097035.83999991</v>
      </c>
      <c r="S134" s="447">
        <f t="shared" si="81"/>
        <v>0</v>
      </c>
      <c r="T134" s="450">
        <f t="shared" si="74"/>
        <v>-102859079.16999996</v>
      </c>
      <c r="U134" s="450">
        <f>+U135</f>
        <v>560905500</v>
      </c>
      <c r="V134" s="450">
        <f t="shared" ref="V134:AF134" si="82">+V135</f>
        <v>589286800</v>
      </c>
      <c r="W134" s="450">
        <f t="shared" si="82"/>
        <v>618751200</v>
      </c>
      <c r="X134" s="450">
        <f t="shared" si="82"/>
        <v>649688800</v>
      </c>
      <c r="Y134" s="450">
        <f t="shared" si="82"/>
        <v>3248444000</v>
      </c>
      <c r="Z134" s="450">
        <f t="shared" si="82"/>
        <v>3248444000</v>
      </c>
      <c r="AA134" s="450">
        <f t="shared" si="82"/>
        <v>1949066400</v>
      </c>
      <c r="AB134" s="450">
        <f t="shared" si="82"/>
        <v>526445100</v>
      </c>
      <c r="AC134" s="450">
        <f t="shared" si="82"/>
        <v>0</v>
      </c>
      <c r="AD134" s="450">
        <f t="shared" si="82"/>
        <v>526445100</v>
      </c>
      <c r="AE134" s="450">
        <f t="shared" si="82"/>
        <v>526445100</v>
      </c>
      <c r="AF134" s="450">
        <f t="shared" si="82"/>
        <v>0</v>
      </c>
      <c r="AG134" s="440"/>
      <c r="AH134" s="440"/>
    </row>
    <row r="135" spans="1:36" s="5" customFormat="1" x14ac:dyDescent="0.2">
      <c r="A135" s="20" t="s">
        <v>60</v>
      </c>
      <c r="B135" s="21"/>
      <c r="C135" s="22"/>
      <c r="D135" s="450">
        <f>+D136+D142</f>
        <v>526755100</v>
      </c>
      <c r="E135" s="451">
        <f>+E136</f>
        <v>627869700</v>
      </c>
      <c r="F135" s="452">
        <f t="shared" ref="F135:H135" si="83">+F136</f>
        <v>507154000</v>
      </c>
      <c r="G135" s="452">
        <f t="shared" si="83"/>
        <v>497154000</v>
      </c>
      <c r="H135" s="451">
        <f t="shared" si="83"/>
        <v>0</v>
      </c>
      <c r="I135" s="451">
        <f t="shared" si="44"/>
        <v>497154000</v>
      </c>
      <c r="J135" s="451">
        <f t="shared" si="53"/>
        <v>130715700</v>
      </c>
      <c r="K135" s="451">
        <f t="shared" ref="K135:S135" si="84">+K136</f>
        <v>399323050</v>
      </c>
      <c r="L135" s="451">
        <f t="shared" si="84"/>
        <v>0</v>
      </c>
      <c r="M135" s="451">
        <f t="shared" si="84"/>
        <v>450631200</v>
      </c>
      <c r="N135" s="451">
        <f t="shared" si="84"/>
        <v>0</v>
      </c>
      <c r="O135" s="450">
        <f t="shared" si="84"/>
        <v>502483100</v>
      </c>
      <c r="P135" s="450">
        <f t="shared" si="84"/>
        <v>0</v>
      </c>
      <c r="Q135" s="450">
        <f t="shared" si="45"/>
        <v>502483100</v>
      </c>
      <c r="R135" s="450">
        <f t="shared" si="84"/>
        <v>605342179.16999996</v>
      </c>
      <c r="S135" s="450">
        <f t="shared" si="84"/>
        <v>0</v>
      </c>
      <c r="T135" s="462">
        <f t="shared" si="74"/>
        <v>-102859079.16999996</v>
      </c>
      <c r="U135" s="52">
        <f>SUM(U136:U140)</f>
        <v>560905500</v>
      </c>
      <c r="V135" s="52">
        <v>589286800</v>
      </c>
      <c r="W135" s="52">
        <v>618751200</v>
      </c>
      <c r="X135" s="52">
        <v>649688800</v>
      </c>
      <c r="Y135" s="52">
        <f>SUM(X135*5)</f>
        <v>3248444000</v>
      </c>
      <c r="Z135" s="52">
        <f>SUM(X135*5)</f>
        <v>3248444000</v>
      </c>
      <c r="AA135" s="52">
        <f>SUM(X135*3)</f>
        <v>1949066400</v>
      </c>
      <c r="AB135" s="54">
        <f>SUM(AB136:AB140)</f>
        <v>526445100</v>
      </c>
      <c r="AC135" s="494">
        <v>0</v>
      </c>
      <c r="AD135" s="55">
        <v>526445100</v>
      </c>
      <c r="AE135" s="462">
        <f>SUM(AE136:AE140)</f>
        <v>526445100</v>
      </c>
      <c r="AF135" s="496">
        <f>SUM(AF136:AF140)</f>
        <v>0</v>
      </c>
      <c r="AG135" s="440"/>
      <c r="AH135" s="440"/>
    </row>
    <row r="136" spans="1:36" s="5" customFormat="1" x14ac:dyDescent="0.2">
      <c r="A136" s="33"/>
      <c r="B136" s="34" t="s">
        <v>151</v>
      </c>
      <c r="C136" s="35"/>
      <c r="D136" s="462">
        <f>SUM(D137:D141)</f>
        <v>526445100</v>
      </c>
      <c r="E136" s="463">
        <f>SUM(E137:E141)</f>
        <v>627869700</v>
      </c>
      <c r="F136" s="464">
        <f>SUM(F137:F141)</f>
        <v>507154000</v>
      </c>
      <c r="G136" s="559">
        <f>SUM(G137:G141)</f>
        <v>497154000</v>
      </c>
      <c r="H136" s="463">
        <f t="shared" ref="H136" si="85">SUM(H137:H141)</f>
        <v>0</v>
      </c>
      <c r="I136" s="463">
        <f t="shared" ref="I136:I199" si="86">+G136-H136</f>
        <v>497154000</v>
      </c>
      <c r="J136" s="463">
        <f t="shared" si="53"/>
        <v>130715700</v>
      </c>
      <c r="K136" s="29">
        <v>399323050</v>
      </c>
      <c r="L136" s="30"/>
      <c r="M136" s="465">
        <v>450631200</v>
      </c>
      <c r="N136" s="29"/>
      <c r="O136" s="462">
        <v>502483100</v>
      </c>
      <c r="P136" s="495"/>
      <c r="Q136" s="462">
        <f t="shared" ref="Q136:Q199" si="87">+O136-P136</f>
        <v>502483100</v>
      </c>
      <c r="R136" s="462">
        <v>605342179.16999996</v>
      </c>
      <c r="S136" s="462"/>
      <c r="T136" s="466">
        <f t="shared" si="74"/>
        <v>0</v>
      </c>
      <c r="U136" s="29">
        <v>463594900</v>
      </c>
      <c r="V136" s="29"/>
      <c r="W136" s="29"/>
      <c r="X136" s="29"/>
      <c r="Y136" s="29"/>
      <c r="Z136" s="29"/>
      <c r="AA136" s="29"/>
      <c r="AB136" s="31">
        <v>431827730</v>
      </c>
      <c r="AC136" s="465">
        <v>0</v>
      </c>
      <c r="AD136" s="55">
        <v>431827730</v>
      </c>
      <c r="AE136" s="466">
        <v>431827730</v>
      </c>
      <c r="AF136" s="496"/>
      <c r="AG136" s="440"/>
      <c r="AH136" s="440"/>
    </row>
    <row r="137" spans="1:36" s="5" customFormat="1" x14ac:dyDescent="0.2">
      <c r="A137" s="56"/>
      <c r="B137" s="36"/>
      <c r="C137" s="58" t="s">
        <v>61</v>
      </c>
      <c r="D137" s="466">
        <f>431827730+310000</f>
        <v>432137730</v>
      </c>
      <c r="E137" s="469">
        <v>524389000</v>
      </c>
      <c r="F137" s="470">
        <v>417943800</v>
      </c>
      <c r="G137" s="470">
        <v>409702800</v>
      </c>
      <c r="H137" s="469"/>
      <c r="I137" s="469">
        <f t="shared" si="86"/>
        <v>409702800</v>
      </c>
      <c r="J137" s="469">
        <f t="shared" si="53"/>
        <v>114686200</v>
      </c>
      <c r="K137" s="29">
        <v>2467230</v>
      </c>
      <c r="L137" s="30"/>
      <c r="M137" s="465">
        <v>3603000</v>
      </c>
      <c r="N137" s="29"/>
      <c r="O137" s="466"/>
      <c r="P137" s="467"/>
      <c r="Q137" s="466">
        <f t="shared" si="87"/>
        <v>0</v>
      </c>
      <c r="R137" s="466"/>
      <c r="S137" s="466"/>
      <c r="T137" s="502">
        <f t="shared" si="74"/>
        <v>0</v>
      </c>
      <c r="U137" s="29">
        <v>2680000</v>
      </c>
      <c r="V137" s="29"/>
      <c r="W137" s="29"/>
      <c r="X137" s="29"/>
      <c r="Y137" s="29"/>
      <c r="Z137" s="29"/>
      <c r="AA137" s="29"/>
      <c r="AB137" s="31">
        <v>2560650</v>
      </c>
      <c r="AC137" s="465">
        <v>0</v>
      </c>
      <c r="AD137" s="55">
        <v>2560650</v>
      </c>
      <c r="AE137" s="466">
        <v>2560650</v>
      </c>
      <c r="AF137" s="496"/>
      <c r="AG137" s="440">
        <v>100</v>
      </c>
      <c r="AH137" s="579">
        <v>507154000</v>
      </c>
      <c r="AI137" s="423">
        <f>+G137*AG137/AH137</f>
        <v>80.784692618021353</v>
      </c>
      <c r="AJ137" s="423"/>
    </row>
    <row r="138" spans="1:36" s="5" customFormat="1" x14ac:dyDescent="0.2">
      <c r="A138" s="56"/>
      <c r="B138" s="36"/>
      <c r="C138" s="58" t="s">
        <v>62</v>
      </c>
      <c r="D138" s="502">
        <v>2560650</v>
      </c>
      <c r="E138" s="521">
        <v>2587600</v>
      </c>
      <c r="F138" s="504">
        <v>2069100</v>
      </c>
      <c r="G138" s="504">
        <v>2028300</v>
      </c>
      <c r="H138" s="521"/>
      <c r="I138" s="521">
        <f t="shared" si="86"/>
        <v>2028300</v>
      </c>
      <c r="J138" s="521">
        <f t="shared" si="53"/>
        <v>559300</v>
      </c>
      <c r="K138" s="29">
        <v>12542820</v>
      </c>
      <c r="L138" s="30"/>
      <c r="M138" s="465">
        <v>16351000</v>
      </c>
      <c r="N138" s="29"/>
      <c r="O138" s="502"/>
      <c r="P138" s="503"/>
      <c r="Q138" s="502">
        <f t="shared" si="87"/>
        <v>0</v>
      </c>
      <c r="R138" s="502"/>
      <c r="S138" s="502"/>
      <c r="T138" s="502">
        <f t="shared" si="74"/>
        <v>0</v>
      </c>
      <c r="U138" s="29">
        <v>13688000</v>
      </c>
      <c r="V138" s="29"/>
      <c r="W138" s="29"/>
      <c r="X138" s="29"/>
      <c r="Y138" s="29"/>
      <c r="Z138" s="29"/>
      <c r="AA138" s="29"/>
      <c r="AB138" s="31">
        <v>13309810</v>
      </c>
      <c r="AC138" s="465">
        <v>0</v>
      </c>
      <c r="AD138" s="55">
        <v>13309810</v>
      </c>
      <c r="AE138" s="466">
        <v>13309810</v>
      </c>
      <c r="AF138" s="496"/>
      <c r="AG138" s="440">
        <v>100</v>
      </c>
      <c r="AH138" s="579">
        <v>507154000</v>
      </c>
      <c r="AI138" s="423">
        <f t="shared" ref="AI138:AI142" si="88">+G138*AG138/AH138</f>
        <v>0.39993769150987668</v>
      </c>
      <c r="AJ138" s="423"/>
    </row>
    <row r="139" spans="1:36" s="5" customFormat="1" x14ac:dyDescent="0.2">
      <c r="A139" s="56"/>
      <c r="B139" s="36"/>
      <c r="C139" s="58" t="s">
        <v>51</v>
      </c>
      <c r="D139" s="502">
        <v>13309810</v>
      </c>
      <c r="E139" s="521">
        <v>13499000</v>
      </c>
      <c r="F139" s="504">
        <v>12183100</v>
      </c>
      <c r="G139" s="504">
        <v>11942900</v>
      </c>
      <c r="H139" s="521"/>
      <c r="I139" s="521">
        <f t="shared" si="86"/>
        <v>11942900</v>
      </c>
      <c r="J139" s="521">
        <f t="shared" si="53"/>
        <v>1556100</v>
      </c>
      <c r="K139" s="29">
        <v>69641300</v>
      </c>
      <c r="L139" s="30"/>
      <c r="M139" s="465">
        <v>79930000</v>
      </c>
      <c r="N139" s="29"/>
      <c r="O139" s="502"/>
      <c r="P139" s="503"/>
      <c r="Q139" s="502">
        <f t="shared" si="87"/>
        <v>0</v>
      </c>
      <c r="R139" s="502"/>
      <c r="S139" s="502"/>
      <c r="T139" s="502">
        <f t="shared" si="74"/>
        <v>0</v>
      </c>
      <c r="U139" s="29">
        <v>77937600</v>
      </c>
      <c r="V139" s="29"/>
      <c r="W139" s="29"/>
      <c r="X139" s="29"/>
      <c r="Y139" s="29"/>
      <c r="Z139" s="29"/>
      <c r="AA139" s="29"/>
      <c r="AB139" s="31">
        <v>75812060</v>
      </c>
      <c r="AC139" s="465">
        <v>0</v>
      </c>
      <c r="AD139" s="55">
        <v>75812060</v>
      </c>
      <c r="AE139" s="466">
        <v>75812060</v>
      </c>
      <c r="AF139" s="496"/>
      <c r="AG139" s="440">
        <v>100</v>
      </c>
      <c r="AH139" s="579">
        <v>507154000</v>
      </c>
      <c r="AI139" s="423">
        <f t="shared" si="88"/>
        <v>2.3548862870055252</v>
      </c>
      <c r="AJ139" s="423"/>
    </row>
    <row r="140" spans="1:36" s="5" customFormat="1" x14ac:dyDescent="0.2">
      <c r="A140" s="56"/>
      <c r="B140" s="36"/>
      <c r="C140" s="58" t="s">
        <v>63</v>
      </c>
      <c r="D140" s="502">
        <f>75812060-310000</f>
        <v>75502060</v>
      </c>
      <c r="E140" s="521">
        <v>84356600</v>
      </c>
      <c r="F140" s="504">
        <v>74538600</v>
      </c>
      <c r="G140" s="504">
        <v>73068900</v>
      </c>
      <c r="H140" s="521"/>
      <c r="I140" s="521">
        <f t="shared" si="86"/>
        <v>73068900</v>
      </c>
      <c r="J140" s="521">
        <f t="shared" si="53"/>
        <v>11287700</v>
      </c>
      <c r="K140" s="29">
        <v>2982900</v>
      </c>
      <c r="L140" s="30"/>
      <c r="M140" s="465">
        <v>2990000</v>
      </c>
      <c r="N140" s="29"/>
      <c r="O140" s="502"/>
      <c r="P140" s="503"/>
      <c r="Q140" s="502">
        <f t="shared" si="87"/>
        <v>0</v>
      </c>
      <c r="R140" s="502"/>
      <c r="S140" s="502"/>
      <c r="T140" s="502">
        <f t="shared" si="74"/>
        <v>0</v>
      </c>
      <c r="U140" s="29">
        <v>3005000</v>
      </c>
      <c r="V140" s="29"/>
      <c r="W140" s="29"/>
      <c r="X140" s="29"/>
      <c r="Y140" s="29"/>
      <c r="Z140" s="29"/>
      <c r="AA140" s="29"/>
      <c r="AB140" s="31">
        <v>2934850</v>
      </c>
      <c r="AC140" s="465">
        <v>0</v>
      </c>
      <c r="AD140" s="55">
        <v>2934850</v>
      </c>
      <c r="AE140" s="466">
        <v>2934850</v>
      </c>
      <c r="AF140" s="496"/>
      <c r="AG140" s="440">
        <v>100</v>
      </c>
      <c r="AH140" s="579">
        <v>507154000</v>
      </c>
      <c r="AI140" s="423">
        <f t="shared" si="88"/>
        <v>14.407635550542834</v>
      </c>
      <c r="AJ140" s="423"/>
    </row>
    <row r="141" spans="1:36" s="190" customFormat="1" ht="24" customHeight="1" x14ac:dyDescent="0.2">
      <c r="A141" s="56"/>
      <c r="B141" s="36"/>
      <c r="C141" s="58" t="s">
        <v>54</v>
      </c>
      <c r="D141" s="502">
        <v>2934850</v>
      </c>
      <c r="E141" s="521">
        <v>3037500</v>
      </c>
      <c r="F141" s="504">
        <v>419400</v>
      </c>
      <c r="G141" s="504">
        <v>411100</v>
      </c>
      <c r="H141" s="521"/>
      <c r="I141" s="521">
        <f t="shared" si="86"/>
        <v>411100</v>
      </c>
      <c r="J141" s="521">
        <f t="shared" si="53"/>
        <v>2626400</v>
      </c>
      <c r="K141" s="194"/>
      <c r="L141" s="195"/>
      <c r="M141" s="580"/>
      <c r="N141" s="194"/>
      <c r="O141" s="502"/>
      <c r="P141" s="503"/>
      <c r="Q141" s="502">
        <f t="shared" si="87"/>
        <v>0</v>
      </c>
      <c r="R141" s="502"/>
      <c r="S141" s="502"/>
      <c r="T141" s="581">
        <f t="shared" si="74"/>
        <v>0</v>
      </c>
      <c r="U141" s="194">
        <v>320000</v>
      </c>
      <c r="V141" s="581">
        <v>320000</v>
      </c>
      <c r="W141" s="194">
        <v>352800</v>
      </c>
      <c r="X141" s="194">
        <v>370500</v>
      </c>
      <c r="Y141" s="194">
        <v>1852500</v>
      </c>
      <c r="Z141" s="194">
        <v>1852500</v>
      </c>
      <c r="AA141" s="194">
        <v>1111500</v>
      </c>
      <c r="AB141" s="196">
        <v>310000</v>
      </c>
      <c r="AC141" s="580"/>
      <c r="AD141" s="197">
        <v>310000</v>
      </c>
      <c r="AE141" s="581">
        <v>310000</v>
      </c>
      <c r="AF141" s="580"/>
      <c r="AG141" s="440">
        <v>100</v>
      </c>
      <c r="AH141" s="579">
        <v>507154000</v>
      </c>
      <c r="AI141" s="423">
        <f t="shared" si="88"/>
        <v>8.1060190790174194E-2</v>
      </c>
      <c r="AJ141" s="423"/>
    </row>
    <row r="142" spans="1:36" s="5" customFormat="1" ht="24" hidden="1" customHeight="1" x14ac:dyDescent="0.2">
      <c r="A142" s="191"/>
      <c r="B142" s="192" t="s">
        <v>214</v>
      </c>
      <c r="C142" s="193"/>
      <c r="D142" s="581">
        <v>310000</v>
      </c>
      <c r="E142" s="582"/>
      <c r="F142" s="583">
        <v>0</v>
      </c>
      <c r="G142" s="583">
        <v>0</v>
      </c>
      <c r="H142" s="582"/>
      <c r="I142" s="582">
        <f t="shared" si="86"/>
        <v>0</v>
      </c>
      <c r="J142" s="582">
        <f t="shared" si="53"/>
        <v>0</v>
      </c>
      <c r="K142" s="584" t="e">
        <f>+K143+K145+K46+K47+K455+K55+K56+K57+K61+K65+K77+K147+K151+K152+K78+K154+K66+K155+K157+K459+K106+K158</f>
        <v>#REF!</v>
      </c>
      <c r="L142" s="584">
        <f>+L143+L145+L46+L47+L455+L55+L56+L57+L61+L65+L77+L147+L151+L152+L78+L154+L66+L155+L157+L459+L106+L158</f>
        <v>447268628.50999993</v>
      </c>
      <c r="M142" s="584" t="e">
        <f>+M143+M145+M46+M47+M455+M55+M56+M57+M61+M65+M77+M147+M151+M152+M78+M154+M66+M155+M157+M459+M106+M158</f>
        <v>#REF!</v>
      </c>
      <c r="N142" s="584">
        <f>+N143+N145+N46+N47+N455+N55+N56+N57+N61+N65+N77+N147+N151+N152+N78+N154+N66+N155+N157+N459+N106+N158</f>
        <v>447540500</v>
      </c>
      <c r="O142" s="581"/>
      <c r="P142" s="585"/>
      <c r="Q142" s="581">
        <f t="shared" si="87"/>
        <v>0</v>
      </c>
      <c r="R142" s="581"/>
      <c r="S142" s="581"/>
      <c r="T142" s="584">
        <f t="shared" si="74"/>
        <v>56813843.329999998</v>
      </c>
      <c r="U142" s="584">
        <f ca="1">+U143+U145+U147+U151+U152+U154+U155+U157+U158</f>
        <v>116768800</v>
      </c>
      <c r="V142" s="584">
        <f t="shared" ref="O142:AF143" si="89">+V143+V145+V147+V151+V152+V154+V155+V157+V158</f>
        <v>321712100</v>
      </c>
      <c r="W142" s="584">
        <f t="shared" si="89"/>
        <v>404906100</v>
      </c>
      <c r="X142" s="584">
        <f t="shared" si="89"/>
        <v>425151600</v>
      </c>
      <c r="Y142" s="584">
        <f t="shared" si="89"/>
        <v>2125758000</v>
      </c>
      <c r="Z142" s="584">
        <f t="shared" si="89"/>
        <v>2125758000</v>
      </c>
      <c r="AA142" s="584">
        <f t="shared" si="89"/>
        <v>1275454800</v>
      </c>
      <c r="AB142" s="584">
        <f t="shared" si="89"/>
        <v>245388100</v>
      </c>
      <c r="AC142" s="584">
        <f t="shared" si="89"/>
        <v>24357100</v>
      </c>
      <c r="AD142" s="584">
        <f t="shared" si="89"/>
        <v>221031000</v>
      </c>
      <c r="AE142" s="584">
        <f t="shared" ca="1" si="89"/>
        <v>58003200</v>
      </c>
      <c r="AF142" s="584">
        <f t="shared" si="89"/>
        <v>105000000</v>
      </c>
      <c r="AG142" s="440"/>
      <c r="AH142" s="440"/>
      <c r="AI142" s="423" t="e">
        <f t="shared" si="88"/>
        <v>#DIV/0!</v>
      </c>
    </row>
    <row r="143" spans="1:36" s="5" customFormat="1" x14ac:dyDescent="0.2">
      <c r="A143" s="20" t="s">
        <v>64</v>
      </c>
      <c r="B143" s="21"/>
      <c r="C143" s="22"/>
      <c r="D143" s="584">
        <f>+D144+D146+D148+D152+D153+D155+D156+D158+D159</f>
        <v>58003200</v>
      </c>
      <c r="E143" s="586">
        <f>+E144+E146+E148+E152+E153+E155+E156+E158+E159+E161+E163+E164+E166</f>
        <v>114783200</v>
      </c>
      <c r="F143" s="587">
        <f t="shared" ref="F143:H143" si="90">+F144+F146+F148+F152+F153+F155+F156+F158+F159+F161+F163+F164+F166</f>
        <v>10410000</v>
      </c>
      <c r="G143" s="587">
        <f t="shared" si="90"/>
        <v>10410000</v>
      </c>
      <c r="H143" s="586">
        <f t="shared" si="90"/>
        <v>0</v>
      </c>
      <c r="I143" s="586">
        <f t="shared" si="86"/>
        <v>10410000</v>
      </c>
      <c r="J143" s="586">
        <f t="shared" si="53"/>
        <v>104373200</v>
      </c>
      <c r="K143" s="52">
        <v>107488300</v>
      </c>
      <c r="L143" s="53">
        <v>71749670</v>
      </c>
      <c r="M143" s="494">
        <v>148608400</v>
      </c>
      <c r="N143" s="52">
        <v>0</v>
      </c>
      <c r="O143" s="584">
        <f t="shared" si="89"/>
        <v>65568700</v>
      </c>
      <c r="P143" s="584">
        <f t="shared" si="89"/>
        <v>0</v>
      </c>
      <c r="Q143" s="584">
        <f t="shared" si="87"/>
        <v>65568700</v>
      </c>
      <c r="R143" s="584">
        <f t="shared" si="89"/>
        <v>8754856.6699999999</v>
      </c>
      <c r="S143" s="584">
        <f t="shared" si="89"/>
        <v>0</v>
      </c>
      <c r="T143" s="501">
        <f t="shared" si="74"/>
        <v>19500000</v>
      </c>
      <c r="U143" s="52">
        <f ca="1">SUM(U34:U144)</f>
        <v>0</v>
      </c>
      <c r="V143" s="52">
        <v>149129200</v>
      </c>
      <c r="W143" s="52">
        <f>SUM(V143*150/100)</f>
        <v>223693800</v>
      </c>
      <c r="X143" s="52">
        <v>234878500</v>
      </c>
      <c r="Y143" s="52">
        <f>SUM(X143*5)</f>
        <v>1174392500</v>
      </c>
      <c r="Z143" s="52">
        <f>SUM(X143*5)</f>
        <v>1174392500</v>
      </c>
      <c r="AA143" s="52">
        <f>SUM(X143*3)</f>
        <v>704635500</v>
      </c>
      <c r="AB143" s="54">
        <v>122645200</v>
      </c>
      <c r="AC143" s="494">
        <v>0</v>
      </c>
      <c r="AD143" s="55">
        <v>122645200</v>
      </c>
      <c r="AE143" s="462">
        <v>122645200</v>
      </c>
      <c r="AF143" s="496">
        <v>75000000</v>
      </c>
      <c r="AG143" s="440"/>
      <c r="AH143" s="440"/>
    </row>
    <row r="144" spans="1:36" s="5" customFormat="1" x14ac:dyDescent="0.2">
      <c r="A144" s="33"/>
      <c r="B144" s="34" t="s">
        <v>120</v>
      </c>
      <c r="C144" s="35"/>
      <c r="D144" s="501">
        <f>SUM(D145)</f>
        <v>9551100</v>
      </c>
      <c r="E144" s="525">
        <f>SUM(E145)</f>
        <v>21922500</v>
      </c>
      <c r="F144" s="526">
        <f t="shared" ref="F144:H144" si="91">SUM(F145)</f>
        <v>0</v>
      </c>
      <c r="G144" s="526">
        <f t="shared" si="91"/>
        <v>0</v>
      </c>
      <c r="H144" s="525">
        <f t="shared" si="91"/>
        <v>0</v>
      </c>
      <c r="I144" s="525">
        <f t="shared" si="86"/>
        <v>0</v>
      </c>
      <c r="J144" s="525">
        <f t="shared" si="53"/>
        <v>21922500</v>
      </c>
      <c r="K144" s="29">
        <v>23517300</v>
      </c>
      <c r="L144" s="30"/>
      <c r="M144" s="465">
        <v>37880000</v>
      </c>
      <c r="N144" s="29"/>
      <c r="O144" s="501">
        <f>19000000+500000</f>
        <v>19500000</v>
      </c>
      <c r="P144" s="524"/>
      <c r="Q144" s="501">
        <f t="shared" si="87"/>
        <v>19500000</v>
      </c>
      <c r="R144" s="501"/>
      <c r="S144" s="501"/>
      <c r="T144" s="502">
        <f t="shared" si="74"/>
        <v>0</v>
      </c>
      <c r="U144" s="29">
        <v>33422000</v>
      </c>
      <c r="V144" s="29"/>
      <c r="W144" s="29"/>
      <c r="X144" s="29"/>
      <c r="Y144" s="29"/>
      <c r="Z144" s="29"/>
      <c r="AA144" s="29"/>
      <c r="AB144" s="31"/>
      <c r="AC144" s="465"/>
      <c r="AD144" s="31">
        <v>23600000</v>
      </c>
      <c r="AE144" s="465">
        <v>23600000</v>
      </c>
      <c r="AF144" s="465"/>
      <c r="AG144" s="440"/>
      <c r="AH144" s="440"/>
    </row>
    <row r="145" spans="1:34" s="5" customFormat="1" x14ac:dyDescent="0.2">
      <c r="A145" s="56"/>
      <c r="B145" s="36"/>
      <c r="C145" s="58" t="s">
        <v>61</v>
      </c>
      <c r="D145" s="502">
        <v>9551100</v>
      </c>
      <c r="E145" s="521">
        <v>21922500</v>
      </c>
      <c r="F145" s="504">
        <v>0</v>
      </c>
      <c r="G145" s="504">
        <v>0</v>
      </c>
      <c r="H145" s="521"/>
      <c r="I145" s="521">
        <f t="shared" si="86"/>
        <v>0</v>
      </c>
      <c r="J145" s="521">
        <f t="shared" si="53"/>
        <v>21922500</v>
      </c>
      <c r="K145" s="80">
        <v>71560400</v>
      </c>
      <c r="L145" s="99">
        <f>64795496.48+760860.82</f>
        <v>65556357.299999997</v>
      </c>
      <c r="M145" s="516" t="e">
        <f>SUM(M40:M146)</f>
        <v>#REF!</v>
      </c>
      <c r="N145" s="80">
        <v>68988300</v>
      </c>
      <c r="O145" s="502"/>
      <c r="P145" s="503"/>
      <c r="Q145" s="502">
        <f t="shared" si="87"/>
        <v>0</v>
      </c>
      <c r="R145" s="502"/>
      <c r="S145" s="502"/>
      <c r="T145" s="501">
        <f t="shared" si="74"/>
        <v>500000</v>
      </c>
      <c r="U145" s="80">
        <f ca="1">SUM(U40:U146)</f>
        <v>0</v>
      </c>
      <c r="V145" s="80">
        <v>85874000</v>
      </c>
      <c r="W145" s="80">
        <f>SUM(V145*105/100)</f>
        <v>90167700</v>
      </c>
      <c r="X145" s="80">
        <v>94676100</v>
      </c>
      <c r="Y145" s="80">
        <f>SUM(X145*5)</f>
        <v>473380500</v>
      </c>
      <c r="Z145" s="80">
        <f>SUM(X145*5)</f>
        <v>473380500</v>
      </c>
      <c r="AA145" s="80">
        <f>SUM(X145*3)</f>
        <v>284028300</v>
      </c>
      <c r="AB145" s="81">
        <v>61357400</v>
      </c>
      <c r="AC145" s="516">
        <v>15339400</v>
      </c>
      <c r="AD145" s="82">
        <v>46018000</v>
      </c>
      <c r="AE145" s="535" t="e">
        <f ca="1">SUM(AE40:AE146)</f>
        <v>#REF!</v>
      </c>
      <c r="AF145" s="536">
        <v>25000000</v>
      </c>
      <c r="AG145" s="440"/>
      <c r="AH145" s="440"/>
    </row>
    <row r="146" spans="1:34" s="5" customFormat="1" x14ac:dyDescent="0.2">
      <c r="A146" s="33"/>
      <c r="B146" s="34" t="s">
        <v>65</v>
      </c>
      <c r="C146" s="103"/>
      <c r="D146" s="501">
        <f>SUM(D147)</f>
        <v>0</v>
      </c>
      <c r="E146" s="525">
        <f>SUM(E147)</f>
        <v>0</v>
      </c>
      <c r="F146" s="526">
        <v>0</v>
      </c>
      <c r="G146" s="526">
        <v>0</v>
      </c>
      <c r="H146" s="525"/>
      <c r="I146" s="525">
        <f t="shared" si="86"/>
        <v>0</v>
      </c>
      <c r="J146" s="525">
        <f t="shared" si="53"/>
        <v>0</v>
      </c>
      <c r="K146" s="29">
        <v>800800</v>
      </c>
      <c r="L146" s="30"/>
      <c r="M146" s="465">
        <v>951600</v>
      </c>
      <c r="N146" s="29"/>
      <c r="O146" s="501">
        <v>500000</v>
      </c>
      <c r="P146" s="524"/>
      <c r="Q146" s="501">
        <f t="shared" si="87"/>
        <v>500000</v>
      </c>
      <c r="R146" s="501"/>
      <c r="S146" s="501"/>
      <c r="T146" s="502">
        <f t="shared" si="74"/>
        <v>0</v>
      </c>
      <c r="U146" s="29">
        <v>767000</v>
      </c>
      <c r="V146" s="29"/>
      <c r="W146" s="29"/>
      <c r="X146" s="29"/>
      <c r="Y146" s="29"/>
      <c r="Z146" s="29"/>
      <c r="AA146" s="29"/>
      <c r="AB146" s="31"/>
      <c r="AC146" s="465"/>
      <c r="AD146" s="32">
        <v>400000</v>
      </c>
      <c r="AE146" s="507">
        <v>400000</v>
      </c>
      <c r="AF146" s="508"/>
      <c r="AG146" s="440"/>
      <c r="AH146" s="440"/>
    </row>
    <row r="147" spans="1:34" s="5" customFormat="1" x14ac:dyDescent="0.2">
      <c r="A147" s="56"/>
      <c r="B147" s="36"/>
      <c r="C147" s="58" t="s">
        <v>278</v>
      </c>
      <c r="D147" s="502">
        <v>0</v>
      </c>
      <c r="E147" s="522">
        <v>0</v>
      </c>
      <c r="F147" s="523">
        <v>0</v>
      </c>
      <c r="G147" s="523">
        <v>0</v>
      </c>
      <c r="H147" s="522"/>
      <c r="I147" s="522">
        <f t="shared" si="86"/>
        <v>0</v>
      </c>
      <c r="J147" s="522">
        <f t="shared" si="53"/>
        <v>0</v>
      </c>
      <c r="K147" s="52">
        <f>SUM(K148:K150)</f>
        <v>15000000</v>
      </c>
      <c r="L147" s="53">
        <v>8925139.5199999996</v>
      </c>
      <c r="M147" s="494">
        <f>SUM(M148:M150)</f>
        <v>27041100</v>
      </c>
      <c r="N147" s="52">
        <v>13725100</v>
      </c>
      <c r="O147" s="502"/>
      <c r="P147" s="503"/>
      <c r="Q147" s="502">
        <f t="shared" si="87"/>
        <v>0</v>
      </c>
      <c r="R147" s="502"/>
      <c r="S147" s="502"/>
      <c r="T147" s="501">
        <f t="shared" si="74"/>
        <v>9196867.4199999999</v>
      </c>
      <c r="U147" s="52">
        <f>SUM(U148:U150)</f>
        <v>28241100</v>
      </c>
      <c r="V147" s="52">
        <v>29653200</v>
      </c>
      <c r="W147" s="52">
        <v>31135900</v>
      </c>
      <c r="X147" s="52">
        <v>32692700</v>
      </c>
      <c r="Y147" s="52">
        <f>SUM(X147*5)</f>
        <v>163463500</v>
      </c>
      <c r="Z147" s="52">
        <f>SUM(X147*5)</f>
        <v>163463500</v>
      </c>
      <c r="AA147" s="52">
        <f>SUM(X147*3)</f>
        <v>98078100</v>
      </c>
      <c r="AB147" s="54">
        <v>13036900</v>
      </c>
      <c r="AC147" s="494">
        <v>0</v>
      </c>
      <c r="AD147" s="55">
        <v>13036900</v>
      </c>
      <c r="AE147" s="462">
        <v>13036900</v>
      </c>
      <c r="AF147" s="496"/>
      <c r="AG147" s="440"/>
      <c r="AH147" s="440"/>
    </row>
    <row r="148" spans="1:34" s="5" customFormat="1" x14ac:dyDescent="0.2">
      <c r="A148" s="33"/>
      <c r="B148" s="34" t="s">
        <v>782</v>
      </c>
      <c r="C148" s="103"/>
      <c r="D148" s="501">
        <f>SUM(D149:D151)</f>
        <v>13036900</v>
      </c>
      <c r="E148" s="525">
        <f>SUM(E149:E151)</f>
        <v>26964300</v>
      </c>
      <c r="F148" s="526">
        <f>SUM(F149:F151)</f>
        <v>5110400</v>
      </c>
      <c r="G148" s="526">
        <f>SUM(G149:G151)</f>
        <v>5110400</v>
      </c>
      <c r="H148" s="525">
        <f t="shared" ref="H148" si="92">SUM(H149:H151)</f>
        <v>0</v>
      </c>
      <c r="I148" s="525">
        <f t="shared" si="86"/>
        <v>5110400</v>
      </c>
      <c r="J148" s="525">
        <f t="shared" ref="J148:J211" si="93">+E148-G148</f>
        <v>21853900</v>
      </c>
      <c r="K148" s="29">
        <v>13130000</v>
      </c>
      <c r="L148" s="30"/>
      <c r="M148" s="465">
        <v>22900000</v>
      </c>
      <c r="N148" s="29"/>
      <c r="O148" s="501">
        <v>13725100</v>
      </c>
      <c r="P148" s="524"/>
      <c r="Q148" s="501">
        <f t="shared" si="87"/>
        <v>13725100</v>
      </c>
      <c r="R148" s="501">
        <v>4528232.58</v>
      </c>
      <c r="S148" s="501"/>
      <c r="T148" s="505">
        <f t="shared" si="74"/>
        <v>0</v>
      </c>
      <c r="U148" s="29">
        <v>24200000</v>
      </c>
      <c r="V148" s="29"/>
      <c r="W148" s="29"/>
      <c r="X148" s="29"/>
      <c r="Y148" s="29"/>
      <c r="Z148" s="29"/>
      <c r="AA148" s="29"/>
      <c r="AB148" s="31"/>
      <c r="AC148" s="465"/>
      <c r="AD148" s="32">
        <v>11112700</v>
      </c>
      <c r="AE148" s="507">
        <v>11112700</v>
      </c>
      <c r="AF148" s="508"/>
      <c r="AG148" s="440"/>
      <c r="AH148" s="440"/>
    </row>
    <row r="149" spans="1:34" s="5" customFormat="1" x14ac:dyDescent="0.2">
      <c r="A149" s="56"/>
      <c r="B149" s="36"/>
      <c r="C149" s="58" t="s">
        <v>61</v>
      </c>
      <c r="D149" s="505">
        <v>11112700</v>
      </c>
      <c r="E149" s="511">
        <v>24223200</v>
      </c>
      <c r="F149" s="506">
        <v>4279400</v>
      </c>
      <c r="G149" s="506">
        <v>4279400</v>
      </c>
      <c r="H149" s="511"/>
      <c r="I149" s="511">
        <f t="shared" si="86"/>
        <v>4279400</v>
      </c>
      <c r="J149" s="511">
        <f t="shared" si="93"/>
        <v>19943800</v>
      </c>
      <c r="K149" s="29">
        <v>1660000</v>
      </c>
      <c r="L149" s="30"/>
      <c r="M149" s="465">
        <v>3500000</v>
      </c>
      <c r="N149" s="29"/>
      <c r="O149" s="505"/>
      <c r="P149" s="514"/>
      <c r="Q149" s="505">
        <f t="shared" si="87"/>
        <v>0</v>
      </c>
      <c r="R149" s="505"/>
      <c r="S149" s="505"/>
      <c r="T149" s="505">
        <f t="shared" si="74"/>
        <v>0</v>
      </c>
      <c r="U149" s="29">
        <v>3400000</v>
      </c>
      <c r="V149" s="29"/>
      <c r="W149" s="29"/>
      <c r="X149" s="29"/>
      <c r="Y149" s="29"/>
      <c r="Z149" s="29"/>
      <c r="AA149" s="29"/>
      <c r="AB149" s="31"/>
      <c r="AC149" s="465"/>
      <c r="AD149" s="32">
        <v>1283100</v>
      </c>
      <c r="AE149" s="507">
        <v>1283100</v>
      </c>
      <c r="AF149" s="508"/>
      <c r="AG149" s="440"/>
      <c r="AH149" s="440"/>
    </row>
    <row r="150" spans="1:34" s="5" customFormat="1" x14ac:dyDescent="0.2">
      <c r="A150" s="56"/>
      <c r="B150" s="36"/>
      <c r="C150" s="58" t="s">
        <v>71</v>
      </c>
      <c r="D150" s="505">
        <v>1283100</v>
      </c>
      <c r="E150" s="511">
        <v>2100000</v>
      </c>
      <c r="F150" s="506">
        <v>399500</v>
      </c>
      <c r="G150" s="506">
        <v>399500</v>
      </c>
      <c r="H150" s="511"/>
      <c r="I150" s="511">
        <f t="shared" si="86"/>
        <v>399500</v>
      </c>
      <c r="J150" s="511">
        <f t="shared" si="93"/>
        <v>1700500</v>
      </c>
      <c r="K150" s="29">
        <v>210000</v>
      </c>
      <c r="L150" s="30"/>
      <c r="M150" s="465">
        <v>641100</v>
      </c>
      <c r="N150" s="29"/>
      <c r="O150" s="505"/>
      <c r="P150" s="514"/>
      <c r="Q150" s="505">
        <f t="shared" si="87"/>
        <v>0</v>
      </c>
      <c r="R150" s="505"/>
      <c r="S150" s="505"/>
      <c r="T150" s="505">
        <f t="shared" si="74"/>
        <v>0</v>
      </c>
      <c r="U150" s="29">
        <v>641100</v>
      </c>
      <c r="V150" s="29"/>
      <c r="W150" s="29"/>
      <c r="X150" s="29"/>
      <c r="Y150" s="29"/>
      <c r="Z150" s="29"/>
      <c r="AA150" s="29"/>
      <c r="AB150" s="31"/>
      <c r="AC150" s="465"/>
      <c r="AD150" s="32">
        <v>641100</v>
      </c>
      <c r="AE150" s="507">
        <v>641100</v>
      </c>
      <c r="AF150" s="508"/>
      <c r="AG150" s="440"/>
      <c r="AH150" s="440"/>
    </row>
    <row r="151" spans="1:34" s="5" customFormat="1" x14ac:dyDescent="0.2">
      <c r="A151" s="56"/>
      <c r="B151" s="36"/>
      <c r="C151" s="58" t="s">
        <v>62</v>
      </c>
      <c r="D151" s="505">
        <v>641100</v>
      </c>
      <c r="E151" s="511">
        <v>641100</v>
      </c>
      <c r="F151" s="506">
        <v>431500</v>
      </c>
      <c r="G151" s="506">
        <v>431500</v>
      </c>
      <c r="H151" s="511"/>
      <c r="I151" s="511">
        <f t="shared" si="86"/>
        <v>431500</v>
      </c>
      <c r="J151" s="511">
        <f t="shared" si="93"/>
        <v>209600</v>
      </c>
      <c r="K151" s="52">
        <v>5442600</v>
      </c>
      <c r="L151" s="53">
        <v>5240737.4600000009</v>
      </c>
      <c r="M151" s="494">
        <v>12640000</v>
      </c>
      <c r="N151" s="52">
        <v>6295600</v>
      </c>
      <c r="O151" s="505"/>
      <c r="P151" s="514"/>
      <c r="Q151" s="505">
        <f t="shared" si="87"/>
        <v>0</v>
      </c>
      <c r="R151" s="505"/>
      <c r="S151" s="505"/>
      <c r="T151" s="501">
        <f t="shared" si="74"/>
        <v>4659647.9399999995</v>
      </c>
      <c r="U151" s="52">
        <v>11140000</v>
      </c>
      <c r="V151" s="52">
        <f>SUM(U151*105/100)</f>
        <v>11697000</v>
      </c>
      <c r="W151" s="52">
        <v>12281900</v>
      </c>
      <c r="X151" s="52">
        <v>12896000</v>
      </c>
      <c r="Y151" s="52">
        <f>SUM(X151*5)</f>
        <v>64480000</v>
      </c>
      <c r="Z151" s="52">
        <f>SUM(X151*5)</f>
        <v>64480000</v>
      </c>
      <c r="AA151" s="52">
        <f>SUM(X151*3)</f>
        <v>38688000</v>
      </c>
      <c r="AB151" s="54">
        <v>10756200</v>
      </c>
      <c r="AC151" s="494">
        <v>0</v>
      </c>
      <c r="AD151" s="55">
        <v>10756200</v>
      </c>
      <c r="AE151" s="462">
        <v>10756200</v>
      </c>
      <c r="AF151" s="496"/>
      <c r="AG151" s="440"/>
      <c r="AH151" s="440"/>
    </row>
    <row r="152" spans="1:34" s="5" customFormat="1" x14ac:dyDescent="0.2">
      <c r="A152" s="33"/>
      <c r="B152" s="34" t="s">
        <v>783</v>
      </c>
      <c r="C152" s="103"/>
      <c r="D152" s="501">
        <v>10756200</v>
      </c>
      <c r="E152" s="525">
        <v>11140000</v>
      </c>
      <c r="F152" s="526">
        <v>1472400</v>
      </c>
      <c r="G152" s="526">
        <v>1472400</v>
      </c>
      <c r="H152" s="525"/>
      <c r="I152" s="525">
        <f t="shared" si="86"/>
        <v>1472400</v>
      </c>
      <c r="J152" s="525">
        <f t="shared" si="93"/>
        <v>9667600</v>
      </c>
      <c r="K152" s="106">
        <v>23183500</v>
      </c>
      <c r="L152" s="107">
        <v>31606000</v>
      </c>
      <c r="M152" s="544">
        <v>33680000</v>
      </c>
      <c r="N152" s="106">
        <v>26581500</v>
      </c>
      <c r="O152" s="501">
        <v>6295600</v>
      </c>
      <c r="P152" s="524"/>
      <c r="Q152" s="501">
        <f t="shared" si="87"/>
        <v>6295600</v>
      </c>
      <c r="R152" s="501">
        <v>1635952.06</v>
      </c>
      <c r="S152" s="501"/>
      <c r="T152" s="545">
        <f t="shared" si="74"/>
        <v>21302700</v>
      </c>
      <c r="U152" s="106">
        <v>37000000</v>
      </c>
      <c r="V152" s="106">
        <f>SUM(U152*105/100)</f>
        <v>38850000</v>
      </c>
      <c r="W152" s="106">
        <f>SUM(V152*105/100)</f>
        <v>40792500</v>
      </c>
      <c r="X152" s="106">
        <v>42832200</v>
      </c>
      <c r="Y152" s="106">
        <f>SUM(X152*5)</f>
        <v>214161000</v>
      </c>
      <c r="Z152" s="106">
        <f>SUM(X152*5)</f>
        <v>214161000</v>
      </c>
      <c r="AA152" s="106">
        <f>SUM(X152*3)</f>
        <v>128496600</v>
      </c>
      <c r="AB152" s="108">
        <v>33246500</v>
      </c>
      <c r="AC152" s="544">
        <v>8311600</v>
      </c>
      <c r="AD152" s="109">
        <v>24934900</v>
      </c>
      <c r="AE152" s="546">
        <v>24934900</v>
      </c>
      <c r="AF152" s="547">
        <v>5000000</v>
      </c>
      <c r="AG152" s="440"/>
      <c r="AH152" s="440"/>
    </row>
    <row r="153" spans="1:34" s="5" customFormat="1" x14ac:dyDescent="0.2">
      <c r="A153" s="33"/>
      <c r="B153" s="34" t="s">
        <v>784</v>
      </c>
      <c r="C153" s="103"/>
      <c r="D153" s="501">
        <v>19934900</v>
      </c>
      <c r="E153" s="525">
        <v>37890000</v>
      </c>
      <c r="F153" s="526">
        <v>250900</v>
      </c>
      <c r="G153" s="526">
        <v>250900</v>
      </c>
      <c r="H153" s="525"/>
      <c r="I153" s="525">
        <f t="shared" si="86"/>
        <v>250900</v>
      </c>
      <c r="J153" s="525">
        <f t="shared" si="93"/>
        <v>37639100</v>
      </c>
      <c r="K153" s="78"/>
      <c r="L153" s="99"/>
      <c r="M153" s="538"/>
      <c r="N153" s="78"/>
      <c r="O153" s="545">
        <v>21581500</v>
      </c>
      <c r="P153" s="551"/>
      <c r="Q153" s="545">
        <f t="shared" si="87"/>
        <v>21581500</v>
      </c>
      <c r="R153" s="545">
        <v>278800</v>
      </c>
      <c r="S153" s="545"/>
      <c r="T153" s="539">
        <f t="shared" si="74"/>
        <v>0</v>
      </c>
      <c r="U153" s="78"/>
      <c r="V153" s="78"/>
      <c r="W153" s="78"/>
      <c r="X153" s="78"/>
      <c r="Y153" s="78"/>
      <c r="Z153" s="78"/>
      <c r="AA153" s="78"/>
      <c r="AB153" s="92"/>
      <c r="AC153" s="538"/>
      <c r="AD153" s="92"/>
      <c r="AE153" s="538"/>
      <c r="AF153" s="538"/>
      <c r="AG153" s="440"/>
      <c r="AH153" s="440"/>
    </row>
    <row r="154" spans="1:34" s="5" customFormat="1" x14ac:dyDescent="0.2">
      <c r="A154" s="56"/>
      <c r="B154" s="36" t="s">
        <v>72</v>
      </c>
      <c r="C154" s="36"/>
      <c r="D154" s="466"/>
      <c r="E154" s="469"/>
      <c r="F154" s="470"/>
      <c r="G154" s="470"/>
      <c r="H154" s="469"/>
      <c r="I154" s="469">
        <f t="shared" si="86"/>
        <v>0</v>
      </c>
      <c r="J154" s="469">
        <f t="shared" si="93"/>
        <v>0</v>
      </c>
      <c r="K154" s="80">
        <v>2267800</v>
      </c>
      <c r="L154" s="99">
        <v>1564721.3399999999</v>
      </c>
      <c r="M154" s="516">
        <v>2872100</v>
      </c>
      <c r="N154" s="80">
        <v>2872100</v>
      </c>
      <c r="O154" s="539"/>
      <c r="P154" s="577"/>
      <c r="Q154" s="539">
        <f t="shared" si="87"/>
        <v>0</v>
      </c>
      <c r="R154" s="539"/>
      <c r="S154" s="539"/>
      <c r="T154" s="501">
        <f t="shared" si="74"/>
        <v>254927.96999999997</v>
      </c>
      <c r="U154" s="80">
        <v>4627200</v>
      </c>
      <c r="V154" s="80">
        <v>4858600</v>
      </c>
      <c r="W154" s="80">
        <v>5101600</v>
      </c>
      <c r="X154" s="80">
        <v>5356700</v>
      </c>
      <c r="Y154" s="80">
        <f>SUM(X154*5)</f>
        <v>26783500</v>
      </c>
      <c r="Z154" s="80">
        <f>SUM(X154*5)</f>
        <v>26783500</v>
      </c>
      <c r="AA154" s="80">
        <f>SUM(X154*3)</f>
        <v>16070100</v>
      </c>
      <c r="AB154" s="81">
        <v>2824400</v>
      </c>
      <c r="AC154" s="516">
        <v>706100</v>
      </c>
      <c r="AD154" s="81">
        <v>2118300</v>
      </c>
      <c r="AE154" s="516">
        <v>2118300</v>
      </c>
      <c r="AF154" s="516"/>
      <c r="AG154" s="440"/>
      <c r="AH154" s="440"/>
    </row>
    <row r="155" spans="1:34" s="5" customFormat="1" x14ac:dyDescent="0.2">
      <c r="A155" s="33"/>
      <c r="B155" s="34" t="s">
        <v>785</v>
      </c>
      <c r="C155" s="103"/>
      <c r="D155" s="501">
        <v>2118300</v>
      </c>
      <c r="E155" s="525">
        <v>5490700</v>
      </c>
      <c r="F155" s="526">
        <v>1815500</v>
      </c>
      <c r="G155" s="526">
        <v>1815500</v>
      </c>
      <c r="H155" s="525"/>
      <c r="I155" s="525">
        <f t="shared" si="86"/>
        <v>1815500</v>
      </c>
      <c r="J155" s="525">
        <f t="shared" si="93"/>
        <v>3675200</v>
      </c>
      <c r="K155" s="86">
        <v>0</v>
      </c>
      <c r="L155" s="87"/>
      <c r="M155" s="588">
        <v>797500</v>
      </c>
      <c r="N155" s="106">
        <v>694400</v>
      </c>
      <c r="O155" s="501">
        <v>2272100</v>
      </c>
      <c r="P155" s="524"/>
      <c r="Q155" s="501">
        <f t="shared" si="87"/>
        <v>2272100</v>
      </c>
      <c r="R155" s="501">
        <v>2017172.03</v>
      </c>
      <c r="S155" s="501"/>
      <c r="T155" s="545">
        <f t="shared" si="74"/>
        <v>603700</v>
      </c>
      <c r="U155" s="106">
        <v>521500</v>
      </c>
      <c r="V155" s="106">
        <v>547600</v>
      </c>
      <c r="W155" s="106">
        <v>575000</v>
      </c>
      <c r="X155" s="106">
        <v>603800</v>
      </c>
      <c r="Y155" s="106">
        <f>SUM(X155*5)</f>
        <v>3019000</v>
      </c>
      <c r="Z155" s="106">
        <f>SUM(X155*5)</f>
        <v>3019000</v>
      </c>
      <c r="AA155" s="106">
        <f>SUM(X155*3)</f>
        <v>1811400</v>
      </c>
      <c r="AB155" s="108">
        <v>521500</v>
      </c>
      <c r="AC155" s="544">
        <v>0</v>
      </c>
      <c r="AD155" s="109">
        <v>521500</v>
      </c>
      <c r="AE155" s="546">
        <v>521500</v>
      </c>
      <c r="AF155" s="547"/>
      <c r="AG155" s="440"/>
      <c r="AH155" s="440"/>
    </row>
    <row r="156" spans="1:34" s="5" customFormat="1" x14ac:dyDescent="0.2">
      <c r="A156" s="33"/>
      <c r="B156" s="34" t="s">
        <v>786</v>
      </c>
      <c r="C156" s="103"/>
      <c r="D156" s="501">
        <v>521500</v>
      </c>
      <c r="E156" s="525">
        <v>715500</v>
      </c>
      <c r="F156" s="526">
        <v>243600</v>
      </c>
      <c r="G156" s="526">
        <v>243600</v>
      </c>
      <c r="H156" s="525"/>
      <c r="I156" s="525">
        <f t="shared" si="86"/>
        <v>243600</v>
      </c>
      <c r="J156" s="525">
        <f t="shared" si="93"/>
        <v>471900</v>
      </c>
      <c r="K156" s="78"/>
      <c r="L156" s="111"/>
      <c r="M156" s="533"/>
      <c r="N156" s="78"/>
      <c r="O156" s="545">
        <v>694400</v>
      </c>
      <c r="P156" s="551"/>
      <c r="Q156" s="545">
        <f t="shared" si="87"/>
        <v>694400</v>
      </c>
      <c r="R156" s="545">
        <v>90700</v>
      </c>
      <c r="S156" s="545"/>
      <c r="T156" s="589">
        <f t="shared" si="74"/>
        <v>0</v>
      </c>
      <c r="U156" s="78"/>
      <c r="V156" s="78"/>
      <c r="W156" s="78"/>
      <c r="X156" s="78"/>
      <c r="Y156" s="78"/>
      <c r="Z156" s="78"/>
      <c r="AA156" s="78"/>
      <c r="AB156" s="92"/>
      <c r="AC156" s="538"/>
      <c r="AD156" s="93"/>
      <c r="AE156" s="539"/>
      <c r="AF156" s="540"/>
      <c r="AG156" s="440"/>
      <c r="AH156" s="440"/>
    </row>
    <row r="157" spans="1:34" s="5" customFormat="1" x14ac:dyDescent="0.2">
      <c r="A157" s="56"/>
      <c r="B157" s="36" t="s">
        <v>73</v>
      </c>
      <c r="C157" s="282"/>
      <c r="D157" s="502"/>
      <c r="E157" s="521"/>
      <c r="F157" s="504"/>
      <c r="G157" s="504"/>
      <c r="H157" s="521"/>
      <c r="I157" s="521">
        <f t="shared" si="86"/>
        <v>0</v>
      </c>
      <c r="J157" s="521">
        <f t="shared" si="93"/>
        <v>0</v>
      </c>
      <c r="K157" s="52">
        <v>1000000</v>
      </c>
      <c r="L157" s="53">
        <v>264930.07999999996</v>
      </c>
      <c r="M157" s="498">
        <v>1050000</v>
      </c>
      <c r="N157" s="52">
        <v>1000000</v>
      </c>
      <c r="O157" s="589"/>
      <c r="P157" s="590"/>
      <c r="Q157" s="589">
        <f t="shared" si="87"/>
        <v>0</v>
      </c>
      <c r="R157" s="589"/>
      <c r="S157" s="589"/>
      <c r="T157" s="501">
        <f t="shared" si="74"/>
        <v>796000</v>
      </c>
      <c r="U157" s="52">
        <v>1050000</v>
      </c>
      <c r="V157" s="52">
        <f>SUM(U157*105/100)</f>
        <v>1102500</v>
      </c>
      <c r="W157" s="52">
        <v>1157700</v>
      </c>
      <c r="X157" s="52">
        <v>1215600</v>
      </c>
      <c r="Y157" s="52">
        <f>SUM(X157*5)</f>
        <v>6078000</v>
      </c>
      <c r="Z157" s="52">
        <f>SUM(X157*5)</f>
        <v>6078000</v>
      </c>
      <c r="AA157" s="52">
        <f>SUM(X157*3)</f>
        <v>3646800</v>
      </c>
      <c r="AB157" s="54">
        <v>1000000</v>
      </c>
      <c r="AC157" s="494">
        <v>0</v>
      </c>
      <c r="AD157" s="55">
        <v>1000000</v>
      </c>
      <c r="AE157" s="462">
        <v>1000000</v>
      </c>
      <c r="AF157" s="496"/>
      <c r="AG157" s="440"/>
      <c r="AH157" s="440"/>
    </row>
    <row r="158" spans="1:34" s="5" customFormat="1" x14ac:dyDescent="0.2">
      <c r="A158" s="33"/>
      <c r="B158" s="34" t="s">
        <v>787</v>
      </c>
      <c r="C158" s="103"/>
      <c r="D158" s="501">
        <v>1000000</v>
      </c>
      <c r="E158" s="525">
        <v>1238600</v>
      </c>
      <c r="F158" s="526">
        <v>304900</v>
      </c>
      <c r="G158" s="526">
        <v>304900</v>
      </c>
      <c r="H158" s="525"/>
      <c r="I158" s="525">
        <f t="shared" si="86"/>
        <v>304900</v>
      </c>
      <c r="J158" s="525">
        <f t="shared" si="93"/>
        <v>933700</v>
      </c>
      <c r="K158" s="41"/>
      <c r="L158" s="74"/>
      <c r="M158" s="557"/>
      <c r="N158" s="75"/>
      <c r="O158" s="501">
        <v>1000000</v>
      </c>
      <c r="P158" s="524"/>
      <c r="Q158" s="501">
        <f t="shared" si="87"/>
        <v>1000000</v>
      </c>
      <c r="R158" s="501">
        <v>204000</v>
      </c>
      <c r="S158" s="501"/>
      <c r="T158" s="471">
        <f t="shared" si="74"/>
        <v>0</v>
      </c>
      <c r="U158" s="75"/>
      <c r="V158" s="75"/>
      <c r="W158" s="75"/>
      <c r="X158" s="75"/>
      <c r="Y158" s="75"/>
      <c r="Z158" s="75"/>
      <c r="AA158" s="75"/>
      <c r="AB158" s="42"/>
      <c r="AC158" s="474"/>
      <c r="AD158" s="42"/>
      <c r="AE158" s="474"/>
      <c r="AF158" s="474"/>
      <c r="AG158" s="440"/>
      <c r="AH158" s="440"/>
    </row>
    <row r="159" spans="1:34" s="5" customFormat="1" x14ac:dyDescent="0.2">
      <c r="A159" s="71"/>
      <c r="B159" s="72" t="s">
        <v>788</v>
      </c>
      <c r="C159" s="72"/>
      <c r="D159" s="462">
        <v>1084300</v>
      </c>
      <c r="E159" s="463">
        <v>1212300</v>
      </c>
      <c r="F159" s="464">
        <v>1212300</v>
      </c>
      <c r="G159" s="464">
        <v>1212300</v>
      </c>
      <c r="H159" s="463"/>
      <c r="I159" s="463">
        <f t="shared" si="86"/>
        <v>1212300</v>
      </c>
      <c r="J159" s="463">
        <f t="shared" si="93"/>
        <v>0</v>
      </c>
      <c r="K159" s="78"/>
      <c r="L159" s="79"/>
      <c r="M159" s="533"/>
      <c r="N159" s="80"/>
      <c r="O159" s="471"/>
      <c r="P159" s="560"/>
      <c r="Q159" s="471">
        <f t="shared" si="87"/>
        <v>0</v>
      </c>
      <c r="R159" s="471"/>
      <c r="S159" s="471"/>
      <c r="T159" s="535">
        <f t="shared" si="74"/>
        <v>0</v>
      </c>
      <c r="U159" s="80">
        <v>1207300</v>
      </c>
      <c r="V159" s="80"/>
      <c r="W159" s="80">
        <v>1267700</v>
      </c>
      <c r="X159" s="80"/>
      <c r="Y159" s="99">
        <f>SUM(W159*3)</f>
        <v>3803100</v>
      </c>
      <c r="Z159" s="80">
        <f>SUM(W159*3)</f>
        <v>3803100</v>
      </c>
      <c r="AA159" s="80">
        <f>SUM(W159)</f>
        <v>1267700</v>
      </c>
      <c r="AB159" s="81">
        <v>1084300</v>
      </c>
      <c r="AC159" s="516">
        <v>0</v>
      </c>
      <c r="AD159" s="82">
        <v>1084300</v>
      </c>
      <c r="AE159" s="535">
        <v>1084300</v>
      </c>
      <c r="AF159" s="536"/>
      <c r="AG159" s="440"/>
      <c r="AH159" s="440"/>
    </row>
    <row r="160" spans="1:34" s="5" customFormat="1" x14ac:dyDescent="0.2">
      <c r="A160" s="71"/>
      <c r="B160" s="72" t="s">
        <v>208</v>
      </c>
      <c r="C160" s="283"/>
      <c r="D160" s="462"/>
      <c r="E160" s="463"/>
      <c r="F160" s="464"/>
      <c r="G160" s="464"/>
      <c r="H160" s="463"/>
      <c r="I160" s="463">
        <f t="shared" si="86"/>
        <v>0</v>
      </c>
      <c r="J160" s="463">
        <f t="shared" si="93"/>
        <v>0</v>
      </c>
      <c r="K160" s="78"/>
      <c r="L160" s="79"/>
      <c r="M160" s="533"/>
      <c r="N160" s="80"/>
      <c r="O160" s="535"/>
      <c r="P160" s="563"/>
      <c r="Q160" s="535">
        <f t="shared" si="87"/>
        <v>0</v>
      </c>
      <c r="R160" s="535"/>
      <c r="S160" s="535"/>
      <c r="T160" s="517"/>
      <c r="U160" s="80"/>
      <c r="V160" s="80"/>
      <c r="W160" s="80"/>
      <c r="X160" s="80"/>
      <c r="Y160" s="99"/>
      <c r="Z160" s="80"/>
      <c r="AA160" s="80"/>
      <c r="AB160" s="81"/>
      <c r="AC160" s="516"/>
      <c r="AD160" s="210"/>
      <c r="AE160" s="517"/>
      <c r="AF160" s="516"/>
      <c r="AG160" s="440"/>
      <c r="AH160" s="440"/>
    </row>
    <row r="161" spans="1:34" s="5" customFormat="1" x14ac:dyDescent="0.2">
      <c r="A161" s="71"/>
      <c r="B161" s="284" t="s">
        <v>288</v>
      </c>
      <c r="C161" s="283"/>
      <c r="D161" s="501"/>
      <c r="E161" s="463">
        <v>2037300</v>
      </c>
      <c r="F161" s="464">
        <v>0</v>
      </c>
      <c r="G161" s="464">
        <v>0</v>
      </c>
      <c r="H161" s="463"/>
      <c r="I161" s="463">
        <f t="shared" si="86"/>
        <v>0</v>
      </c>
      <c r="J161" s="463">
        <f t="shared" si="93"/>
        <v>2037300</v>
      </c>
      <c r="K161" s="78"/>
      <c r="L161" s="79"/>
      <c r="M161" s="533"/>
      <c r="N161" s="80"/>
      <c r="O161" s="517"/>
      <c r="P161" s="518"/>
      <c r="Q161" s="517">
        <f t="shared" si="87"/>
        <v>0</v>
      </c>
      <c r="R161" s="517"/>
      <c r="S161" s="517"/>
      <c r="T161" s="517"/>
      <c r="U161" s="80"/>
      <c r="V161" s="80"/>
      <c r="W161" s="80"/>
      <c r="X161" s="80"/>
      <c r="Y161" s="99"/>
      <c r="Z161" s="80"/>
      <c r="AA161" s="80"/>
      <c r="AB161" s="81"/>
      <c r="AC161" s="516"/>
      <c r="AD161" s="210"/>
      <c r="AE161" s="517"/>
      <c r="AF161" s="516"/>
      <c r="AG161" s="440"/>
      <c r="AH161" s="440"/>
    </row>
    <row r="162" spans="1:34" s="5" customFormat="1" x14ac:dyDescent="0.2">
      <c r="A162" s="71"/>
      <c r="B162" s="284"/>
      <c r="C162" s="285" t="s">
        <v>281</v>
      </c>
      <c r="D162" s="501"/>
      <c r="E162" s="463"/>
      <c r="F162" s="464"/>
      <c r="G162" s="464"/>
      <c r="H162" s="463"/>
      <c r="I162" s="463">
        <f t="shared" si="86"/>
        <v>0</v>
      </c>
      <c r="J162" s="463">
        <f t="shared" si="93"/>
        <v>0</v>
      </c>
      <c r="K162" s="78"/>
      <c r="L162" s="79"/>
      <c r="M162" s="533"/>
      <c r="N162" s="80"/>
      <c r="O162" s="517"/>
      <c r="P162" s="518"/>
      <c r="Q162" s="517">
        <f t="shared" si="87"/>
        <v>0</v>
      </c>
      <c r="R162" s="517"/>
      <c r="S162" s="517"/>
      <c r="T162" s="517"/>
      <c r="U162" s="80"/>
      <c r="V162" s="80"/>
      <c r="W162" s="80"/>
      <c r="X162" s="80"/>
      <c r="Y162" s="99"/>
      <c r="Z162" s="80"/>
      <c r="AA162" s="80"/>
      <c r="AB162" s="81"/>
      <c r="AC162" s="516"/>
      <c r="AD162" s="210"/>
      <c r="AE162" s="517"/>
      <c r="AF162" s="516"/>
      <c r="AG162" s="440"/>
      <c r="AH162" s="440"/>
    </row>
    <row r="163" spans="1:34" s="5" customFormat="1" x14ac:dyDescent="0.2">
      <c r="A163" s="71"/>
      <c r="B163" s="284" t="s">
        <v>308</v>
      </c>
      <c r="C163" s="283"/>
      <c r="D163" s="501"/>
      <c r="E163" s="463">
        <v>3572000</v>
      </c>
      <c r="F163" s="464">
        <v>0</v>
      </c>
      <c r="G163" s="464">
        <v>0</v>
      </c>
      <c r="H163" s="463"/>
      <c r="I163" s="463">
        <f t="shared" si="86"/>
        <v>0</v>
      </c>
      <c r="J163" s="463">
        <f t="shared" si="93"/>
        <v>3572000</v>
      </c>
      <c r="K163" s="78"/>
      <c r="L163" s="79"/>
      <c r="M163" s="533"/>
      <c r="N163" s="80"/>
      <c r="O163" s="517"/>
      <c r="P163" s="518"/>
      <c r="Q163" s="517">
        <f t="shared" si="87"/>
        <v>0</v>
      </c>
      <c r="R163" s="517"/>
      <c r="S163" s="517"/>
      <c r="T163" s="517"/>
      <c r="U163" s="80"/>
      <c r="V163" s="80"/>
      <c r="W163" s="80"/>
      <c r="X163" s="80"/>
      <c r="Y163" s="99"/>
      <c r="Z163" s="80"/>
      <c r="AA163" s="80"/>
      <c r="AB163" s="81"/>
      <c r="AC163" s="516"/>
      <c r="AD163" s="210"/>
      <c r="AE163" s="517"/>
      <c r="AF163" s="516"/>
      <c r="AG163" s="440"/>
      <c r="AH163" s="440"/>
    </row>
    <row r="164" spans="1:34" s="5" customFormat="1" x14ac:dyDescent="0.2">
      <c r="A164" s="71"/>
      <c r="B164" s="284" t="s">
        <v>289</v>
      </c>
      <c r="C164" s="283"/>
      <c r="D164" s="501"/>
      <c r="E164" s="463">
        <v>1650000</v>
      </c>
      <c r="F164" s="464">
        <v>0</v>
      </c>
      <c r="G164" s="464">
        <v>0</v>
      </c>
      <c r="H164" s="463"/>
      <c r="I164" s="463">
        <f t="shared" si="86"/>
        <v>0</v>
      </c>
      <c r="J164" s="463">
        <f t="shared" si="93"/>
        <v>1650000</v>
      </c>
      <c r="K164" s="78"/>
      <c r="L164" s="79"/>
      <c r="M164" s="533"/>
      <c r="N164" s="80"/>
      <c r="O164" s="517"/>
      <c r="P164" s="518"/>
      <c r="Q164" s="517">
        <f t="shared" si="87"/>
        <v>0</v>
      </c>
      <c r="R164" s="517"/>
      <c r="S164" s="517"/>
      <c r="T164" s="517"/>
      <c r="U164" s="80"/>
      <c r="V164" s="80"/>
      <c r="W164" s="80"/>
      <c r="X164" s="80"/>
      <c r="Y164" s="99"/>
      <c r="Z164" s="80"/>
      <c r="AA164" s="80"/>
      <c r="AB164" s="81"/>
      <c r="AC164" s="516"/>
      <c r="AD164" s="210"/>
      <c r="AE164" s="517"/>
      <c r="AF164" s="516"/>
      <c r="AG164" s="440"/>
      <c r="AH164" s="440"/>
    </row>
    <row r="165" spans="1:34" s="5" customFormat="1" x14ac:dyDescent="0.2">
      <c r="A165" s="71"/>
      <c r="B165" s="284"/>
      <c r="C165" s="285" t="s">
        <v>309</v>
      </c>
      <c r="D165" s="501"/>
      <c r="E165" s="463"/>
      <c r="F165" s="464"/>
      <c r="G165" s="464"/>
      <c r="H165" s="463"/>
      <c r="I165" s="463">
        <f t="shared" si="86"/>
        <v>0</v>
      </c>
      <c r="J165" s="463">
        <f t="shared" si="93"/>
        <v>0</v>
      </c>
      <c r="K165" s="78"/>
      <c r="L165" s="79"/>
      <c r="M165" s="533"/>
      <c r="N165" s="80"/>
      <c r="O165" s="517"/>
      <c r="P165" s="518"/>
      <c r="Q165" s="517">
        <f t="shared" si="87"/>
        <v>0</v>
      </c>
      <c r="R165" s="517"/>
      <c r="S165" s="517"/>
      <c r="T165" s="517"/>
      <c r="U165" s="80"/>
      <c r="V165" s="80"/>
      <c r="W165" s="80"/>
      <c r="X165" s="80"/>
      <c r="Y165" s="99"/>
      <c r="Z165" s="80"/>
      <c r="AA165" s="80"/>
      <c r="AB165" s="81"/>
      <c r="AC165" s="516"/>
      <c r="AD165" s="210"/>
      <c r="AE165" s="517"/>
      <c r="AF165" s="516"/>
      <c r="AG165" s="440"/>
      <c r="AH165" s="440"/>
    </row>
    <row r="166" spans="1:34" s="5" customFormat="1" x14ac:dyDescent="0.2">
      <c r="A166" s="71"/>
      <c r="B166" s="284" t="s">
        <v>290</v>
      </c>
      <c r="C166" s="283"/>
      <c r="D166" s="501"/>
      <c r="E166" s="463">
        <v>950000</v>
      </c>
      <c r="F166" s="464">
        <v>0</v>
      </c>
      <c r="G166" s="464">
        <v>0</v>
      </c>
      <c r="H166" s="463"/>
      <c r="I166" s="463">
        <f t="shared" si="86"/>
        <v>0</v>
      </c>
      <c r="J166" s="463">
        <f t="shared" si="93"/>
        <v>950000</v>
      </c>
      <c r="K166" s="78"/>
      <c r="L166" s="79"/>
      <c r="M166" s="533"/>
      <c r="N166" s="80"/>
      <c r="O166" s="517"/>
      <c r="P166" s="518"/>
      <c r="Q166" s="517">
        <f t="shared" si="87"/>
        <v>0</v>
      </c>
      <c r="R166" s="517"/>
      <c r="S166" s="517"/>
      <c r="T166" s="517"/>
      <c r="U166" s="80"/>
      <c r="V166" s="80"/>
      <c r="W166" s="80"/>
      <c r="X166" s="80"/>
      <c r="Y166" s="99"/>
      <c r="Z166" s="80"/>
      <c r="AA166" s="80"/>
      <c r="AB166" s="81"/>
      <c r="AC166" s="516"/>
      <c r="AD166" s="210"/>
      <c r="AE166" s="517"/>
      <c r="AF166" s="516"/>
      <c r="AG166" s="440"/>
      <c r="AH166" s="440"/>
    </row>
    <row r="167" spans="1:34" s="5" customFormat="1" x14ac:dyDescent="0.2">
      <c r="A167" s="286"/>
      <c r="B167" s="287"/>
      <c r="C167" s="288" t="s">
        <v>282</v>
      </c>
      <c r="D167" s="565"/>
      <c r="E167" s="591"/>
      <c r="F167" s="592"/>
      <c r="G167" s="592"/>
      <c r="H167" s="591"/>
      <c r="I167" s="591">
        <f t="shared" si="86"/>
        <v>0</v>
      </c>
      <c r="J167" s="591">
        <f t="shared" si="93"/>
        <v>0</v>
      </c>
      <c r="K167" s="12">
        <f t="shared" ref="K167:AF168" si="94">+K168</f>
        <v>290816000</v>
      </c>
      <c r="L167" s="13">
        <f>+L168</f>
        <v>270582371.86000001</v>
      </c>
      <c r="M167" s="578">
        <f t="shared" si="94"/>
        <v>421128400</v>
      </c>
      <c r="N167" s="13">
        <f t="shared" si="94"/>
        <v>282000000</v>
      </c>
      <c r="O167" s="517"/>
      <c r="P167" s="518"/>
      <c r="Q167" s="517">
        <f t="shared" si="87"/>
        <v>0</v>
      </c>
      <c r="R167" s="517"/>
      <c r="S167" s="517"/>
      <c r="T167" s="593">
        <f>Q168-R168-S168</f>
        <v>54704880.379999995</v>
      </c>
      <c r="U167" s="593">
        <f>+U168</f>
        <v>151099700</v>
      </c>
      <c r="V167" s="593">
        <f t="shared" si="94"/>
        <v>158009700</v>
      </c>
      <c r="W167" s="593">
        <f t="shared" si="94"/>
        <v>165160200</v>
      </c>
      <c r="X167" s="593">
        <f t="shared" si="94"/>
        <v>172668200</v>
      </c>
      <c r="Y167" s="593">
        <f t="shared" si="94"/>
        <v>863341000</v>
      </c>
      <c r="Z167" s="593">
        <f t="shared" si="94"/>
        <v>863341000</v>
      </c>
      <c r="AA167" s="593">
        <f t="shared" si="94"/>
        <v>518004600</v>
      </c>
      <c r="AB167" s="593">
        <f t="shared" si="94"/>
        <v>115513300</v>
      </c>
      <c r="AC167" s="593">
        <f t="shared" si="94"/>
        <v>26165800</v>
      </c>
      <c r="AD167" s="593">
        <f t="shared" si="94"/>
        <v>89347500</v>
      </c>
      <c r="AE167" s="593">
        <f t="shared" si="94"/>
        <v>89347500</v>
      </c>
      <c r="AF167" s="593">
        <f t="shared" si="94"/>
        <v>3300000</v>
      </c>
      <c r="AG167" s="440"/>
      <c r="AH167" s="440"/>
    </row>
    <row r="168" spans="1:34" s="5" customFormat="1" x14ac:dyDescent="0.2">
      <c r="A168" s="279" t="s">
        <v>169</v>
      </c>
      <c r="B168" s="280"/>
      <c r="C168" s="281"/>
      <c r="D168" s="594">
        <f>+D169</f>
        <v>86047500</v>
      </c>
      <c r="E168" s="595">
        <f>+E169</f>
        <v>116352300</v>
      </c>
      <c r="F168" s="596">
        <f t="shared" ref="F168:H168" si="95">+F169</f>
        <v>32930300</v>
      </c>
      <c r="G168" s="596">
        <f t="shared" si="95"/>
        <v>32930300</v>
      </c>
      <c r="H168" s="595">
        <f t="shared" si="95"/>
        <v>0</v>
      </c>
      <c r="I168" s="595">
        <f t="shared" si="86"/>
        <v>32930300</v>
      </c>
      <c r="J168" s="595">
        <f t="shared" si="93"/>
        <v>83422000</v>
      </c>
      <c r="K168" s="17">
        <f t="shared" ref="K168:AF169" si="96">+K169+K172</f>
        <v>290816000</v>
      </c>
      <c r="L168" s="18">
        <f t="shared" si="96"/>
        <v>270582371.86000001</v>
      </c>
      <c r="M168" s="493">
        <f t="shared" si="96"/>
        <v>421128400</v>
      </c>
      <c r="N168" s="17">
        <f t="shared" si="96"/>
        <v>282000000</v>
      </c>
      <c r="O168" s="593">
        <f t="shared" si="94"/>
        <v>99597300</v>
      </c>
      <c r="P168" s="593">
        <f t="shared" si="94"/>
        <v>8902363.5</v>
      </c>
      <c r="Q168" s="593">
        <f t="shared" si="87"/>
        <v>90694936.5</v>
      </c>
      <c r="R168" s="593">
        <f t="shared" si="94"/>
        <v>35990056.120000005</v>
      </c>
      <c r="S168" s="593">
        <f t="shared" si="94"/>
        <v>0</v>
      </c>
      <c r="T168" s="597">
        <f>Q169-R169-S169</f>
        <v>54704880.379999995</v>
      </c>
      <c r="U168" s="597">
        <f>+U169+U172</f>
        <v>151099700</v>
      </c>
      <c r="V168" s="597">
        <f t="shared" si="96"/>
        <v>158009700</v>
      </c>
      <c r="W168" s="597">
        <f t="shared" si="96"/>
        <v>165160200</v>
      </c>
      <c r="X168" s="597">
        <f t="shared" si="96"/>
        <v>172668200</v>
      </c>
      <c r="Y168" s="597">
        <f t="shared" si="96"/>
        <v>863341000</v>
      </c>
      <c r="Z168" s="597">
        <f t="shared" si="96"/>
        <v>863341000</v>
      </c>
      <c r="AA168" s="597">
        <f t="shared" si="96"/>
        <v>518004600</v>
      </c>
      <c r="AB168" s="597">
        <f t="shared" si="96"/>
        <v>115513300</v>
      </c>
      <c r="AC168" s="597">
        <f t="shared" si="96"/>
        <v>26165800</v>
      </c>
      <c r="AD168" s="597">
        <f t="shared" si="96"/>
        <v>89347500</v>
      </c>
      <c r="AE168" s="597">
        <f t="shared" si="96"/>
        <v>89347500</v>
      </c>
      <c r="AF168" s="597">
        <f t="shared" si="96"/>
        <v>3300000</v>
      </c>
      <c r="AG168" s="440"/>
      <c r="AH168" s="440"/>
    </row>
    <row r="169" spans="1:34" s="5" customFormat="1" x14ac:dyDescent="0.2">
      <c r="A169" s="14" t="s">
        <v>170</v>
      </c>
      <c r="B169" s="15"/>
      <c r="C169" s="16"/>
      <c r="D169" s="597">
        <f>+D170+D173</f>
        <v>86047500</v>
      </c>
      <c r="E169" s="598">
        <f>+E170+E173</f>
        <v>116352300</v>
      </c>
      <c r="F169" s="599">
        <f t="shared" ref="F169:H169" si="97">+F170+F173</f>
        <v>32930300</v>
      </c>
      <c r="G169" s="599">
        <f t="shared" si="97"/>
        <v>32930300</v>
      </c>
      <c r="H169" s="598">
        <f t="shared" si="97"/>
        <v>0</v>
      </c>
      <c r="I169" s="598">
        <f t="shared" si="86"/>
        <v>32930300</v>
      </c>
      <c r="J169" s="598">
        <f t="shared" si="93"/>
        <v>83422000</v>
      </c>
      <c r="K169" s="598">
        <f t="shared" si="96"/>
        <v>18040000</v>
      </c>
      <c r="L169" s="598">
        <f t="shared" si="96"/>
        <v>13523257.049999999</v>
      </c>
      <c r="M169" s="598">
        <f t="shared" si="96"/>
        <v>18866700</v>
      </c>
      <c r="N169" s="598">
        <f t="shared" si="96"/>
        <v>15000000</v>
      </c>
      <c r="O169" s="597">
        <f t="shared" si="96"/>
        <v>99597300</v>
      </c>
      <c r="P169" s="597">
        <f t="shared" si="96"/>
        <v>8902363.5</v>
      </c>
      <c r="Q169" s="597">
        <f t="shared" si="87"/>
        <v>90694936.5</v>
      </c>
      <c r="R169" s="597">
        <f t="shared" si="96"/>
        <v>35990056.120000005</v>
      </c>
      <c r="S169" s="597">
        <f t="shared" si="96"/>
        <v>0</v>
      </c>
      <c r="T169" s="584">
        <f>Q170-R170-S170</f>
        <v>-2000000</v>
      </c>
      <c r="U169" s="584">
        <f>SUM(U170:U170)</f>
        <v>15000000</v>
      </c>
      <c r="V169" s="584">
        <f t="shared" ref="V169:AF169" si="98">SUM(V170:V170)</f>
        <v>15000000</v>
      </c>
      <c r="W169" s="584">
        <f t="shared" si="98"/>
        <v>15000000</v>
      </c>
      <c r="X169" s="584">
        <f t="shared" si="98"/>
        <v>15000000</v>
      </c>
      <c r="Y169" s="584">
        <f t="shared" si="98"/>
        <v>75000000</v>
      </c>
      <c r="Z169" s="584">
        <f t="shared" si="98"/>
        <v>75000000</v>
      </c>
      <c r="AA169" s="584">
        <f t="shared" si="98"/>
        <v>45000000</v>
      </c>
      <c r="AB169" s="584">
        <f t="shared" si="98"/>
        <v>10000000</v>
      </c>
      <c r="AC169" s="584">
        <f t="shared" si="98"/>
        <v>0</v>
      </c>
      <c r="AD169" s="584">
        <f t="shared" si="98"/>
        <v>10000000</v>
      </c>
      <c r="AE169" s="584">
        <f t="shared" si="98"/>
        <v>10000000</v>
      </c>
      <c r="AF169" s="584">
        <f t="shared" si="98"/>
        <v>0</v>
      </c>
      <c r="AG169" s="440"/>
      <c r="AH169" s="440"/>
    </row>
    <row r="170" spans="1:34" s="5" customFormat="1" x14ac:dyDescent="0.2">
      <c r="A170" s="20" t="s">
        <v>74</v>
      </c>
      <c r="B170" s="21"/>
      <c r="C170" s="22"/>
      <c r="D170" s="584">
        <f>SUM(D171:D171)</f>
        <v>10000000</v>
      </c>
      <c r="E170" s="586">
        <f>SUM(E171:E171)</f>
        <v>10000000</v>
      </c>
      <c r="F170" s="587">
        <f t="shared" ref="F170:H170" si="99">SUM(F171:F171)</f>
        <v>10000000</v>
      </c>
      <c r="G170" s="587">
        <f t="shared" si="99"/>
        <v>10000000</v>
      </c>
      <c r="H170" s="586">
        <f t="shared" si="99"/>
        <v>0</v>
      </c>
      <c r="I170" s="586">
        <f t="shared" si="86"/>
        <v>10000000</v>
      </c>
      <c r="J170" s="586">
        <f t="shared" si="93"/>
        <v>0</v>
      </c>
      <c r="K170" s="586">
        <f t="shared" ref="K170:S170" si="100">SUM(K171:K171)</f>
        <v>0</v>
      </c>
      <c r="L170" s="586">
        <f t="shared" si="100"/>
        <v>0</v>
      </c>
      <c r="M170" s="586">
        <f t="shared" si="100"/>
        <v>0</v>
      </c>
      <c r="N170" s="586">
        <f t="shared" si="100"/>
        <v>0</v>
      </c>
      <c r="O170" s="584">
        <f t="shared" si="100"/>
        <v>10000000</v>
      </c>
      <c r="P170" s="584">
        <f t="shared" si="100"/>
        <v>0</v>
      </c>
      <c r="Q170" s="584">
        <f t="shared" si="87"/>
        <v>10000000</v>
      </c>
      <c r="R170" s="584">
        <f t="shared" si="100"/>
        <v>12000000</v>
      </c>
      <c r="S170" s="584">
        <f t="shared" si="100"/>
        <v>0</v>
      </c>
      <c r="T170" s="502">
        <f>Q171-R171-S171</f>
        <v>-2000000</v>
      </c>
      <c r="U170" s="52">
        <v>15000000</v>
      </c>
      <c r="V170" s="52">
        <v>15000000</v>
      </c>
      <c r="W170" s="52">
        <v>15000000</v>
      </c>
      <c r="X170" s="52">
        <v>15000000</v>
      </c>
      <c r="Y170" s="52">
        <f>SUM(X170*5)</f>
        <v>75000000</v>
      </c>
      <c r="Z170" s="52">
        <f>SUM(X170*5)</f>
        <v>75000000</v>
      </c>
      <c r="AA170" s="52">
        <f>SUM(X170*3)</f>
        <v>45000000</v>
      </c>
      <c r="AB170" s="31">
        <v>10000000</v>
      </c>
      <c r="AC170" s="465">
        <v>0</v>
      </c>
      <c r="AD170" s="32">
        <v>10000000</v>
      </c>
      <c r="AE170" s="466">
        <v>10000000</v>
      </c>
      <c r="AF170" s="468"/>
      <c r="AG170" s="440"/>
      <c r="AH170" s="440"/>
    </row>
    <row r="171" spans="1:34" s="5" customFormat="1" x14ac:dyDescent="0.2">
      <c r="A171" s="33"/>
      <c r="B171" s="266" t="s">
        <v>274</v>
      </c>
      <c r="C171" s="212"/>
      <c r="D171" s="502">
        <v>10000000</v>
      </c>
      <c r="E171" s="521">
        <v>10000000</v>
      </c>
      <c r="F171" s="504">
        <v>10000000</v>
      </c>
      <c r="G171" s="504">
        <v>10000000</v>
      </c>
      <c r="H171" s="521"/>
      <c r="I171" s="521">
        <f t="shared" si="86"/>
        <v>10000000</v>
      </c>
      <c r="J171" s="521">
        <f t="shared" si="93"/>
        <v>0</v>
      </c>
      <c r="K171" s="52"/>
      <c r="L171" s="53"/>
      <c r="M171" s="600"/>
      <c r="N171" s="52"/>
      <c r="O171" s="502">
        <v>10000000</v>
      </c>
      <c r="P171" s="503"/>
      <c r="Q171" s="502">
        <f t="shared" si="87"/>
        <v>10000000</v>
      </c>
      <c r="R171" s="502">
        <v>12000000</v>
      </c>
      <c r="S171" s="502"/>
      <c r="T171" s="502"/>
      <c r="U171" s="52"/>
      <c r="V171" s="52"/>
      <c r="W171" s="52"/>
      <c r="X171" s="52"/>
      <c r="Y171" s="52"/>
      <c r="Z171" s="52"/>
      <c r="AA171" s="52"/>
      <c r="AB171" s="31"/>
      <c r="AC171" s="465"/>
      <c r="AD171" s="189"/>
      <c r="AE171" s="502"/>
      <c r="AF171" s="465"/>
      <c r="AG171" s="440"/>
      <c r="AH171" s="440"/>
    </row>
    <row r="172" spans="1:34" s="5" customFormat="1" x14ac:dyDescent="0.2">
      <c r="A172" s="33"/>
      <c r="B172" s="266" t="s">
        <v>310</v>
      </c>
      <c r="C172" s="212"/>
      <c r="D172" s="502"/>
      <c r="E172" s="521"/>
      <c r="F172" s="504"/>
      <c r="G172" s="504"/>
      <c r="H172" s="521"/>
      <c r="I172" s="521">
        <f t="shared" si="86"/>
        <v>0</v>
      </c>
      <c r="J172" s="521">
        <f t="shared" si="93"/>
        <v>0</v>
      </c>
      <c r="K172" s="584">
        <f>SUM(K173+K177+K112+K178)</f>
        <v>272776000</v>
      </c>
      <c r="L172" s="584">
        <f>SUM(L173+L177+L112+L178)</f>
        <v>257059114.81</v>
      </c>
      <c r="M172" s="584">
        <f>SUM(M173+M177+M112+M178)</f>
        <v>402261700</v>
      </c>
      <c r="N172" s="584">
        <f>SUM(N173+N177+N112+N178)</f>
        <v>267000000</v>
      </c>
      <c r="O172" s="502"/>
      <c r="P172" s="503"/>
      <c r="Q172" s="502">
        <f t="shared" si="87"/>
        <v>0</v>
      </c>
      <c r="R172" s="502"/>
      <c r="S172" s="502"/>
      <c r="T172" s="584">
        <f t="shared" ref="T172:T178" si="101">Q173-R173-S173</f>
        <v>56704880.379999995</v>
      </c>
      <c r="U172" s="584">
        <f>SUM(U173+U177+U178+U182+U187+U188)</f>
        <v>136099700</v>
      </c>
      <c r="V172" s="584">
        <f t="shared" ref="V172:AF172" si="102">SUM(V173+V177+V178+V182+V187+V188)</f>
        <v>143009700</v>
      </c>
      <c r="W172" s="584">
        <f t="shared" si="102"/>
        <v>150160200</v>
      </c>
      <c r="X172" s="584">
        <f t="shared" si="102"/>
        <v>157668200</v>
      </c>
      <c r="Y172" s="584">
        <f t="shared" si="102"/>
        <v>788341000</v>
      </c>
      <c r="Z172" s="584">
        <f t="shared" si="102"/>
        <v>788341000</v>
      </c>
      <c r="AA172" s="584">
        <f t="shared" si="102"/>
        <v>473004600</v>
      </c>
      <c r="AB172" s="584">
        <f t="shared" si="102"/>
        <v>105513300</v>
      </c>
      <c r="AC172" s="584">
        <f t="shared" si="102"/>
        <v>26165800</v>
      </c>
      <c r="AD172" s="584">
        <f t="shared" si="102"/>
        <v>79347500</v>
      </c>
      <c r="AE172" s="584">
        <f t="shared" si="102"/>
        <v>79347500</v>
      </c>
      <c r="AF172" s="584">
        <f t="shared" si="102"/>
        <v>3300000</v>
      </c>
      <c r="AG172" s="440"/>
      <c r="AH172" s="440"/>
    </row>
    <row r="173" spans="1:34" s="5" customFormat="1" x14ac:dyDescent="0.2">
      <c r="A173" s="20" t="s">
        <v>64</v>
      </c>
      <c r="B173" s="21"/>
      <c r="C173" s="22"/>
      <c r="D173" s="584">
        <f>SUM(D174+D178+D179+D183+D188+D189)</f>
        <v>76047500</v>
      </c>
      <c r="E173" s="586">
        <f>SUM(E174+E178+E179+E183+E188+E189)</f>
        <v>106352300</v>
      </c>
      <c r="F173" s="587">
        <f t="shared" ref="F173:H173" si="103">SUM(F174+F178+F179+F183+F188+F189)</f>
        <v>22930300</v>
      </c>
      <c r="G173" s="587">
        <f t="shared" si="103"/>
        <v>22930300</v>
      </c>
      <c r="H173" s="586">
        <f t="shared" si="103"/>
        <v>0</v>
      </c>
      <c r="I173" s="586">
        <f t="shared" si="86"/>
        <v>22930300</v>
      </c>
      <c r="J173" s="586">
        <f t="shared" si="93"/>
        <v>83422000</v>
      </c>
      <c r="K173" s="586">
        <f t="shared" ref="K173:S173" si="104">SUM(K174+K178+K179+K183+K188+K189)</f>
        <v>18040000</v>
      </c>
      <c r="L173" s="586">
        <f t="shared" si="104"/>
        <v>13523257.049999999</v>
      </c>
      <c r="M173" s="586">
        <f t="shared" si="104"/>
        <v>18866700</v>
      </c>
      <c r="N173" s="586">
        <f t="shared" si="104"/>
        <v>15000000</v>
      </c>
      <c r="O173" s="584">
        <f t="shared" si="104"/>
        <v>89597300</v>
      </c>
      <c r="P173" s="584">
        <f t="shared" si="104"/>
        <v>8902363.5</v>
      </c>
      <c r="Q173" s="584">
        <f t="shared" si="87"/>
        <v>80694936.5</v>
      </c>
      <c r="R173" s="584">
        <f t="shared" si="104"/>
        <v>23990056.120000001</v>
      </c>
      <c r="S173" s="584">
        <f t="shared" si="104"/>
        <v>0</v>
      </c>
      <c r="T173" s="501">
        <f t="shared" si="101"/>
        <v>38590677.350000001</v>
      </c>
      <c r="U173" s="52">
        <f>SUM(U174:U176)</f>
        <v>79642300</v>
      </c>
      <c r="V173" s="52">
        <v>83624400</v>
      </c>
      <c r="W173" s="52">
        <v>87805600</v>
      </c>
      <c r="X173" s="52">
        <v>92195900</v>
      </c>
      <c r="Y173" s="52">
        <f>SUM(X173*5)</f>
        <v>460979500</v>
      </c>
      <c r="Z173" s="52">
        <f>SUM(X173*5)</f>
        <v>460979500</v>
      </c>
      <c r="AA173" s="52">
        <f>SUM(X173*3)</f>
        <v>276587700</v>
      </c>
      <c r="AB173" s="54">
        <v>57691800</v>
      </c>
      <c r="AC173" s="494">
        <v>14422900</v>
      </c>
      <c r="AD173" s="55">
        <v>43268900</v>
      </c>
      <c r="AE173" s="462">
        <v>43268900</v>
      </c>
      <c r="AF173" s="496"/>
      <c r="AG173" s="440"/>
      <c r="AH173" s="440"/>
    </row>
    <row r="174" spans="1:34" s="5" customFormat="1" x14ac:dyDescent="0.2">
      <c r="A174" s="33"/>
      <c r="B174" s="34" t="s">
        <v>75</v>
      </c>
      <c r="C174" s="35"/>
      <c r="D174" s="501">
        <f>SUM(D175:D177)</f>
        <v>43268900</v>
      </c>
      <c r="E174" s="525">
        <f>SUM(E175:E177)</f>
        <v>65925700</v>
      </c>
      <c r="F174" s="526">
        <f>SUM(F175:F177)</f>
        <v>12185100</v>
      </c>
      <c r="G174" s="526">
        <f>SUM(G175:G177)</f>
        <v>12185100</v>
      </c>
      <c r="H174" s="525">
        <f t="shared" ref="H174" si="105">SUM(H175:H177)</f>
        <v>0</v>
      </c>
      <c r="I174" s="525">
        <f t="shared" si="86"/>
        <v>12185100</v>
      </c>
      <c r="J174" s="525">
        <f t="shared" si="93"/>
        <v>53740600</v>
      </c>
      <c r="K174" s="29">
        <v>2390000</v>
      </c>
      <c r="L174" s="30">
        <v>2082462.74</v>
      </c>
      <c r="M174" s="601">
        <v>2175900</v>
      </c>
      <c r="N174" s="29"/>
      <c r="O174" s="501">
        <v>56406500</v>
      </c>
      <c r="P174" s="524"/>
      <c r="Q174" s="501">
        <f t="shared" si="87"/>
        <v>56406500</v>
      </c>
      <c r="R174" s="501">
        <v>17815822.649999999</v>
      </c>
      <c r="S174" s="501"/>
      <c r="T174" s="502">
        <f t="shared" si="101"/>
        <v>0</v>
      </c>
      <c r="U174" s="29">
        <v>2437900</v>
      </c>
      <c r="V174" s="29"/>
      <c r="W174" s="29"/>
      <c r="X174" s="29"/>
      <c r="Y174" s="29"/>
      <c r="Z174" s="29"/>
      <c r="AA174" s="29"/>
      <c r="AB174" s="31"/>
      <c r="AC174" s="465"/>
      <c r="AD174" s="32">
        <v>1654500</v>
      </c>
      <c r="AE174" s="466">
        <v>1654500</v>
      </c>
      <c r="AF174" s="468"/>
      <c r="AG174" s="440"/>
      <c r="AH174" s="440"/>
    </row>
    <row r="175" spans="1:34" s="5" customFormat="1" x14ac:dyDescent="0.2">
      <c r="A175" s="56"/>
      <c r="B175" s="57"/>
      <c r="C175" s="58" t="s">
        <v>54</v>
      </c>
      <c r="D175" s="502">
        <v>1654500</v>
      </c>
      <c r="E175" s="521">
        <v>4208200</v>
      </c>
      <c r="F175" s="504">
        <v>1200000</v>
      </c>
      <c r="G175" s="504">
        <v>1200000</v>
      </c>
      <c r="H175" s="521"/>
      <c r="I175" s="521">
        <f t="shared" si="86"/>
        <v>1200000</v>
      </c>
      <c r="J175" s="521">
        <f t="shared" si="93"/>
        <v>3008200</v>
      </c>
      <c r="K175" s="29">
        <v>63700000</v>
      </c>
      <c r="L175" s="30">
        <v>51819392.849999994</v>
      </c>
      <c r="M175" s="601">
        <v>86195000</v>
      </c>
      <c r="N175" s="29"/>
      <c r="O175" s="502"/>
      <c r="P175" s="503"/>
      <c r="Q175" s="502">
        <f t="shared" si="87"/>
        <v>0</v>
      </c>
      <c r="R175" s="502"/>
      <c r="S175" s="502"/>
      <c r="T175" s="502">
        <f t="shared" si="101"/>
        <v>0</v>
      </c>
      <c r="U175" s="29">
        <v>76994400</v>
      </c>
      <c r="V175" s="29"/>
      <c r="W175" s="29"/>
      <c r="X175" s="29"/>
      <c r="Y175" s="29"/>
      <c r="Z175" s="29"/>
      <c r="AA175" s="29"/>
      <c r="AB175" s="31"/>
      <c r="AC175" s="465"/>
      <c r="AD175" s="32">
        <v>41414400</v>
      </c>
      <c r="AE175" s="466">
        <v>41414400</v>
      </c>
      <c r="AF175" s="468"/>
      <c r="AG175" s="440"/>
      <c r="AH175" s="440"/>
    </row>
    <row r="176" spans="1:34" s="5" customFormat="1" x14ac:dyDescent="0.2">
      <c r="A176" s="56"/>
      <c r="B176" s="57"/>
      <c r="C176" s="58" t="s">
        <v>50</v>
      </c>
      <c r="D176" s="502">
        <v>41414400</v>
      </c>
      <c r="E176" s="521">
        <v>61270000</v>
      </c>
      <c r="F176" s="504">
        <v>10735100</v>
      </c>
      <c r="G176" s="504">
        <v>10735100</v>
      </c>
      <c r="H176" s="521"/>
      <c r="I176" s="521">
        <f t="shared" si="86"/>
        <v>10735100</v>
      </c>
      <c r="J176" s="521">
        <f t="shared" si="93"/>
        <v>50534900</v>
      </c>
      <c r="K176" s="29">
        <v>210000</v>
      </c>
      <c r="L176" s="30">
        <v>209909.5</v>
      </c>
      <c r="M176" s="601">
        <v>210000</v>
      </c>
      <c r="N176" s="29"/>
      <c r="O176" s="502"/>
      <c r="P176" s="503"/>
      <c r="Q176" s="502">
        <f t="shared" si="87"/>
        <v>0</v>
      </c>
      <c r="R176" s="502"/>
      <c r="S176" s="502"/>
      <c r="T176" s="502">
        <f t="shared" si="101"/>
        <v>0</v>
      </c>
      <c r="U176" s="29">
        <v>210000</v>
      </c>
      <c r="V176" s="29"/>
      <c r="W176" s="29"/>
      <c r="X176" s="29"/>
      <c r="Y176" s="29"/>
      <c r="Z176" s="29"/>
      <c r="AA176" s="29"/>
      <c r="AB176" s="31"/>
      <c r="AC176" s="465"/>
      <c r="AD176" s="32">
        <v>200000</v>
      </c>
      <c r="AE176" s="466">
        <v>200000</v>
      </c>
      <c r="AF176" s="468"/>
      <c r="AG176" s="440"/>
      <c r="AH176" s="440"/>
    </row>
    <row r="177" spans="1:34" s="5" customFormat="1" x14ac:dyDescent="0.2">
      <c r="A177" s="56"/>
      <c r="B177" s="57"/>
      <c r="C177" s="58" t="s">
        <v>76</v>
      </c>
      <c r="D177" s="502">
        <v>200000</v>
      </c>
      <c r="E177" s="521">
        <v>447500</v>
      </c>
      <c r="F177" s="504">
        <v>250000</v>
      </c>
      <c r="G177" s="504">
        <v>250000</v>
      </c>
      <c r="H177" s="521"/>
      <c r="I177" s="521">
        <f t="shared" si="86"/>
        <v>250000</v>
      </c>
      <c r="J177" s="521">
        <f t="shared" si="93"/>
        <v>197500</v>
      </c>
      <c r="K177" s="52">
        <v>5736000</v>
      </c>
      <c r="L177" s="53">
        <v>5736000</v>
      </c>
      <c r="M177" s="600">
        <v>97800000</v>
      </c>
      <c r="N177" s="52">
        <v>10000000</v>
      </c>
      <c r="O177" s="502"/>
      <c r="P177" s="503"/>
      <c r="Q177" s="502">
        <f t="shared" si="87"/>
        <v>0</v>
      </c>
      <c r="R177" s="502"/>
      <c r="S177" s="502"/>
      <c r="T177" s="501">
        <f t="shared" si="101"/>
        <v>10000000</v>
      </c>
      <c r="U177" s="52">
        <v>30133700</v>
      </c>
      <c r="V177" s="52">
        <v>31640400</v>
      </c>
      <c r="W177" s="53">
        <v>33222400</v>
      </c>
      <c r="X177" s="52">
        <v>34883500</v>
      </c>
      <c r="Y177" s="52">
        <f>SUM(X177*5)</f>
        <v>174417500</v>
      </c>
      <c r="Z177" s="52">
        <f>SUM(X177*5)</f>
        <v>174417500</v>
      </c>
      <c r="AA177" s="52">
        <f>SUM(X177*3)</f>
        <v>104650500</v>
      </c>
      <c r="AB177" s="54">
        <v>25008700</v>
      </c>
      <c r="AC177" s="494">
        <v>6252200</v>
      </c>
      <c r="AD177" s="55">
        <v>18756500</v>
      </c>
      <c r="AE177" s="462">
        <v>18756500</v>
      </c>
      <c r="AF177" s="496">
        <v>1000000</v>
      </c>
      <c r="AG177" s="440"/>
      <c r="AH177" s="440"/>
    </row>
    <row r="178" spans="1:34" s="5" customFormat="1" x14ac:dyDescent="0.2">
      <c r="A178" s="33"/>
      <c r="B178" s="34" t="s">
        <v>77</v>
      </c>
      <c r="C178" s="35"/>
      <c r="D178" s="501">
        <v>17756500</v>
      </c>
      <c r="E178" s="525">
        <v>20000000</v>
      </c>
      <c r="F178" s="526">
        <v>0</v>
      </c>
      <c r="G178" s="526">
        <v>0</v>
      </c>
      <c r="H178" s="525"/>
      <c r="I178" s="525">
        <f t="shared" si="86"/>
        <v>0</v>
      </c>
      <c r="J178" s="525">
        <f t="shared" si="93"/>
        <v>20000000</v>
      </c>
      <c r="K178" s="67">
        <f>SUM(K180:K181)</f>
        <v>15000000</v>
      </c>
      <c r="L178" s="68">
        <v>11440794.309999999</v>
      </c>
      <c r="M178" s="498">
        <f>SUM(M180:M181)</f>
        <v>15595000</v>
      </c>
      <c r="N178" s="67">
        <v>15000000</v>
      </c>
      <c r="O178" s="501">
        <v>10000000</v>
      </c>
      <c r="P178" s="524"/>
      <c r="Q178" s="501">
        <f t="shared" si="87"/>
        <v>10000000</v>
      </c>
      <c r="R178" s="501">
        <v>0</v>
      </c>
      <c r="S178" s="501"/>
      <c r="T178" s="529">
        <f t="shared" si="101"/>
        <v>2297166.58</v>
      </c>
      <c r="U178" s="67">
        <f>SUM(U180:U181)</f>
        <v>16800000</v>
      </c>
      <c r="V178" s="67">
        <f>SUM(U178*105/100)</f>
        <v>17640000</v>
      </c>
      <c r="W178" s="67">
        <f>SUM(V178*105/100)</f>
        <v>18522000</v>
      </c>
      <c r="X178" s="67">
        <f>SUM(W178*105/100)</f>
        <v>19448100</v>
      </c>
      <c r="Y178" s="67">
        <f>SUM(X178*5)</f>
        <v>97240500</v>
      </c>
      <c r="Z178" s="67">
        <f>SUM(X178*5)</f>
        <v>97240500</v>
      </c>
      <c r="AA178" s="67">
        <f>SUM(X178*3)</f>
        <v>58344300</v>
      </c>
      <c r="AB178" s="54">
        <v>16800000</v>
      </c>
      <c r="AC178" s="498">
        <v>4200000</v>
      </c>
      <c r="AD178" s="55">
        <v>12600000</v>
      </c>
      <c r="AE178" s="499">
        <f>SUM(AE180:AE181)</f>
        <v>12600000</v>
      </c>
      <c r="AF178" s="602">
        <f>SUM(AF180:AF181)</f>
        <v>2300000</v>
      </c>
      <c r="AG178" s="440"/>
      <c r="AH178" s="440"/>
    </row>
    <row r="179" spans="1:34" s="5" customFormat="1" x14ac:dyDescent="0.2">
      <c r="A179" s="33"/>
      <c r="B179" s="266" t="s">
        <v>789</v>
      </c>
      <c r="C179" s="35"/>
      <c r="D179" s="529">
        <f>SUM(D181:D182)</f>
        <v>10300000</v>
      </c>
      <c r="E179" s="531">
        <f>SUM(E181:E182)</f>
        <v>7400000</v>
      </c>
      <c r="F179" s="532">
        <f>SUM(F181:F182)</f>
        <v>7400000</v>
      </c>
      <c r="G179" s="532">
        <f>SUM(G181:G182)</f>
        <v>7400000</v>
      </c>
      <c r="H179" s="531">
        <f t="shared" ref="H179" si="106">SUM(H181:H182)</f>
        <v>0</v>
      </c>
      <c r="I179" s="531">
        <f t="shared" si="86"/>
        <v>7400000</v>
      </c>
      <c r="J179" s="531">
        <f t="shared" si="93"/>
        <v>0</v>
      </c>
      <c r="K179" s="67"/>
      <c r="L179" s="68"/>
      <c r="M179" s="498"/>
      <c r="N179" s="67"/>
      <c r="O179" s="529">
        <v>15000000</v>
      </c>
      <c r="P179" s="530">
        <v>8902363.5</v>
      </c>
      <c r="Q179" s="529">
        <f t="shared" si="87"/>
        <v>6097636.5</v>
      </c>
      <c r="R179" s="529">
        <v>3800469.92</v>
      </c>
      <c r="S179" s="529"/>
      <c r="T179" s="529"/>
      <c r="U179" s="67"/>
      <c r="V179" s="67"/>
      <c r="W179" s="67"/>
      <c r="X179" s="67"/>
      <c r="Y179" s="67"/>
      <c r="Z179" s="67"/>
      <c r="AA179" s="67"/>
      <c r="AB179" s="54"/>
      <c r="AC179" s="498"/>
      <c r="AD179" s="55"/>
      <c r="AE179" s="499"/>
      <c r="AF179" s="602"/>
      <c r="AG179" s="440"/>
      <c r="AH179" s="440"/>
    </row>
    <row r="180" spans="1:34" s="5" customFormat="1" x14ac:dyDescent="0.2">
      <c r="A180" s="33"/>
      <c r="B180" s="267" t="s">
        <v>311</v>
      </c>
      <c r="C180" s="258"/>
      <c r="D180" s="529"/>
      <c r="E180" s="531"/>
      <c r="F180" s="532"/>
      <c r="G180" s="532"/>
      <c r="H180" s="531"/>
      <c r="I180" s="531">
        <f t="shared" si="86"/>
        <v>0</v>
      </c>
      <c r="J180" s="531">
        <f t="shared" si="93"/>
        <v>0</v>
      </c>
      <c r="K180" s="100">
        <v>13800000</v>
      </c>
      <c r="L180" s="114"/>
      <c r="M180" s="513">
        <v>14000000</v>
      </c>
      <c r="N180" s="100"/>
      <c r="O180" s="529"/>
      <c r="P180" s="530"/>
      <c r="Q180" s="529">
        <f t="shared" si="87"/>
        <v>0</v>
      </c>
      <c r="R180" s="529"/>
      <c r="S180" s="529"/>
      <c r="T180" s="505">
        <f t="shared" ref="T180:T221" si="107">Q181-R181-S181</f>
        <v>0</v>
      </c>
      <c r="U180" s="100">
        <v>13800000</v>
      </c>
      <c r="V180" s="100"/>
      <c r="W180" s="100"/>
      <c r="X180" s="100"/>
      <c r="Y180" s="100"/>
      <c r="Z180" s="100"/>
      <c r="AA180" s="100"/>
      <c r="AB180" s="31"/>
      <c r="AC180" s="513"/>
      <c r="AD180" s="32">
        <v>11100000</v>
      </c>
      <c r="AE180" s="507">
        <v>11100000</v>
      </c>
      <c r="AF180" s="508">
        <v>1100000</v>
      </c>
      <c r="AG180" s="440"/>
      <c r="AH180" s="440"/>
    </row>
    <row r="181" spans="1:34" s="5" customFormat="1" x14ac:dyDescent="0.2">
      <c r="A181" s="56"/>
      <c r="B181" s="57"/>
      <c r="C181" s="58" t="s">
        <v>50</v>
      </c>
      <c r="D181" s="505">
        <v>9000000</v>
      </c>
      <c r="E181" s="511">
        <v>5000000</v>
      </c>
      <c r="F181" s="506">
        <v>5000000</v>
      </c>
      <c r="G181" s="506">
        <v>5000000</v>
      </c>
      <c r="H181" s="511"/>
      <c r="I181" s="511">
        <f t="shared" si="86"/>
        <v>5000000</v>
      </c>
      <c r="J181" s="511">
        <f t="shared" si="93"/>
        <v>0</v>
      </c>
      <c r="K181" s="100">
        <v>1200000</v>
      </c>
      <c r="L181" s="114"/>
      <c r="M181" s="513">
        <v>1595000</v>
      </c>
      <c r="N181" s="100"/>
      <c r="O181" s="505"/>
      <c r="P181" s="514"/>
      <c r="Q181" s="505">
        <f t="shared" si="87"/>
        <v>0</v>
      </c>
      <c r="R181" s="505"/>
      <c r="S181" s="505"/>
      <c r="T181" s="505">
        <f t="shared" si="107"/>
        <v>0</v>
      </c>
      <c r="U181" s="100">
        <v>3000000</v>
      </c>
      <c r="V181" s="100"/>
      <c r="W181" s="100"/>
      <c r="X181" s="100"/>
      <c r="Y181" s="100"/>
      <c r="Z181" s="100"/>
      <c r="AA181" s="100"/>
      <c r="AB181" s="31"/>
      <c r="AC181" s="513"/>
      <c r="AD181" s="32">
        <v>1500000</v>
      </c>
      <c r="AE181" s="507">
        <v>1500000</v>
      </c>
      <c r="AF181" s="508">
        <v>1200000</v>
      </c>
      <c r="AG181" s="440"/>
      <c r="AH181" s="440"/>
    </row>
    <row r="182" spans="1:34" x14ac:dyDescent="0.35">
      <c r="A182" s="56"/>
      <c r="B182" s="57"/>
      <c r="C182" s="58" t="s">
        <v>43</v>
      </c>
      <c r="D182" s="505">
        <v>1300000</v>
      </c>
      <c r="E182" s="511">
        <v>2400000</v>
      </c>
      <c r="F182" s="506">
        <v>2400000</v>
      </c>
      <c r="G182" s="506">
        <v>2400000</v>
      </c>
      <c r="H182" s="511"/>
      <c r="I182" s="511">
        <f t="shared" si="86"/>
        <v>2400000</v>
      </c>
      <c r="J182" s="511">
        <f t="shared" si="93"/>
        <v>0</v>
      </c>
      <c r="K182" s="52">
        <f>SUM(K183:K186)</f>
        <v>5250700</v>
      </c>
      <c r="L182" s="53">
        <v>5162765.1399999997</v>
      </c>
      <c r="M182" s="494">
        <f>SUM(M183:M186)</f>
        <v>8142800</v>
      </c>
      <c r="N182" s="52">
        <v>3000000</v>
      </c>
      <c r="O182" s="505"/>
      <c r="P182" s="514"/>
      <c r="Q182" s="505">
        <f t="shared" si="87"/>
        <v>0</v>
      </c>
      <c r="R182" s="505"/>
      <c r="S182" s="505"/>
      <c r="T182" s="462">
        <f t="shared" si="107"/>
        <v>963928.45</v>
      </c>
      <c r="U182" s="52">
        <f>SUM(U183:U186)</f>
        <v>8673700</v>
      </c>
      <c r="V182" s="52">
        <v>9212400</v>
      </c>
      <c r="W182" s="52">
        <v>9673000</v>
      </c>
      <c r="X182" s="52">
        <v>10156700</v>
      </c>
      <c r="Y182" s="52">
        <f>SUM(X182*5)</f>
        <v>50783500</v>
      </c>
      <c r="Z182" s="52">
        <f>SUM(X182*5)</f>
        <v>50783500</v>
      </c>
      <c r="AA182" s="52">
        <f>SUM(X182*3)</f>
        <v>30470100</v>
      </c>
      <c r="AB182" s="54">
        <v>5162800</v>
      </c>
      <c r="AC182" s="494">
        <v>1290700</v>
      </c>
      <c r="AD182" s="55">
        <v>3872100</v>
      </c>
      <c r="AE182" s="462">
        <f>SUM(AE183:AE186)</f>
        <v>3872100</v>
      </c>
      <c r="AF182" s="496">
        <f>SUM(AF183:AF186)</f>
        <v>0</v>
      </c>
    </row>
    <row r="183" spans="1:34" x14ac:dyDescent="0.35">
      <c r="A183" s="134"/>
      <c r="B183" s="34" t="s">
        <v>790</v>
      </c>
      <c r="C183" s="35"/>
      <c r="D183" s="462">
        <f>SUM(D184:D187)</f>
        <v>3872100</v>
      </c>
      <c r="E183" s="463">
        <f>SUM(E184:E187)</f>
        <v>4929200</v>
      </c>
      <c r="F183" s="464">
        <f>SUM(F184:F187)</f>
        <v>2585400</v>
      </c>
      <c r="G183" s="464">
        <f>SUM(G184:G187)</f>
        <v>2585400</v>
      </c>
      <c r="H183" s="463">
        <f t="shared" ref="H183" si="108">SUM(H184:H187)</f>
        <v>0</v>
      </c>
      <c r="I183" s="463">
        <f t="shared" si="86"/>
        <v>2585400</v>
      </c>
      <c r="J183" s="463">
        <f t="shared" si="93"/>
        <v>2343800</v>
      </c>
      <c r="K183" s="29">
        <v>300000</v>
      </c>
      <c r="L183" s="30"/>
      <c r="M183" s="465">
        <v>331800</v>
      </c>
      <c r="N183" s="29"/>
      <c r="O183" s="462">
        <v>3000000</v>
      </c>
      <c r="P183" s="495"/>
      <c r="Q183" s="462">
        <f t="shared" si="87"/>
        <v>3000000</v>
      </c>
      <c r="R183" s="462">
        <v>2036071.55</v>
      </c>
      <c r="S183" s="462"/>
      <c r="T183" s="466">
        <f t="shared" si="107"/>
        <v>0</v>
      </c>
      <c r="U183" s="29">
        <v>345700</v>
      </c>
      <c r="V183" s="29"/>
      <c r="W183" s="29"/>
      <c r="X183" s="29"/>
      <c r="Y183" s="29"/>
      <c r="Z183" s="29"/>
      <c r="AA183" s="29"/>
      <c r="AB183" s="31"/>
      <c r="AC183" s="465"/>
      <c r="AD183" s="32">
        <v>300000</v>
      </c>
      <c r="AE183" s="466">
        <v>300000</v>
      </c>
      <c r="AF183" s="468"/>
    </row>
    <row r="184" spans="1:34" x14ac:dyDescent="0.35">
      <c r="A184" s="134"/>
      <c r="B184" s="139"/>
      <c r="C184" s="58" t="s">
        <v>43</v>
      </c>
      <c r="D184" s="466">
        <v>300000</v>
      </c>
      <c r="E184" s="469">
        <v>1051200</v>
      </c>
      <c r="F184" s="470">
        <v>450000</v>
      </c>
      <c r="G184" s="470">
        <v>450000</v>
      </c>
      <c r="H184" s="469"/>
      <c r="I184" s="469">
        <f t="shared" si="86"/>
        <v>450000</v>
      </c>
      <c r="J184" s="469">
        <f t="shared" si="93"/>
        <v>601200</v>
      </c>
      <c r="K184" s="29">
        <v>4800000</v>
      </c>
      <c r="L184" s="30"/>
      <c r="M184" s="465">
        <v>7629000</v>
      </c>
      <c r="N184" s="29"/>
      <c r="O184" s="466"/>
      <c r="P184" s="467"/>
      <c r="Q184" s="466">
        <f t="shared" si="87"/>
        <v>0</v>
      </c>
      <c r="R184" s="466"/>
      <c r="S184" s="466"/>
      <c r="T184" s="466">
        <f t="shared" si="107"/>
        <v>0</v>
      </c>
      <c r="U184" s="29">
        <v>8128000</v>
      </c>
      <c r="V184" s="29"/>
      <c r="W184" s="29"/>
      <c r="X184" s="29"/>
      <c r="Y184" s="29"/>
      <c r="Z184" s="29"/>
      <c r="AA184" s="29"/>
      <c r="AB184" s="31"/>
      <c r="AC184" s="465"/>
      <c r="AD184" s="32">
        <v>3372100</v>
      </c>
      <c r="AE184" s="466">
        <v>3372100</v>
      </c>
      <c r="AF184" s="468"/>
    </row>
    <row r="185" spans="1:34" x14ac:dyDescent="0.35">
      <c r="A185" s="134"/>
      <c r="B185" s="139"/>
      <c r="C185" s="58" t="s">
        <v>50</v>
      </c>
      <c r="D185" s="466">
        <v>3372100</v>
      </c>
      <c r="E185" s="469">
        <v>3380000</v>
      </c>
      <c r="F185" s="470">
        <v>1935400</v>
      </c>
      <c r="G185" s="470">
        <v>1935400</v>
      </c>
      <c r="H185" s="469"/>
      <c r="I185" s="469">
        <f t="shared" si="86"/>
        <v>1935400</v>
      </c>
      <c r="J185" s="469">
        <f t="shared" si="93"/>
        <v>1444600</v>
      </c>
      <c r="K185" s="29">
        <v>50000</v>
      </c>
      <c r="L185" s="30"/>
      <c r="M185" s="465">
        <v>80000</v>
      </c>
      <c r="N185" s="29"/>
      <c r="O185" s="466"/>
      <c r="P185" s="467"/>
      <c r="Q185" s="466">
        <f t="shared" si="87"/>
        <v>0</v>
      </c>
      <c r="R185" s="466"/>
      <c r="S185" s="466"/>
      <c r="T185" s="466">
        <f t="shared" si="107"/>
        <v>0</v>
      </c>
      <c r="U185" s="29">
        <v>80000</v>
      </c>
      <c r="V185" s="29"/>
      <c r="W185" s="29"/>
      <c r="X185" s="29"/>
      <c r="Y185" s="29"/>
      <c r="Z185" s="29"/>
      <c r="AA185" s="29"/>
      <c r="AB185" s="31"/>
      <c r="AC185" s="465"/>
      <c r="AD185" s="32">
        <v>100000</v>
      </c>
      <c r="AE185" s="466">
        <v>100000</v>
      </c>
      <c r="AF185" s="468"/>
    </row>
    <row r="186" spans="1:34" x14ac:dyDescent="0.35">
      <c r="A186" s="134"/>
      <c r="B186" s="139"/>
      <c r="C186" s="58" t="s">
        <v>62</v>
      </c>
      <c r="D186" s="466">
        <v>100000</v>
      </c>
      <c r="E186" s="469">
        <v>298000</v>
      </c>
      <c r="F186" s="470">
        <v>100000</v>
      </c>
      <c r="G186" s="470">
        <v>100000</v>
      </c>
      <c r="H186" s="469"/>
      <c r="I186" s="469">
        <f t="shared" si="86"/>
        <v>100000</v>
      </c>
      <c r="J186" s="469">
        <f t="shared" si="93"/>
        <v>198000</v>
      </c>
      <c r="K186" s="29">
        <v>100700</v>
      </c>
      <c r="L186" s="30"/>
      <c r="M186" s="465">
        <v>102000</v>
      </c>
      <c r="N186" s="29"/>
      <c r="O186" s="466"/>
      <c r="P186" s="467"/>
      <c r="Q186" s="466">
        <f t="shared" si="87"/>
        <v>0</v>
      </c>
      <c r="R186" s="466"/>
      <c r="S186" s="466"/>
      <c r="T186" s="466">
        <f t="shared" si="107"/>
        <v>0</v>
      </c>
      <c r="U186" s="29">
        <v>120000</v>
      </c>
      <c r="V186" s="29"/>
      <c r="W186" s="29"/>
      <c r="X186" s="29"/>
      <c r="Y186" s="29"/>
      <c r="Z186" s="29"/>
      <c r="AA186" s="29"/>
      <c r="AB186" s="31"/>
      <c r="AC186" s="465"/>
      <c r="AD186" s="32">
        <v>100000</v>
      </c>
      <c r="AE186" s="466">
        <v>100000</v>
      </c>
      <c r="AF186" s="468"/>
    </row>
    <row r="187" spans="1:34" x14ac:dyDescent="0.35">
      <c r="A187" s="134"/>
      <c r="B187" s="139"/>
      <c r="C187" s="58" t="s">
        <v>69</v>
      </c>
      <c r="D187" s="466">
        <v>100000</v>
      </c>
      <c r="E187" s="469">
        <v>200000</v>
      </c>
      <c r="F187" s="470">
        <v>100000</v>
      </c>
      <c r="G187" s="470">
        <v>100000</v>
      </c>
      <c r="H187" s="469"/>
      <c r="I187" s="469">
        <f t="shared" si="86"/>
        <v>100000</v>
      </c>
      <c r="J187" s="469">
        <f t="shared" si="93"/>
        <v>100000</v>
      </c>
      <c r="K187" s="52">
        <v>850000</v>
      </c>
      <c r="L187" s="53">
        <v>0</v>
      </c>
      <c r="M187" s="600">
        <v>1000000</v>
      </c>
      <c r="N187" s="52">
        <v>850000</v>
      </c>
      <c r="O187" s="466"/>
      <c r="P187" s="467"/>
      <c r="Q187" s="466">
        <f t="shared" si="87"/>
        <v>0</v>
      </c>
      <c r="R187" s="466"/>
      <c r="S187" s="466"/>
      <c r="T187" s="462">
        <f t="shared" si="107"/>
        <v>512308</v>
      </c>
      <c r="U187" s="52">
        <v>850000</v>
      </c>
      <c r="V187" s="52">
        <f>SUM(U187*105/100)</f>
        <v>892500</v>
      </c>
      <c r="W187" s="52">
        <v>937200</v>
      </c>
      <c r="X187" s="52">
        <v>984000</v>
      </c>
      <c r="Y187" s="52">
        <f>SUM(X187*5)</f>
        <v>4920000</v>
      </c>
      <c r="Z187" s="52">
        <f>SUM(X187*5)</f>
        <v>4920000</v>
      </c>
      <c r="AA187" s="52">
        <f>SUM(X187*3)</f>
        <v>2952000</v>
      </c>
      <c r="AB187" s="54">
        <v>850000</v>
      </c>
      <c r="AC187" s="494">
        <v>0</v>
      </c>
      <c r="AD187" s="55">
        <v>850000</v>
      </c>
      <c r="AE187" s="462">
        <v>850000</v>
      </c>
      <c r="AF187" s="496"/>
    </row>
    <row r="188" spans="1:34" x14ac:dyDescent="0.35">
      <c r="A188" s="134"/>
      <c r="B188" s="34" t="s">
        <v>791</v>
      </c>
      <c r="C188" s="35"/>
      <c r="D188" s="462">
        <v>850000</v>
      </c>
      <c r="E188" s="463">
        <v>2000000</v>
      </c>
      <c r="F188" s="464">
        <v>759800</v>
      </c>
      <c r="G188" s="464">
        <v>759800</v>
      </c>
      <c r="H188" s="463"/>
      <c r="I188" s="463">
        <f t="shared" si="86"/>
        <v>759800</v>
      </c>
      <c r="J188" s="463">
        <f t="shared" si="93"/>
        <v>1240200</v>
      </c>
      <c r="K188" s="52"/>
      <c r="L188" s="53"/>
      <c r="M188" s="600"/>
      <c r="N188" s="52"/>
      <c r="O188" s="462">
        <v>850000</v>
      </c>
      <c r="P188" s="495"/>
      <c r="Q188" s="462">
        <f t="shared" si="87"/>
        <v>850000</v>
      </c>
      <c r="R188" s="462">
        <v>337692</v>
      </c>
      <c r="S188" s="462"/>
      <c r="T188" s="501">
        <f t="shared" si="107"/>
        <v>4340800</v>
      </c>
      <c r="U188" s="52"/>
      <c r="V188" s="52"/>
      <c r="W188" s="52"/>
      <c r="X188" s="52"/>
      <c r="Y188" s="52"/>
      <c r="Z188" s="52"/>
      <c r="AA188" s="52"/>
      <c r="AB188" s="54"/>
      <c r="AC188" s="494"/>
      <c r="AD188" s="55"/>
      <c r="AE188" s="462"/>
      <c r="AF188" s="496"/>
    </row>
    <row r="189" spans="1:34" s="5" customFormat="1" x14ac:dyDescent="0.2">
      <c r="A189" s="134"/>
      <c r="B189" s="34" t="s">
        <v>171</v>
      </c>
      <c r="C189" s="35"/>
      <c r="D189" s="462">
        <f>SUM(D190:D191)</f>
        <v>0</v>
      </c>
      <c r="E189" s="463">
        <f>SUM(E190:E192)</f>
        <v>6097400</v>
      </c>
      <c r="F189" s="464">
        <v>0</v>
      </c>
      <c r="G189" s="464">
        <v>0</v>
      </c>
      <c r="H189" s="463">
        <f t="shared" ref="H189" si="109">SUM(H190:H192)</f>
        <v>0</v>
      </c>
      <c r="I189" s="463">
        <f t="shared" si="86"/>
        <v>0</v>
      </c>
      <c r="J189" s="463">
        <f t="shared" si="93"/>
        <v>6097400</v>
      </c>
      <c r="K189" s="29">
        <v>350000</v>
      </c>
      <c r="L189" s="30"/>
      <c r="M189" s="465">
        <v>764000</v>
      </c>
      <c r="N189" s="29"/>
      <c r="O189" s="462">
        <f>O190+O191+O192</f>
        <v>4340800</v>
      </c>
      <c r="P189" s="495"/>
      <c r="Q189" s="462">
        <f t="shared" si="87"/>
        <v>4340800</v>
      </c>
      <c r="R189" s="501">
        <f>R190+R191</f>
        <v>0</v>
      </c>
      <c r="S189" s="501"/>
      <c r="T189" s="502">
        <f t="shared" si="107"/>
        <v>250000</v>
      </c>
      <c r="U189" s="29">
        <v>575000</v>
      </c>
      <c r="V189" s="29"/>
      <c r="W189" s="29"/>
      <c r="X189" s="29"/>
      <c r="Y189" s="29"/>
      <c r="Z189" s="29"/>
      <c r="AA189" s="29"/>
      <c r="AB189" s="31"/>
      <c r="AC189" s="465"/>
      <c r="AD189" s="32">
        <v>250000</v>
      </c>
      <c r="AE189" s="507">
        <v>250000</v>
      </c>
      <c r="AF189" s="508"/>
      <c r="AG189" s="440"/>
      <c r="AH189" s="440"/>
    </row>
    <row r="190" spans="1:34" s="5" customFormat="1" x14ac:dyDescent="0.2">
      <c r="A190" s="56"/>
      <c r="B190" s="36"/>
      <c r="C190" s="58" t="s">
        <v>50</v>
      </c>
      <c r="D190" s="502">
        <v>0</v>
      </c>
      <c r="E190" s="521">
        <v>575000</v>
      </c>
      <c r="F190" s="504"/>
      <c r="G190" s="504"/>
      <c r="H190" s="521"/>
      <c r="I190" s="521">
        <f t="shared" si="86"/>
        <v>0</v>
      </c>
      <c r="J190" s="521">
        <f t="shared" si="93"/>
        <v>575000</v>
      </c>
      <c r="K190" s="29"/>
      <c r="L190" s="30"/>
      <c r="M190" s="465"/>
      <c r="N190" s="29"/>
      <c r="O190" s="502">
        <v>250000</v>
      </c>
      <c r="P190" s="503"/>
      <c r="Q190" s="502">
        <f t="shared" si="87"/>
        <v>250000</v>
      </c>
      <c r="R190" s="502"/>
      <c r="S190" s="502"/>
      <c r="T190" s="502">
        <f t="shared" si="107"/>
        <v>1882500</v>
      </c>
      <c r="U190" s="29"/>
      <c r="V190" s="29"/>
      <c r="W190" s="29"/>
      <c r="X190" s="29"/>
      <c r="Y190" s="29"/>
      <c r="Z190" s="29"/>
      <c r="AA190" s="29"/>
      <c r="AB190" s="31"/>
      <c r="AC190" s="465"/>
      <c r="AD190" s="32"/>
      <c r="AE190" s="507"/>
      <c r="AF190" s="508"/>
      <c r="AG190" s="440"/>
      <c r="AH190" s="440"/>
    </row>
    <row r="191" spans="1:34" s="5" customFormat="1" x14ac:dyDescent="0.2">
      <c r="A191" s="56"/>
      <c r="B191" s="36"/>
      <c r="C191" s="58" t="s">
        <v>43</v>
      </c>
      <c r="D191" s="502">
        <v>0</v>
      </c>
      <c r="E191" s="521">
        <v>2522400</v>
      </c>
      <c r="F191" s="504"/>
      <c r="G191" s="504"/>
      <c r="H191" s="521"/>
      <c r="I191" s="521">
        <f t="shared" si="86"/>
        <v>0</v>
      </c>
      <c r="J191" s="521">
        <f t="shared" si="93"/>
        <v>2522400</v>
      </c>
      <c r="K191" s="29"/>
      <c r="L191" s="30"/>
      <c r="M191" s="465"/>
      <c r="N191" s="29"/>
      <c r="O191" s="502">
        <v>1882500</v>
      </c>
      <c r="P191" s="503"/>
      <c r="Q191" s="502">
        <f t="shared" si="87"/>
        <v>1882500</v>
      </c>
      <c r="R191" s="502"/>
      <c r="S191" s="502"/>
      <c r="T191" s="502">
        <f t="shared" si="107"/>
        <v>2208300</v>
      </c>
      <c r="U191" s="29"/>
      <c r="V191" s="29"/>
      <c r="W191" s="29"/>
      <c r="X191" s="29"/>
      <c r="Y191" s="29"/>
      <c r="Z191" s="29"/>
      <c r="AA191" s="29"/>
      <c r="AB191" s="31"/>
      <c r="AC191" s="465"/>
      <c r="AD191" s="189"/>
      <c r="AE191" s="505"/>
      <c r="AF191" s="513"/>
      <c r="AG191" s="440"/>
      <c r="AH191" s="440"/>
    </row>
    <row r="192" spans="1:34" s="5" customFormat="1" x14ac:dyDescent="0.2">
      <c r="A192" s="56"/>
      <c r="B192" s="36"/>
      <c r="C192" s="58" t="s">
        <v>42</v>
      </c>
      <c r="D192" s="502"/>
      <c r="E192" s="521">
        <v>3000000</v>
      </c>
      <c r="F192" s="504"/>
      <c r="G192" s="504"/>
      <c r="H192" s="521"/>
      <c r="I192" s="521">
        <f t="shared" si="86"/>
        <v>0</v>
      </c>
      <c r="J192" s="521">
        <f t="shared" si="93"/>
        <v>3000000</v>
      </c>
      <c r="K192" s="12" t="e">
        <f>+K193</f>
        <v>#VALUE!</v>
      </c>
      <c r="L192" s="13" t="e">
        <f>+L193</f>
        <v>#REF!</v>
      </c>
      <c r="M192" s="578" t="e">
        <f>+M193</f>
        <v>#REF!</v>
      </c>
      <c r="N192" s="13" t="e">
        <f>+N193</f>
        <v>#REF!</v>
      </c>
      <c r="O192" s="502">
        <v>2208300</v>
      </c>
      <c r="P192" s="503"/>
      <c r="Q192" s="502">
        <f t="shared" si="87"/>
        <v>2208300</v>
      </c>
      <c r="R192" s="502"/>
      <c r="S192" s="502"/>
      <c r="T192" s="593">
        <f t="shared" si="107"/>
        <v>128398985.75999975</v>
      </c>
      <c r="U192" s="593">
        <f t="shared" ref="U192:AF192" si="110">+U193+U462</f>
        <v>12532203540300</v>
      </c>
      <c r="V192" s="593">
        <f t="shared" si="110"/>
        <v>1928186266275</v>
      </c>
      <c r="W192" s="593">
        <f t="shared" si="110"/>
        <v>10548842727.5</v>
      </c>
      <c r="X192" s="593">
        <f t="shared" si="110"/>
        <v>2474057700</v>
      </c>
      <c r="Y192" s="593">
        <f t="shared" si="110"/>
        <v>12341143400</v>
      </c>
      <c r="Z192" s="593">
        <f t="shared" si="110"/>
        <v>12341143400</v>
      </c>
      <c r="AA192" s="593">
        <f t="shared" si="110"/>
        <v>7389066300</v>
      </c>
      <c r="AB192" s="593">
        <f t="shared" si="110"/>
        <v>1970755300</v>
      </c>
      <c r="AC192" s="593">
        <f t="shared" si="110"/>
        <v>72510700</v>
      </c>
      <c r="AD192" s="593">
        <f t="shared" si="110"/>
        <v>1898244600</v>
      </c>
      <c r="AE192" s="593">
        <f t="shared" si="110"/>
        <v>1875295000</v>
      </c>
      <c r="AF192" s="593">
        <f t="shared" si="110"/>
        <v>70000000</v>
      </c>
      <c r="AG192" s="440"/>
      <c r="AH192" s="440"/>
    </row>
    <row r="193" spans="1:35" s="5" customFormat="1" x14ac:dyDescent="0.2">
      <c r="A193" s="9" t="s">
        <v>172</v>
      </c>
      <c r="B193" s="10"/>
      <c r="C193" s="11"/>
      <c r="D193" s="593">
        <f>+D194+D463</f>
        <v>2077113800</v>
      </c>
      <c r="E193" s="603">
        <f>+E194+E463</f>
        <v>2801498300</v>
      </c>
      <c r="F193" s="604">
        <f t="shared" ref="F193:H193" si="111">+F194+F463</f>
        <v>1820533800</v>
      </c>
      <c r="G193" s="604">
        <f t="shared" si="111"/>
        <v>1809533800</v>
      </c>
      <c r="H193" s="603">
        <f t="shared" si="111"/>
        <v>0</v>
      </c>
      <c r="I193" s="603">
        <f t="shared" si="86"/>
        <v>1809533800</v>
      </c>
      <c r="J193" s="603">
        <f t="shared" si="93"/>
        <v>991964500</v>
      </c>
      <c r="K193" s="603" t="e">
        <f t="shared" ref="K193:S193" si="112">+K194+K463</f>
        <v>#VALUE!</v>
      </c>
      <c r="L193" s="603" t="e">
        <f t="shared" si="112"/>
        <v>#REF!</v>
      </c>
      <c r="M193" s="603" t="e">
        <f t="shared" si="112"/>
        <v>#REF!</v>
      </c>
      <c r="N193" s="603" t="e">
        <f t="shared" si="112"/>
        <v>#REF!</v>
      </c>
      <c r="O193" s="593">
        <f t="shared" si="112"/>
        <v>2074515700</v>
      </c>
      <c r="P193" s="593">
        <f t="shared" si="112"/>
        <v>6253514</v>
      </c>
      <c r="Q193" s="593">
        <f t="shared" si="87"/>
        <v>2068262186</v>
      </c>
      <c r="R193" s="593">
        <f t="shared" si="112"/>
        <v>1939863200.2400002</v>
      </c>
      <c r="S193" s="593">
        <f t="shared" si="112"/>
        <v>0</v>
      </c>
      <c r="T193" s="597">
        <f t="shared" si="107"/>
        <v>26678608.719999909</v>
      </c>
      <c r="U193" s="597">
        <f t="shared" ref="U193:AF193" si="113">+U194+U433+U435</f>
        <v>12530782362500</v>
      </c>
      <c r="V193" s="597">
        <f t="shared" si="113"/>
        <v>1927464148015</v>
      </c>
      <c r="W193" s="597">
        <f t="shared" si="113"/>
        <v>9786750387.5</v>
      </c>
      <c r="X193" s="597">
        <f t="shared" si="113"/>
        <v>1649712700</v>
      </c>
      <c r="Y193" s="597">
        <f t="shared" si="113"/>
        <v>8248563500</v>
      </c>
      <c r="Z193" s="597">
        <f t="shared" si="113"/>
        <v>8248563500</v>
      </c>
      <c r="AA193" s="597">
        <f t="shared" si="113"/>
        <v>4949138100</v>
      </c>
      <c r="AB193" s="597">
        <f t="shared" si="113"/>
        <v>1233912100</v>
      </c>
      <c r="AC193" s="597">
        <f t="shared" si="113"/>
        <v>28510700</v>
      </c>
      <c r="AD193" s="597">
        <f t="shared" si="113"/>
        <v>1205401400</v>
      </c>
      <c r="AE193" s="597">
        <f t="shared" si="113"/>
        <v>1182451800</v>
      </c>
      <c r="AF193" s="597">
        <f t="shared" si="113"/>
        <v>15000000</v>
      </c>
      <c r="AG193" s="440"/>
      <c r="AH193" s="440"/>
    </row>
    <row r="194" spans="1:35" s="5" customFormat="1" x14ac:dyDescent="0.2">
      <c r="A194" s="14" t="s">
        <v>136</v>
      </c>
      <c r="B194" s="15"/>
      <c r="C194" s="16"/>
      <c r="D194" s="597">
        <f>+D195+D434+D436</f>
        <v>703667000</v>
      </c>
      <c r="E194" s="598">
        <f>+E195+E434+E436</f>
        <v>987936400</v>
      </c>
      <c r="F194" s="599">
        <f t="shared" ref="F194:H194" si="114">+F195+F434+F436</f>
        <v>517407100</v>
      </c>
      <c r="G194" s="599">
        <f t="shared" si="114"/>
        <v>517407100</v>
      </c>
      <c r="H194" s="598">
        <f t="shared" si="114"/>
        <v>0</v>
      </c>
      <c r="I194" s="598">
        <f t="shared" si="86"/>
        <v>517407100</v>
      </c>
      <c r="J194" s="598">
        <f t="shared" si="93"/>
        <v>470529300</v>
      </c>
      <c r="K194" s="598" t="e">
        <f t="shared" ref="K194:S194" si="115">+K195+K434+K436</f>
        <v>#VALUE!</v>
      </c>
      <c r="L194" s="598">
        <f t="shared" si="115"/>
        <v>1290651607.3600001</v>
      </c>
      <c r="M194" s="598" t="e">
        <f t="shared" si="115"/>
        <v>#REF!</v>
      </c>
      <c r="N194" s="598">
        <f t="shared" si="115"/>
        <v>823823504</v>
      </c>
      <c r="O194" s="597">
        <f t="shared" si="115"/>
        <v>657147400</v>
      </c>
      <c r="P194" s="597">
        <f t="shared" si="115"/>
        <v>6253514</v>
      </c>
      <c r="Q194" s="597">
        <f t="shared" si="87"/>
        <v>650893886</v>
      </c>
      <c r="R194" s="597">
        <f t="shared" si="115"/>
        <v>624215277.28000009</v>
      </c>
      <c r="S194" s="597">
        <f t="shared" si="115"/>
        <v>0</v>
      </c>
      <c r="T194" s="584">
        <f t="shared" si="107"/>
        <v>-24575272.900000095</v>
      </c>
      <c r="U194" s="584">
        <f t="shared" ref="U194:AF194" si="116">+U195+U228+U335+U411</f>
        <v>12530560317400</v>
      </c>
      <c r="V194" s="584">
        <f t="shared" si="116"/>
        <v>1927203132515</v>
      </c>
      <c r="W194" s="584">
        <f t="shared" si="116"/>
        <v>9514233987.5</v>
      </c>
      <c r="X194" s="584">
        <f t="shared" si="116"/>
        <v>1413484600</v>
      </c>
      <c r="Y194" s="584">
        <f t="shared" si="116"/>
        <v>7067423000</v>
      </c>
      <c r="Z194" s="584">
        <f t="shared" si="116"/>
        <v>7067423000</v>
      </c>
      <c r="AA194" s="584">
        <f t="shared" si="116"/>
        <v>4240453800</v>
      </c>
      <c r="AB194" s="584">
        <f t="shared" si="116"/>
        <v>1021568100</v>
      </c>
      <c r="AC194" s="584">
        <f t="shared" si="116"/>
        <v>12252400</v>
      </c>
      <c r="AD194" s="584">
        <f t="shared" si="116"/>
        <v>1009315700</v>
      </c>
      <c r="AE194" s="584">
        <f t="shared" si="116"/>
        <v>1009315700</v>
      </c>
      <c r="AF194" s="584">
        <f t="shared" si="116"/>
        <v>0</v>
      </c>
      <c r="AG194" s="440"/>
      <c r="AH194" s="440"/>
    </row>
    <row r="195" spans="1:35" s="5" customFormat="1" x14ac:dyDescent="0.2">
      <c r="A195" s="20" t="s">
        <v>78</v>
      </c>
      <c r="B195" s="21"/>
      <c r="C195" s="22"/>
      <c r="D195" s="584">
        <f>+D196+D229+D336+D414</f>
        <v>521581300</v>
      </c>
      <c r="E195" s="586">
        <f>+E196+E229+E336+E414</f>
        <v>715210200</v>
      </c>
      <c r="F195" s="587">
        <f>+F196+F229+F336+F414</f>
        <v>369279600</v>
      </c>
      <c r="G195" s="587">
        <f>+G196+G229+G336+G414</f>
        <v>369279600</v>
      </c>
      <c r="H195" s="586">
        <f t="shared" ref="H195" si="117">+H196+H229+H336+H414</f>
        <v>0</v>
      </c>
      <c r="I195" s="586">
        <f t="shared" si="86"/>
        <v>369279600</v>
      </c>
      <c r="J195" s="586">
        <f t="shared" si="93"/>
        <v>345930600</v>
      </c>
      <c r="K195" s="586" t="e">
        <f t="shared" ref="K195:S195" si="118">+K196+K229+K336+K414</f>
        <v>#VALUE!</v>
      </c>
      <c r="L195" s="586">
        <f t="shared" si="118"/>
        <v>1204889266.6700001</v>
      </c>
      <c r="M195" s="586" t="e">
        <f t="shared" si="118"/>
        <v>#REF!</v>
      </c>
      <c r="N195" s="586">
        <f t="shared" si="118"/>
        <v>721322000</v>
      </c>
      <c r="O195" s="584">
        <f>+O196+O229+O336+O414</f>
        <v>505558500</v>
      </c>
      <c r="P195" s="584">
        <f t="shared" si="118"/>
        <v>5553514</v>
      </c>
      <c r="Q195" s="584">
        <f t="shared" si="87"/>
        <v>500004986</v>
      </c>
      <c r="R195" s="584">
        <f t="shared" si="118"/>
        <v>524580258.9000001</v>
      </c>
      <c r="S195" s="584">
        <f t="shared" si="118"/>
        <v>0</v>
      </c>
      <c r="T195" s="529">
        <f t="shared" si="107"/>
        <v>-360776.66000000015</v>
      </c>
      <c r="U195" s="529">
        <f>U196+U210+U214+U221+U227</f>
        <v>15588100</v>
      </c>
      <c r="V195" s="529">
        <f t="shared" ref="V195:AF195" si="119">V196+V210+V214+V221+V227</f>
        <v>11527100</v>
      </c>
      <c r="W195" s="529">
        <f t="shared" si="119"/>
        <v>12392000</v>
      </c>
      <c r="X195" s="529">
        <f t="shared" si="119"/>
        <v>12859100</v>
      </c>
      <c r="Y195" s="529">
        <f t="shared" si="119"/>
        <v>64295500</v>
      </c>
      <c r="Z195" s="529">
        <f t="shared" si="119"/>
        <v>64295500</v>
      </c>
      <c r="AA195" s="529">
        <f t="shared" si="119"/>
        <v>38577300</v>
      </c>
      <c r="AB195" s="529">
        <f t="shared" si="119"/>
        <v>10501200</v>
      </c>
      <c r="AC195" s="529">
        <f t="shared" si="119"/>
        <v>0</v>
      </c>
      <c r="AD195" s="529">
        <f t="shared" si="119"/>
        <v>10501200</v>
      </c>
      <c r="AE195" s="529">
        <f t="shared" si="119"/>
        <v>10501200</v>
      </c>
      <c r="AF195" s="529">
        <f t="shared" si="119"/>
        <v>0</v>
      </c>
      <c r="AG195" s="440"/>
      <c r="AH195" s="440"/>
    </row>
    <row r="196" spans="1:35" s="112" customFormat="1" x14ac:dyDescent="0.2">
      <c r="A196" s="33"/>
      <c r="B196" s="34" t="s">
        <v>79</v>
      </c>
      <c r="C196" s="35"/>
      <c r="D196" s="529">
        <f>D197+D211+D215+D222+D228</f>
        <v>12533200</v>
      </c>
      <c r="E196" s="531">
        <f>E197+E211+E215+E222+E228</f>
        <v>16034300</v>
      </c>
      <c r="F196" s="532">
        <f>F197+F211+F215+F222+F228</f>
        <v>10999500</v>
      </c>
      <c r="G196" s="532">
        <f>G197+G211+G215+G222+G228</f>
        <v>10999500</v>
      </c>
      <c r="H196" s="531">
        <f t="shared" ref="H196" si="120">H197+H211+H215+H222+H228</f>
        <v>0</v>
      </c>
      <c r="I196" s="531">
        <f t="shared" si="86"/>
        <v>10999500</v>
      </c>
      <c r="J196" s="531">
        <f t="shared" si="93"/>
        <v>5034800</v>
      </c>
      <c r="K196" s="531" t="e">
        <f t="shared" ref="K196:S196" si="121">K197+K211+K215+K222+K228</f>
        <v>#VALUE!</v>
      </c>
      <c r="L196" s="531">
        <f t="shared" si="121"/>
        <v>1134808070.28</v>
      </c>
      <c r="M196" s="531" t="e">
        <f t="shared" si="121"/>
        <v>#REF!</v>
      </c>
      <c r="N196" s="531">
        <f t="shared" si="121"/>
        <v>647028900</v>
      </c>
      <c r="O196" s="529">
        <f t="shared" si="121"/>
        <v>9353600</v>
      </c>
      <c r="P196" s="529">
        <f t="shared" si="121"/>
        <v>0</v>
      </c>
      <c r="Q196" s="529">
        <f t="shared" si="87"/>
        <v>9353600</v>
      </c>
      <c r="R196" s="529">
        <f t="shared" si="121"/>
        <v>9714376.6600000001</v>
      </c>
      <c r="S196" s="529">
        <f t="shared" si="121"/>
        <v>0</v>
      </c>
      <c r="T196" s="605">
        <f t="shared" si="107"/>
        <v>-320370</v>
      </c>
      <c r="U196" s="52">
        <f>SUM(U197:U209)</f>
        <v>7773000</v>
      </c>
      <c r="V196" s="52">
        <v>8161700</v>
      </c>
      <c r="W196" s="52">
        <v>8569800</v>
      </c>
      <c r="X196" s="52">
        <v>8998300</v>
      </c>
      <c r="Y196" s="52">
        <f>SUM(X196*5)</f>
        <v>44991500</v>
      </c>
      <c r="Z196" s="52">
        <f>SUM(X196*5)</f>
        <v>44991500</v>
      </c>
      <c r="AA196" s="52">
        <f>SUM(X196*3)</f>
        <v>26994900</v>
      </c>
      <c r="AB196" s="54">
        <v>6750800</v>
      </c>
      <c r="AC196" s="494">
        <v>0</v>
      </c>
      <c r="AD196" s="116">
        <v>6750800</v>
      </c>
      <c r="AE196" s="606">
        <v>6750800</v>
      </c>
      <c r="AF196" s="607"/>
      <c r="AG196" s="532">
        <v>10999500</v>
      </c>
      <c r="AH196" s="440"/>
      <c r="AI196" s="608" t="s">
        <v>792</v>
      </c>
    </row>
    <row r="197" spans="1:35" s="5" customFormat="1" x14ac:dyDescent="0.2">
      <c r="A197" s="33"/>
      <c r="B197" s="34" t="s">
        <v>117</v>
      </c>
      <c r="C197" s="103"/>
      <c r="D197" s="605">
        <f>SUM(D198:D210)</f>
        <v>6750800</v>
      </c>
      <c r="E197" s="609">
        <f>SUM(E198:E210)</f>
        <v>7618000</v>
      </c>
      <c r="F197" s="610">
        <v>4578700</v>
      </c>
      <c r="G197" s="610">
        <f>SUM(G198:G210)</f>
        <v>4578700</v>
      </c>
      <c r="H197" s="609">
        <f t="shared" ref="H197" si="122">SUM(H198:H210)</f>
        <v>0</v>
      </c>
      <c r="I197" s="609">
        <f t="shared" si="86"/>
        <v>4578700</v>
      </c>
      <c r="J197" s="609">
        <f t="shared" si="93"/>
        <v>3039300</v>
      </c>
      <c r="K197" s="29">
        <v>150000</v>
      </c>
      <c r="L197" s="30"/>
      <c r="M197" s="611">
        <v>300000</v>
      </c>
      <c r="N197" s="29"/>
      <c r="O197" s="605">
        <v>5000000</v>
      </c>
      <c r="P197" s="612"/>
      <c r="Q197" s="605">
        <f t="shared" si="87"/>
        <v>5000000</v>
      </c>
      <c r="R197" s="605">
        <f>500710+4819660</f>
        <v>5320370</v>
      </c>
      <c r="S197" s="605"/>
      <c r="T197" s="505">
        <f t="shared" si="107"/>
        <v>0</v>
      </c>
      <c r="U197" s="29">
        <v>350000</v>
      </c>
      <c r="V197" s="29"/>
      <c r="W197" s="29"/>
      <c r="X197" s="29"/>
      <c r="Y197" s="29"/>
      <c r="Z197" s="29"/>
      <c r="AA197" s="29"/>
      <c r="AB197" s="31"/>
      <c r="AC197" s="465"/>
      <c r="AD197" s="32"/>
      <c r="AE197" s="507"/>
      <c r="AF197" s="508"/>
      <c r="AG197" s="440">
        <v>4578700</v>
      </c>
      <c r="AH197" s="440">
        <v>67.819999999999993</v>
      </c>
    </row>
    <row r="198" spans="1:35" s="5" customFormat="1" x14ac:dyDescent="0.2">
      <c r="A198" s="33"/>
      <c r="B198" s="57"/>
      <c r="C198" s="58" t="s">
        <v>52</v>
      </c>
      <c r="D198" s="505">
        <v>150000</v>
      </c>
      <c r="E198" s="511">
        <v>300000</v>
      </c>
      <c r="F198" s="506"/>
      <c r="G198" s="506">
        <v>101700</v>
      </c>
      <c r="H198" s="511"/>
      <c r="I198" s="511">
        <f t="shared" si="86"/>
        <v>101700</v>
      </c>
      <c r="J198" s="511">
        <f t="shared" si="93"/>
        <v>198300</v>
      </c>
      <c r="K198" s="29">
        <v>150000</v>
      </c>
      <c r="L198" s="30"/>
      <c r="M198" s="611">
        <v>200000</v>
      </c>
      <c r="N198" s="29"/>
      <c r="O198" s="505"/>
      <c r="P198" s="514"/>
      <c r="Q198" s="505">
        <f t="shared" si="87"/>
        <v>0</v>
      </c>
      <c r="R198" s="505"/>
      <c r="S198" s="505"/>
      <c r="T198" s="505">
        <f t="shared" si="107"/>
        <v>0</v>
      </c>
      <c r="U198" s="29">
        <v>220000</v>
      </c>
      <c r="V198" s="29"/>
      <c r="W198" s="29"/>
      <c r="X198" s="29"/>
      <c r="Y198" s="29"/>
      <c r="Z198" s="29"/>
      <c r="AA198" s="29"/>
      <c r="AB198" s="31"/>
      <c r="AC198" s="465"/>
      <c r="AD198" s="32"/>
      <c r="AE198" s="507"/>
      <c r="AF198" s="508"/>
      <c r="AG198" s="440">
        <f>+AG197-G197</f>
        <v>0</v>
      </c>
      <c r="AH198" s="440">
        <v>272410</v>
      </c>
      <c r="AI198" s="440"/>
    </row>
    <row r="199" spans="1:35" s="5" customFormat="1" x14ac:dyDescent="0.2">
      <c r="A199" s="33"/>
      <c r="B199" s="57"/>
      <c r="C199" s="58" t="s">
        <v>49</v>
      </c>
      <c r="D199" s="505">
        <v>150000</v>
      </c>
      <c r="E199" s="511">
        <v>220000</v>
      </c>
      <c r="F199" s="506"/>
      <c r="G199" s="506">
        <v>101700</v>
      </c>
      <c r="H199" s="511"/>
      <c r="I199" s="511">
        <f t="shared" si="86"/>
        <v>101700</v>
      </c>
      <c r="J199" s="511">
        <f t="shared" si="93"/>
        <v>118300</v>
      </c>
      <c r="K199" s="29">
        <v>150000</v>
      </c>
      <c r="L199" s="30"/>
      <c r="M199" s="611">
        <v>180000</v>
      </c>
      <c r="N199" s="29"/>
      <c r="O199" s="505"/>
      <c r="P199" s="514"/>
      <c r="Q199" s="505">
        <f t="shared" si="87"/>
        <v>0</v>
      </c>
      <c r="R199" s="505"/>
      <c r="S199" s="505"/>
      <c r="T199" s="505">
        <f t="shared" si="107"/>
        <v>0</v>
      </c>
      <c r="U199" s="29">
        <v>180000</v>
      </c>
      <c r="V199" s="29"/>
      <c r="W199" s="29"/>
      <c r="X199" s="29"/>
      <c r="Y199" s="29"/>
      <c r="Z199" s="29"/>
      <c r="AA199" s="29"/>
      <c r="AB199" s="31"/>
      <c r="AC199" s="465"/>
      <c r="AD199" s="32"/>
      <c r="AE199" s="507"/>
      <c r="AF199" s="508"/>
      <c r="AG199" s="440"/>
      <c r="AH199" s="440">
        <v>109090</v>
      </c>
      <c r="AI199" s="440"/>
    </row>
    <row r="200" spans="1:35" s="5" customFormat="1" x14ac:dyDescent="0.2">
      <c r="A200" s="33"/>
      <c r="B200" s="57"/>
      <c r="C200" s="58" t="s">
        <v>54</v>
      </c>
      <c r="D200" s="505">
        <v>150000</v>
      </c>
      <c r="E200" s="511">
        <v>180000</v>
      </c>
      <c r="F200" s="506"/>
      <c r="G200" s="506">
        <v>101700</v>
      </c>
      <c r="H200" s="511"/>
      <c r="I200" s="511">
        <f t="shared" ref="I200:I263" si="123">+G200-H200</f>
        <v>101700</v>
      </c>
      <c r="J200" s="511">
        <f t="shared" si="93"/>
        <v>78300</v>
      </c>
      <c r="K200" s="29">
        <v>150000</v>
      </c>
      <c r="L200" s="30"/>
      <c r="M200" s="611">
        <v>160000</v>
      </c>
      <c r="N200" s="29"/>
      <c r="O200" s="505"/>
      <c r="P200" s="514"/>
      <c r="Q200" s="505">
        <f t="shared" ref="Q200:Q263" si="124">+O200-P200</f>
        <v>0</v>
      </c>
      <c r="R200" s="505"/>
      <c r="S200" s="505"/>
      <c r="T200" s="505">
        <f t="shared" si="107"/>
        <v>0</v>
      </c>
      <c r="U200" s="29">
        <v>165000</v>
      </c>
      <c r="V200" s="29"/>
      <c r="W200" s="29"/>
      <c r="X200" s="29"/>
      <c r="Y200" s="29"/>
      <c r="Z200" s="29"/>
      <c r="AA200" s="29"/>
      <c r="AB200" s="31"/>
      <c r="AC200" s="465"/>
      <c r="AD200" s="32"/>
      <c r="AE200" s="507"/>
      <c r="AF200" s="508"/>
      <c r="AG200" s="440"/>
      <c r="AH200" s="440">
        <v>135000</v>
      </c>
      <c r="AI200" s="440"/>
    </row>
    <row r="201" spans="1:35" s="5" customFormat="1" x14ac:dyDescent="0.2">
      <c r="A201" s="33"/>
      <c r="B201" s="57"/>
      <c r="C201" s="58" t="s">
        <v>53</v>
      </c>
      <c r="D201" s="505">
        <v>150000</v>
      </c>
      <c r="E201" s="511">
        <v>180000</v>
      </c>
      <c r="F201" s="506"/>
      <c r="G201" s="506">
        <v>101700</v>
      </c>
      <c r="H201" s="511"/>
      <c r="I201" s="511">
        <f t="shared" si="123"/>
        <v>101700</v>
      </c>
      <c r="J201" s="511">
        <f t="shared" si="93"/>
        <v>78300</v>
      </c>
      <c r="K201" s="29">
        <v>150000</v>
      </c>
      <c r="L201" s="30"/>
      <c r="M201" s="611">
        <v>150000</v>
      </c>
      <c r="N201" s="29"/>
      <c r="O201" s="505"/>
      <c r="P201" s="514"/>
      <c r="Q201" s="505">
        <f t="shared" si="124"/>
        <v>0</v>
      </c>
      <c r="R201" s="505"/>
      <c r="S201" s="505"/>
      <c r="T201" s="505">
        <f t="shared" si="107"/>
        <v>0</v>
      </c>
      <c r="U201" s="29">
        <v>150000</v>
      </c>
      <c r="V201" s="29"/>
      <c r="W201" s="29"/>
      <c r="X201" s="29"/>
      <c r="Y201" s="29"/>
      <c r="Z201" s="29"/>
      <c r="AA201" s="29"/>
      <c r="AB201" s="31"/>
      <c r="AC201" s="465"/>
      <c r="AD201" s="32"/>
      <c r="AE201" s="507"/>
      <c r="AF201" s="508"/>
      <c r="AG201" s="440"/>
      <c r="AH201" s="440">
        <v>125810</v>
      </c>
      <c r="AI201" s="440"/>
    </row>
    <row r="202" spans="1:35" s="5" customFormat="1" x14ac:dyDescent="0.2">
      <c r="A202" s="33"/>
      <c r="B202" s="57"/>
      <c r="C202" s="58" t="s">
        <v>80</v>
      </c>
      <c r="D202" s="505">
        <v>150000</v>
      </c>
      <c r="E202" s="511">
        <v>150000</v>
      </c>
      <c r="F202" s="506"/>
      <c r="G202" s="506">
        <v>101700</v>
      </c>
      <c r="H202" s="511"/>
      <c r="I202" s="511">
        <f t="shared" si="123"/>
        <v>101700</v>
      </c>
      <c r="J202" s="511">
        <f t="shared" si="93"/>
        <v>48300</v>
      </c>
      <c r="K202" s="29">
        <v>150000</v>
      </c>
      <c r="L202" s="30"/>
      <c r="M202" s="611">
        <v>200000</v>
      </c>
      <c r="N202" s="29"/>
      <c r="O202" s="505"/>
      <c r="P202" s="514"/>
      <c r="Q202" s="505">
        <f t="shared" si="124"/>
        <v>0</v>
      </c>
      <c r="R202" s="505"/>
      <c r="S202" s="505"/>
      <c r="T202" s="505">
        <f t="shared" si="107"/>
        <v>0</v>
      </c>
      <c r="U202" s="29">
        <v>200000</v>
      </c>
      <c r="V202" s="29"/>
      <c r="W202" s="29"/>
      <c r="X202" s="29"/>
      <c r="Y202" s="29"/>
      <c r="Z202" s="29"/>
      <c r="AA202" s="29"/>
      <c r="AB202" s="31"/>
      <c r="AC202" s="465"/>
      <c r="AD202" s="32"/>
      <c r="AE202" s="507"/>
      <c r="AF202" s="508"/>
      <c r="AG202" s="440"/>
      <c r="AH202" s="440">
        <v>110010</v>
      </c>
      <c r="AI202" s="440"/>
    </row>
    <row r="203" spans="1:35" s="5" customFormat="1" x14ac:dyDescent="0.2">
      <c r="A203" s="33"/>
      <c r="B203" s="57"/>
      <c r="C203" s="58" t="s">
        <v>63</v>
      </c>
      <c r="D203" s="505">
        <v>150000</v>
      </c>
      <c r="E203" s="511">
        <v>200000</v>
      </c>
      <c r="F203" s="506"/>
      <c r="G203" s="506">
        <v>101700</v>
      </c>
      <c r="H203" s="511"/>
      <c r="I203" s="511">
        <f t="shared" si="123"/>
        <v>101700</v>
      </c>
      <c r="J203" s="511">
        <f t="shared" si="93"/>
        <v>98300</v>
      </c>
      <c r="K203" s="29">
        <v>150000</v>
      </c>
      <c r="L203" s="30"/>
      <c r="M203" s="611">
        <v>165000</v>
      </c>
      <c r="N203" s="29"/>
      <c r="O203" s="505"/>
      <c r="P203" s="514"/>
      <c r="Q203" s="505">
        <f t="shared" si="124"/>
        <v>0</v>
      </c>
      <c r="R203" s="505"/>
      <c r="S203" s="505"/>
      <c r="T203" s="505">
        <f t="shared" si="107"/>
        <v>0</v>
      </c>
      <c r="U203" s="29">
        <v>170000</v>
      </c>
      <c r="V203" s="29"/>
      <c r="W203" s="29"/>
      <c r="X203" s="29"/>
      <c r="Y203" s="29"/>
      <c r="Z203" s="29"/>
      <c r="AA203" s="29"/>
      <c r="AB203" s="31"/>
      <c r="AC203" s="465"/>
      <c r="AD203" s="32"/>
      <c r="AE203" s="507"/>
      <c r="AF203" s="508"/>
      <c r="AG203" s="440"/>
      <c r="AH203" s="440">
        <v>150000</v>
      </c>
      <c r="AI203" s="440"/>
    </row>
    <row r="204" spans="1:35" s="5" customFormat="1" x14ac:dyDescent="0.2">
      <c r="A204" s="33"/>
      <c r="B204" s="57"/>
      <c r="C204" s="58" t="s">
        <v>61</v>
      </c>
      <c r="D204" s="505">
        <v>150000</v>
      </c>
      <c r="E204" s="511">
        <v>170000</v>
      </c>
      <c r="F204" s="506"/>
      <c r="G204" s="506">
        <v>101700</v>
      </c>
      <c r="H204" s="511"/>
      <c r="I204" s="511">
        <f t="shared" si="123"/>
        <v>101700</v>
      </c>
      <c r="J204" s="511">
        <f t="shared" si="93"/>
        <v>68300</v>
      </c>
      <c r="K204" s="29">
        <v>150000</v>
      </c>
      <c r="L204" s="30"/>
      <c r="M204" s="611">
        <v>360000</v>
      </c>
      <c r="N204" s="29"/>
      <c r="O204" s="505"/>
      <c r="P204" s="514"/>
      <c r="Q204" s="505">
        <f t="shared" si="124"/>
        <v>0</v>
      </c>
      <c r="R204" s="505"/>
      <c r="S204" s="505"/>
      <c r="T204" s="505">
        <f t="shared" si="107"/>
        <v>0</v>
      </c>
      <c r="U204" s="29">
        <v>250000</v>
      </c>
      <c r="V204" s="29"/>
      <c r="W204" s="29"/>
      <c r="X204" s="29"/>
      <c r="Y204" s="29"/>
      <c r="Z204" s="29"/>
      <c r="AA204" s="29"/>
      <c r="AB204" s="31"/>
      <c r="AC204" s="465"/>
      <c r="AD204" s="32"/>
      <c r="AE204" s="507"/>
      <c r="AF204" s="508"/>
      <c r="AG204" s="440"/>
      <c r="AH204" s="440">
        <v>125920</v>
      </c>
      <c r="AI204" s="440"/>
    </row>
    <row r="205" spans="1:35" s="5" customFormat="1" x14ac:dyDescent="0.2">
      <c r="A205" s="33"/>
      <c r="B205" s="57"/>
      <c r="C205" s="58" t="s">
        <v>51</v>
      </c>
      <c r="D205" s="505">
        <v>150000</v>
      </c>
      <c r="E205" s="511">
        <v>250000</v>
      </c>
      <c r="F205" s="506"/>
      <c r="G205" s="506">
        <v>101700</v>
      </c>
      <c r="H205" s="511"/>
      <c r="I205" s="511">
        <f t="shared" si="123"/>
        <v>101700</v>
      </c>
      <c r="J205" s="511">
        <f t="shared" si="93"/>
        <v>148300</v>
      </c>
      <c r="K205" s="29">
        <v>670000</v>
      </c>
      <c r="L205" s="30"/>
      <c r="M205" s="611">
        <v>1100000</v>
      </c>
      <c r="N205" s="29"/>
      <c r="O205" s="505"/>
      <c r="P205" s="514"/>
      <c r="Q205" s="505">
        <f t="shared" si="124"/>
        <v>0</v>
      </c>
      <c r="R205" s="505"/>
      <c r="S205" s="505"/>
      <c r="T205" s="505">
        <f t="shared" si="107"/>
        <v>0</v>
      </c>
      <c r="U205" s="29">
        <v>1000000</v>
      </c>
      <c r="V205" s="29"/>
      <c r="W205" s="29"/>
      <c r="X205" s="29"/>
      <c r="Y205" s="29"/>
      <c r="Z205" s="29"/>
      <c r="AA205" s="29"/>
      <c r="AB205" s="31"/>
      <c r="AC205" s="465"/>
      <c r="AD205" s="32"/>
      <c r="AE205" s="507"/>
      <c r="AF205" s="508"/>
      <c r="AG205" s="440"/>
      <c r="AH205" s="440">
        <v>171700</v>
      </c>
      <c r="AI205" s="440"/>
    </row>
    <row r="206" spans="1:35" s="5" customFormat="1" x14ac:dyDescent="0.2">
      <c r="A206" s="33"/>
      <c r="B206" s="57"/>
      <c r="C206" s="58" t="s">
        <v>42</v>
      </c>
      <c r="D206" s="505">
        <v>670000</v>
      </c>
      <c r="E206" s="511">
        <v>800000</v>
      </c>
      <c r="F206" s="506"/>
      <c r="G206" s="506">
        <v>454400</v>
      </c>
      <c r="H206" s="511"/>
      <c r="I206" s="511">
        <f t="shared" si="123"/>
        <v>454400</v>
      </c>
      <c r="J206" s="511">
        <f t="shared" si="93"/>
        <v>345600</v>
      </c>
      <c r="K206" s="29">
        <v>160000</v>
      </c>
      <c r="L206" s="30"/>
      <c r="M206" s="611">
        <v>170000</v>
      </c>
      <c r="N206" s="29"/>
      <c r="O206" s="505"/>
      <c r="P206" s="514"/>
      <c r="Q206" s="505">
        <f t="shared" si="124"/>
        <v>0</v>
      </c>
      <c r="R206" s="505"/>
      <c r="S206" s="505"/>
      <c r="T206" s="505">
        <f t="shared" si="107"/>
        <v>0</v>
      </c>
      <c r="U206" s="29">
        <v>200000</v>
      </c>
      <c r="V206" s="29"/>
      <c r="W206" s="29"/>
      <c r="X206" s="29"/>
      <c r="Y206" s="29"/>
      <c r="Z206" s="29"/>
      <c r="AA206" s="29"/>
      <c r="AB206" s="31"/>
      <c r="AC206" s="465"/>
      <c r="AD206" s="31"/>
      <c r="AE206" s="513"/>
      <c r="AF206" s="513"/>
      <c r="AG206" s="440"/>
      <c r="AH206" s="440">
        <v>528460</v>
      </c>
      <c r="AI206" s="440"/>
    </row>
    <row r="207" spans="1:35" s="5" customFormat="1" x14ac:dyDescent="0.2">
      <c r="A207" s="33"/>
      <c r="B207" s="57"/>
      <c r="C207" s="58" t="s">
        <v>43</v>
      </c>
      <c r="D207" s="505">
        <v>160000</v>
      </c>
      <c r="E207" s="511">
        <v>180000</v>
      </c>
      <c r="F207" s="506"/>
      <c r="G207" s="506">
        <v>109000</v>
      </c>
      <c r="H207" s="511"/>
      <c r="I207" s="511">
        <f t="shared" si="123"/>
        <v>109000</v>
      </c>
      <c r="J207" s="511">
        <f t="shared" si="93"/>
        <v>71000</v>
      </c>
      <c r="K207" s="29">
        <v>230000</v>
      </c>
      <c r="L207" s="30"/>
      <c r="M207" s="611">
        <v>400000</v>
      </c>
      <c r="N207" s="29"/>
      <c r="O207" s="505"/>
      <c r="P207" s="514"/>
      <c r="Q207" s="505">
        <f t="shared" si="124"/>
        <v>0</v>
      </c>
      <c r="R207" s="505"/>
      <c r="S207" s="505"/>
      <c r="T207" s="505">
        <f t="shared" si="107"/>
        <v>0</v>
      </c>
      <c r="U207" s="29">
        <v>500000</v>
      </c>
      <c r="V207" s="29"/>
      <c r="W207" s="29"/>
      <c r="X207" s="29"/>
      <c r="Y207" s="29"/>
      <c r="Z207" s="29"/>
      <c r="AA207" s="29"/>
      <c r="AB207" s="31"/>
      <c r="AC207" s="465"/>
      <c r="AD207" s="32"/>
      <c r="AE207" s="507"/>
      <c r="AF207" s="508"/>
      <c r="AG207" s="440"/>
      <c r="AH207" s="440">
        <v>119490</v>
      </c>
      <c r="AI207" s="440"/>
    </row>
    <row r="208" spans="1:35" s="5" customFormat="1" x14ac:dyDescent="0.2">
      <c r="A208" s="33"/>
      <c r="B208" s="57"/>
      <c r="C208" s="58" t="s">
        <v>50</v>
      </c>
      <c r="D208" s="505">
        <v>230000</v>
      </c>
      <c r="E208" s="511">
        <v>500000</v>
      </c>
      <c r="F208" s="506"/>
      <c r="G208" s="506">
        <v>156000</v>
      </c>
      <c r="H208" s="511"/>
      <c r="I208" s="511">
        <f t="shared" si="123"/>
        <v>156000</v>
      </c>
      <c r="J208" s="511">
        <f t="shared" si="93"/>
        <v>344000</v>
      </c>
      <c r="K208" s="29">
        <v>150000</v>
      </c>
      <c r="L208" s="30"/>
      <c r="M208" s="611">
        <v>250000</v>
      </c>
      <c r="N208" s="29"/>
      <c r="O208" s="505"/>
      <c r="P208" s="514"/>
      <c r="Q208" s="505">
        <f t="shared" si="124"/>
        <v>0</v>
      </c>
      <c r="R208" s="505"/>
      <c r="S208" s="505"/>
      <c r="T208" s="505">
        <f t="shared" si="107"/>
        <v>0</v>
      </c>
      <c r="U208" s="29">
        <v>300000</v>
      </c>
      <c r="V208" s="29"/>
      <c r="W208" s="29"/>
      <c r="X208" s="29"/>
      <c r="Y208" s="29"/>
      <c r="Z208" s="29"/>
      <c r="AA208" s="29"/>
      <c r="AB208" s="31"/>
      <c r="AC208" s="465"/>
      <c r="AD208" s="32"/>
      <c r="AE208" s="507"/>
      <c r="AF208" s="508"/>
      <c r="AG208" s="440"/>
      <c r="AH208" s="440">
        <v>191100</v>
      </c>
      <c r="AI208" s="440"/>
    </row>
    <row r="209" spans="1:35" s="5" customFormat="1" x14ac:dyDescent="0.2">
      <c r="A209" s="33"/>
      <c r="B209" s="57"/>
      <c r="C209" s="58" t="s">
        <v>62</v>
      </c>
      <c r="D209" s="505">
        <v>150000</v>
      </c>
      <c r="E209" s="511">
        <v>400000</v>
      </c>
      <c r="F209" s="506"/>
      <c r="G209" s="506">
        <v>101700</v>
      </c>
      <c r="H209" s="511"/>
      <c r="I209" s="511">
        <f t="shared" si="123"/>
        <v>101700</v>
      </c>
      <c r="J209" s="511">
        <f t="shared" si="93"/>
        <v>298300</v>
      </c>
      <c r="K209" s="29">
        <v>2590000</v>
      </c>
      <c r="L209" s="30"/>
      <c r="M209" s="611">
        <v>4568000</v>
      </c>
      <c r="N209" s="29"/>
      <c r="O209" s="505"/>
      <c r="P209" s="514"/>
      <c r="Q209" s="505">
        <f t="shared" si="124"/>
        <v>0</v>
      </c>
      <c r="R209" s="505"/>
      <c r="S209" s="505"/>
      <c r="T209" s="505">
        <f t="shared" si="107"/>
        <v>0</v>
      </c>
      <c r="U209" s="29">
        <v>4088000</v>
      </c>
      <c r="V209" s="29"/>
      <c r="W209" s="29"/>
      <c r="X209" s="29"/>
      <c r="Y209" s="29"/>
      <c r="Z209" s="29"/>
      <c r="AA209" s="29"/>
      <c r="AB209" s="31"/>
      <c r="AC209" s="465"/>
      <c r="AD209" s="32"/>
      <c r="AE209" s="507"/>
      <c r="AF209" s="508"/>
      <c r="AG209" s="440"/>
      <c r="AH209" s="440">
        <v>191240</v>
      </c>
      <c r="AI209" s="440"/>
    </row>
    <row r="210" spans="1:35" s="112" customFormat="1" x14ac:dyDescent="0.2">
      <c r="A210" s="33"/>
      <c r="B210" s="57"/>
      <c r="C210" s="58" t="s">
        <v>81</v>
      </c>
      <c r="D210" s="505">
        <f>2590000+1750800</f>
        <v>4340800</v>
      </c>
      <c r="E210" s="511">
        <v>4088000</v>
      </c>
      <c r="F210" s="506"/>
      <c r="G210" s="506">
        <v>2944000</v>
      </c>
      <c r="H210" s="511"/>
      <c r="I210" s="511">
        <f t="shared" si="123"/>
        <v>2944000</v>
      </c>
      <c r="J210" s="511">
        <f t="shared" si="93"/>
        <v>1144000</v>
      </c>
      <c r="K210" s="52">
        <f>SUM(K211:K213)</f>
        <v>1438300</v>
      </c>
      <c r="L210" s="53">
        <v>1382000</v>
      </c>
      <c r="M210" s="613">
        <f>SUM(M211:M213)</f>
        <v>1902200</v>
      </c>
      <c r="N210" s="52">
        <v>1162200</v>
      </c>
      <c r="O210" s="505"/>
      <c r="P210" s="514"/>
      <c r="Q210" s="505">
        <f t="shared" si="124"/>
        <v>0</v>
      </c>
      <c r="R210" s="505"/>
      <c r="S210" s="505"/>
      <c r="T210" s="529">
        <f t="shared" si="107"/>
        <v>-933250</v>
      </c>
      <c r="U210" s="529">
        <f>SUM(U211:U213)</f>
        <v>2040400</v>
      </c>
      <c r="V210" s="529">
        <f t="shared" ref="S210:AF211" si="125">SUM(V211:V213)</f>
        <v>0</v>
      </c>
      <c r="W210" s="529">
        <f t="shared" si="125"/>
        <v>0</v>
      </c>
      <c r="X210" s="529">
        <f t="shared" si="125"/>
        <v>0</v>
      </c>
      <c r="Y210" s="529">
        <f t="shared" si="125"/>
        <v>0</v>
      </c>
      <c r="Z210" s="529">
        <f t="shared" si="125"/>
        <v>0</v>
      </c>
      <c r="AA210" s="529">
        <f t="shared" si="125"/>
        <v>0</v>
      </c>
      <c r="AB210" s="529">
        <f t="shared" si="125"/>
        <v>0</v>
      </c>
      <c r="AC210" s="529">
        <f t="shared" si="125"/>
        <v>0</v>
      </c>
      <c r="AD210" s="529">
        <f t="shared" si="125"/>
        <v>0</v>
      </c>
      <c r="AE210" s="529">
        <f t="shared" si="125"/>
        <v>0</v>
      </c>
      <c r="AF210" s="529">
        <f t="shared" si="125"/>
        <v>0</v>
      </c>
      <c r="AG210" s="440"/>
      <c r="AH210" s="440">
        <v>2589430</v>
      </c>
      <c r="AI210" s="564"/>
    </row>
    <row r="211" spans="1:35" s="5" customFormat="1" x14ac:dyDescent="0.2">
      <c r="A211" s="33"/>
      <c r="B211" s="34" t="s">
        <v>82</v>
      </c>
      <c r="C211" s="35"/>
      <c r="D211" s="529">
        <f>SUM(D212:D214)</f>
        <v>1382000</v>
      </c>
      <c r="E211" s="531">
        <f>SUM(E212:E214)</f>
        <v>2020400</v>
      </c>
      <c r="F211" s="532">
        <v>2020400</v>
      </c>
      <c r="G211" s="532">
        <f>SUM(G212:G214)</f>
        <v>2020400</v>
      </c>
      <c r="H211" s="531">
        <f t="shared" ref="H211" si="126">SUM(H212:H214)</f>
        <v>0</v>
      </c>
      <c r="I211" s="531">
        <f t="shared" si="123"/>
        <v>2020400</v>
      </c>
      <c r="J211" s="531">
        <f t="shared" si="93"/>
        <v>0</v>
      </c>
      <c r="K211" s="29">
        <v>20000</v>
      </c>
      <c r="L211" s="30"/>
      <c r="M211" s="611">
        <v>50000</v>
      </c>
      <c r="N211" s="29"/>
      <c r="O211" s="529">
        <v>1162200</v>
      </c>
      <c r="P211" s="530"/>
      <c r="Q211" s="529">
        <f t="shared" si="124"/>
        <v>1162200</v>
      </c>
      <c r="R211" s="529">
        <v>2095450</v>
      </c>
      <c r="S211" s="529">
        <f t="shared" si="125"/>
        <v>0</v>
      </c>
      <c r="T211" s="505">
        <f t="shared" si="107"/>
        <v>0</v>
      </c>
      <c r="U211" s="29">
        <v>50000</v>
      </c>
      <c r="V211" s="29"/>
      <c r="W211" s="29"/>
      <c r="X211" s="29"/>
      <c r="Y211" s="29"/>
      <c r="Z211" s="29"/>
      <c r="AA211" s="29"/>
      <c r="AB211" s="31"/>
      <c r="AC211" s="465"/>
      <c r="AD211" s="32"/>
      <c r="AE211" s="507"/>
      <c r="AF211" s="508"/>
      <c r="AG211" s="440">
        <v>2020400</v>
      </c>
      <c r="AH211" s="440"/>
      <c r="AI211" s="608" t="s">
        <v>793</v>
      </c>
    </row>
    <row r="212" spans="1:35" s="5" customFormat="1" x14ac:dyDescent="0.2">
      <c r="A212" s="33"/>
      <c r="B212" s="57"/>
      <c r="C212" s="58" t="s">
        <v>52</v>
      </c>
      <c r="D212" s="505">
        <v>20000</v>
      </c>
      <c r="E212" s="511">
        <v>30000</v>
      </c>
      <c r="F212" s="506"/>
      <c r="G212" s="506">
        <v>20000</v>
      </c>
      <c r="H212" s="511"/>
      <c r="I212" s="511">
        <f t="shared" si="123"/>
        <v>20000</v>
      </c>
      <c r="J212" s="511">
        <f t="shared" ref="J212:J275" si="127">+E212-G212</f>
        <v>10000</v>
      </c>
      <c r="K212" s="29">
        <v>541900</v>
      </c>
      <c r="L212" s="30"/>
      <c r="M212" s="611">
        <v>1100000</v>
      </c>
      <c r="N212" s="29"/>
      <c r="O212" s="505"/>
      <c r="P212" s="514"/>
      <c r="Q212" s="505">
        <f t="shared" si="124"/>
        <v>0</v>
      </c>
      <c r="R212" s="505"/>
      <c r="S212" s="505"/>
      <c r="T212" s="505">
        <f t="shared" si="107"/>
        <v>0</v>
      </c>
      <c r="U212" s="29">
        <v>1100000</v>
      </c>
      <c r="V212" s="29"/>
      <c r="W212" s="29"/>
      <c r="X212" s="29"/>
      <c r="Y212" s="29"/>
      <c r="Z212" s="29"/>
      <c r="AA212" s="29"/>
      <c r="AB212" s="31"/>
      <c r="AC212" s="465"/>
      <c r="AD212" s="32"/>
      <c r="AE212" s="507"/>
      <c r="AF212" s="508"/>
      <c r="AG212" s="440">
        <f>+AG211-G211</f>
        <v>0</v>
      </c>
      <c r="AH212" s="440">
        <v>0</v>
      </c>
      <c r="AI212" s="608" t="s">
        <v>794</v>
      </c>
    </row>
    <row r="213" spans="1:35" s="5" customFormat="1" x14ac:dyDescent="0.2">
      <c r="A213" s="33"/>
      <c r="B213" s="57"/>
      <c r="C213" s="58" t="s">
        <v>50</v>
      </c>
      <c r="D213" s="505">
        <v>441900</v>
      </c>
      <c r="E213" s="511">
        <v>1100000</v>
      </c>
      <c r="F213" s="506"/>
      <c r="G213" s="506">
        <v>441900</v>
      </c>
      <c r="H213" s="511"/>
      <c r="I213" s="511">
        <f t="shared" si="123"/>
        <v>441900</v>
      </c>
      <c r="J213" s="511">
        <f t="shared" si="127"/>
        <v>658100</v>
      </c>
      <c r="K213" s="119">
        <v>876400</v>
      </c>
      <c r="L213" s="120"/>
      <c r="M213" s="614">
        <v>752200</v>
      </c>
      <c r="N213" s="119"/>
      <c r="O213" s="505"/>
      <c r="P213" s="514"/>
      <c r="Q213" s="505">
        <f t="shared" si="124"/>
        <v>0</v>
      </c>
      <c r="R213" s="505"/>
      <c r="S213" s="505"/>
      <c r="T213" s="615">
        <f t="shared" si="107"/>
        <v>0</v>
      </c>
      <c r="U213" s="119">
        <v>890400</v>
      </c>
      <c r="V213" s="119"/>
      <c r="W213" s="119"/>
      <c r="X213" s="119"/>
      <c r="Y213" s="119"/>
      <c r="Z213" s="119"/>
      <c r="AA213" s="119"/>
      <c r="AB213" s="121"/>
      <c r="AC213" s="616"/>
      <c r="AD213" s="122"/>
      <c r="AE213" s="617"/>
      <c r="AF213" s="618"/>
      <c r="AG213" s="440"/>
      <c r="AH213" s="440">
        <v>391900</v>
      </c>
    </row>
    <row r="214" spans="1:35" s="112" customFormat="1" x14ac:dyDescent="0.2">
      <c r="A214" s="33"/>
      <c r="B214" s="57"/>
      <c r="C214" s="58" t="s">
        <v>81</v>
      </c>
      <c r="D214" s="505">
        <f>700300+219800</f>
        <v>920100</v>
      </c>
      <c r="E214" s="511">
        <v>890400</v>
      </c>
      <c r="F214" s="506"/>
      <c r="G214" s="506">
        <f>1345200+213300</f>
        <v>1558500</v>
      </c>
      <c r="H214" s="511"/>
      <c r="I214" s="511">
        <f t="shared" si="123"/>
        <v>1558500</v>
      </c>
      <c r="J214" s="511">
        <f t="shared" si="127"/>
        <v>-668100</v>
      </c>
      <c r="K214" s="80">
        <f>SUM(K215:K220)</f>
        <v>141000</v>
      </c>
      <c r="L214" s="99">
        <v>650000</v>
      </c>
      <c r="M214" s="619">
        <f>SUM(M215:M220)</f>
        <v>2430500</v>
      </c>
      <c r="N214" s="80">
        <v>141000</v>
      </c>
      <c r="O214" s="615"/>
      <c r="P214" s="620"/>
      <c r="Q214" s="615">
        <f t="shared" si="124"/>
        <v>0</v>
      </c>
      <c r="R214" s="615"/>
      <c r="S214" s="615"/>
      <c r="T214" s="621">
        <f t="shared" si="107"/>
        <v>-513450</v>
      </c>
      <c r="U214" s="621">
        <f>SUM(U215:U220)</f>
        <v>2424300</v>
      </c>
      <c r="V214" s="621">
        <f t="shared" ref="S214:AF215" si="128">SUM(V215:V220)</f>
        <v>0</v>
      </c>
      <c r="W214" s="621">
        <f t="shared" si="128"/>
        <v>0</v>
      </c>
      <c r="X214" s="621">
        <f t="shared" si="128"/>
        <v>0</v>
      </c>
      <c r="Y214" s="621">
        <f t="shared" si="128"/>
        <v>0</v>
      </c>
      <c r="Z214" s="621">
        <f t="shared" si="128"/>
        <v>0</v>
      </c>
      <c r="AA214" s="621">
        <f t="shared" si="128"/>
        <v>0</v>
      </c>
      <c r="AB214" s="621">
        <f t="shared" si="128"/>
        <v>0</v>
      </c>
      <c r="AC214" s="621">
        <f t="shared" si="128"/>
        <v>0</v>
      </c>
      <c r="AD214" s="621">
        <f t="shared" si="128"/>
        <v>0</v>
      </c>
      <c r="AE214" s="621">
        <f t="shared" si="128"/>
        <v>0</v>
      </c>
      <c r="AF214" s="621">
        <f t="shared" si="128"/>
        <v>0</v>
      </c>
      <c r="AG214" s="564"/>
      <c r="AH214" s="440">
        <v>1703550</v>
      </c>
    </row>
    <row r="215" spans="1:35" s="112" customFormat="1" x14ac:dyDescent="0.2">
      <c r="A215" s="33"/>
      <c r="B215" s="34" t="s">
        <v>83</v>
      </c>
      <c r="C215" s="103"/>
      <c r="D215" s="529">
        <f>SUM(D216:D221)</f>
        <v>650000</v>
      </c>
      <c r="E215" s="531">
        <f>SUM(E216:E221)</f>
        <v>2565500</v>
      </c>
      <c r="F215" s="532">
        <v>650000</v>
      </c>
      <c r="G215" s="532">
        <f>SUM(G216:G221)</f>
        <v>650000</v>
      </c>
      <c r="H215" s="531">
        <f t="shared" ref="H215" si="129">SUM(H216:H221)</f>
        <v>0</v>
      </c>
      <c r="I215" s="531">
        <f t="shared" si="123"/>
        <v>650000</v>
      </c>
      <c r="J215" s="531">
        <f t="shared" si="127"/>
        <v>1915500</v>
      </c>
      <c r="K215" s="69" t="s">
        <v>17</v>
      </c>
      <c r="L215" s="70"/>
      <c r="M215" s="611">
        <v>10000</v>
      </c>
      <c r="N215" s="52"/>
      <c r="O215" s="621">
        <v>141000</v>
      </c>
      <c r="P215" s="622"/>
      <c r="Q215" s="621">
        <f t="shared" si="124"/>
        <v>141000</v>
      </c>
      <c r="R215" s="621">
        <v>654450</v>
      </c>
      <c r="S215" s="621">
        <f t="shared" si="128"/>
        <v>0</v>
      </c>
      <c r="T215" s="505">
        <f t="shared" si="107"/>
        <v>0</v>
      </c>
      <c r="U215" s="29">
        <v>20000</v>
      </c>
      <c r="V215" s="52"/>
      <c r="W215" s="52"/>
      <c r="X215" s="52"/>
      <c r="Y215" s="52"/>
      <c r="Z215" s="52"/>
      <c r="AA215" s="52"/>
      <c r="AB215" s="54"/>
      <c r="AC215" s="494"/>
      <c r="AD215" s="55"/>
      <c r="AE215" s="499"/>
      <c r="AF215" s="602"/>
      <c r="AG215" s="564">
        <v>650000</v>
      </c>
      <c r="AH215" s="440"/>
      <c r="AI215" s="608" t="s">
        <v>793</v>
      </c>
    </row>
    <row r="216" spans="1:35" s="112" customFormat="1" x14ac:dyDescent="0.2">
      <c r="A216" s="33"/>
      <c r="B216" s="57"/>
      <c r="C216" s="58" t="s">
        <v>49</v>
      </c>
      <c r="D216" s="505">
        <v>20000</v>
      </c>
      <c r="E216" s="511">
        <v>20000</v>
      </c>
      <c r="F216" s="506"/>
      <c r="G216" s="506">
        <v>20000</v>
      </c>
      <c r="H216" s="511"/>
      <c r="I216" s="511">
        <f t="shared" si="123"/>
        <v>20000</v>
      </c>
      <c r="J216" s="511">
        <f t="shared" si="127"/>
        <v>0</v>
      </c>
      <c r="K216" s="69" t="s">
        <v>17</v>
      </c>
      <c r="L216" s="70"/>
      <c r="M216" s="611">
        <v>6000</v>
      </c>
      <c r="N216" s="52"/>
      <c r="O216" s="505"/>
      <c r="P216" s="514"/>
      <c r="Q216" s="505">
        <f t="shared" si="124"/>
        <v>0</v>
      </c>
      <c r="R216" s="505"/>
      <c r="S216" s="505"/>
      <c r="T216" s="505">
        <f t="shared" si="107"/>
        <v>0</v>
      </c>
      <c r="U216" s="29">
        <v>6000</v>
      </c>
      <c r="V216" s="52"/>
      <c r="W216" s="52"/>
      <c r="X216" s="52"/>
      <c r="Y216" s="52"/>
      <c r="Z216" s="52"/>
      <c r="AA216" s="52"/>
      <c r="AB216" s="54"/>
      <c r="AC216" s="494"/>
      <c r="AD216" s="55"/>
      <c r="AE216" s="499"/>
      <c r="AF216" s="602"/>
      <c r="AG216" s="564"/>
      <c r="AH216" s="440"/>
    </row>
    <row r="217" spans="1:35" s="112" customFormat="1" x14ac:dyDescent="0.2">
      <c r="A217" s="33"/>
      <c r="B217" s="57"/>
      <c r="C217" s="58" t="s">
        <v>54</v>
      </c>
      <c r="D217" s="505">
        <v>6000</v>
      </c>
      <c r="E217" s="511">
        <v>0</v>
      </c>
      <c r="F217" s="506"/>
      <c r="G217" s="506">
        <v>6000</v>
      </c>
      <c r="H217" s="511"/>
      <c r="I217" s="511">
        <f t="shared" si="123"/>
        <v>6000</v>
      </c>
      <c r="J217" s="511">
        <f t="shared" si="127"/>
        <v>-6000</v>
      </c>
      <c r="K217" s="69" t="s">
        <v>17</v>
      </c>
      <c r="L217" s="70"/>
      <c r="M217" s="611">
        <v>20000</v>
      </c>
      <c r="N217" s="52"/>
      <c r="O217" s="505"/>
      <c r="P217" s="514"/>
      <c r="Q217" s="505">
        <f t="shared" si="124"/>
        <v>0</v>
      </c>
      <c r="R217" s="505"/>
      <c r="S217" s="505"/>
      <c r="T217" s="505">
        <f t="shared" si="107"/>
        <v>0</v>
      </c>
      <c r="U217" s="29">
        <v>172800</v>
      </c>
      <c r="V217" s="52"/>
      <c r="W217" s="52"/>
      <c r="X217" s="52"/>
      <c r="Y217" s="52"/>
      <c r="Z217" s="52"/>
      <c r="AA217" s="52"/>
      <c r="AB217" s="54"/>
      <c r="AC217" s="494"/>
      <c r="AD217" s="55"/>
      <c r="AE217" s="499"/>
      <c r="AF217" s="602"/>
      <c r="AG217" s="564"/>
      <c r="AH217" s="440"/>
    </row>
    <row r="218" spans="1:35" s="5" customFormat="1" x14ac:dyDescent="0.2">
      <c r="A218" s="33"/>
      <c r="B218" s="57"/>
      <c r="C218" s="58" t="s">
        <v>62</v>
      </c>
      <c r="D218" s="505">
        <v>172800</v>
      </c>
      <c r="E218" s="511">
        <v>220000</v>
      </c>
      <c r="F218" s="506"/>
      <c r="G218" s="506">
        <v>172800</v>
      </c>
      <c r="H218" s="511"/>
      <c r="I218" s="511">
        <f t="shared" si="123"/>
        <v>172800</v>
      </c>
      <c r="J218" s="511">
        <f t="shared" si="127"/>
        <v>47200</v>
      </c>
      <c r="K218" s="29">
        <v>50000</v>
      </c>
      <c r="L218" s="30"/>
      <c r="M218" s="611">
        <v>100000</v>
      </c>
      <c r="N218" s="29"/>
      <c r="O218" s="505"/>
      <c r="P218" s="514"/>
      <c r="Q218" s="505">
        <f t="shared" si="124"/>
        <v>0</v>
      </c>
      <c r="R218" s="505"/>
      <c r="S218" s="505"/>
      <c r="T218" s="505">
        <f t="shared" si="107"/>
        <v>0</v>
      </c>
      <c r="U218" s="29">
        <v>50000</v>
      </c>
      <c r="V218" s="29"/>
      <c r="W218" s="29"/>
      <c r="X218" s="29"/>
      <c r="Y218" s="29"/>
      <c r="Z218" s="29"/>
      <c r="AA218" s="29"/>
      <c r="AB218" s="31"/>
      <c r="AC218" s="465"/>
      <c r="AD218" s="32"/>
      <c r="AE218" s="507"/>
      <c r="AF218" s="508"/>
      <c r="AG218" s="440"/>
      <c r="AH218" s="440"/>
    </row>
    <row r="219" spans="1:35" s="5" customFormat="1" x14ac:dyDescent="0.2">
      <c r="A219" s="33"/>
      <c r="B219" s="57"/>
      <c r="C219" s="58" t="s">
        <v>80</v>
      </c>
      <c r="D219" s="505">
        <v>50000</v>
      </c>
      <c r="E219" s="511">
        <v>50000</v>
      </c>
      <c r="F219" s="506"/>
      <c r="G219" s="506">
        <v>50000</v>
      </c>
      <c r="H219" s="511"/>
      <c r="I219" s="511">
        <f t="shared" si="123"/>
        <v>50000</v>
      </c>
      <c r="J219" s="511">
        <f t="shared" si="127"/>
        <v>0</v>
      </c>
      <c r="K219" s="29">
        <v>10000</v>
      </c>
      <c r="L219" s="30"/>
      <c r="M219" s="611">
        <v>500000</v>
      </c>
      <c r="N219" s="29"/>
      <c r="O219" s="505"/>
      <c r="P219" s="514"/>
      <c r="Q219" s="505">
        <f t="shared" si="124"/>
        <v>0</v>
      </c>
      <c r="R219" s="505"/>
      <c r="S219" s="505"/>
      <c r="T219" s="505">
        <f t="shared" si="107"/>
        <v>0</v>
      </c>
      <c r="U219" s="29">
        <v>200000</v>
      </c>
      <c r="V219" s="29"/>
      <c r="W219" s="29"/>
      <c r="X219" s="29"/>
      <c r="Y219" s="29"/>
      <c r="Z219" s="29"/>
      <c r="AA219" s="29"/>
      <c r="AB219" s="31"/>
      <c r="AC219" s="465"/>
      <c r="AD219" s="32"/>
      <c r="AE219" s="507"/>
      <c r="AF219" s="508"/>
      <c r="AG219" s="440"/>
      <c r="AH219" s="440"/>
    </row>
    <row r="220" spans="1:35" s="5" customFormat="1" x14ac:dyDescent="0.2">
      <c r="A220" s="33"/>
      <c r="B220" s="57"/>
      <c r="C220" s="58" t="s">
        <v>42</v>
      </c>
      <c r="D220" s="505">
        <v>100000</v>
      </c>
      <c r="E220" s="511">
        <v>300000</v>
      </c>
      <c r="F220" s="506"/>
      <c r="G220" s="506">
        <v>100000</v>
      </c>
      <c r="H220" s="511"/>
      <c r="I220" s="511">
        <f t="shared" si="123"/>
        <v>100000</v>
      </c>
      <c r="J220" s="511">
        <f t="shared" si="127"/>
        <v>200000</v>
      </c>
      <c r="K220" s="29">
        <v>81000</v>
      </c>
      <c r="L220" s="30"/>
      <c r="M220" s="611">
        <v>1794500</v>
      </c>
      <c r="N220" s="29"/>
      <c r="O220" s="505"/>
      <c r="P220" s="514"/>
      <c r="Q220" s="505">
        <f t="shared" si="124"/>
        <v>0</v>
      </c>
      <c r="R220" s="505"/>
      <c r="S220" s="505"/>
      <c r="T220" s="505">
        <f t="shared" si="107"/>
        <v>0</v>
      </c>
      <c r="U220" s="29">
        <v>1975500</v>
      </c>
      <c r="V220" s="29"/>
      <c r="W220" s="29"/>
      <c r="X220" s="29"/>
      <c r="Y220" s="29"/>
      <c r="Z220" s="29"/>
      <c r="AA220" s="29"/>
      <c r="AB220" s="31"/>
      <c r="AC220" s="465"/>
      <c r="AD220" s="32"/>
      <c r="AE220" s="507"/>
      <c r="AF220" s="508"/>
      <c r="AG220" s="440"/>
      <c r="AH220" s="440"/>
    </row>
    <row r="221" spans="1:35" s="5" customFormat="1" x14ac:dyDescent="0.2">
      <c r="A221" s="101"/>
      <c r="B221" s="117"/>
      <c r="C221" s="118" t="s">
        <v>81</v>
      </c>
      <c r="D221" s="615">
        <v>301200</v>
      </c>
      <c r="E221" s="623">
        <v>1975500</v>
      </c>
      <c r="F221" s="624"/>
      <c r="G221" s="624">
        <v>301200</v>
      </c>
      <c r="H221" s="623"/>
      <c r="I221" s="623">
        <f t="shared" si="123"/>
        <v>301200</v>
      </c>
      <c r="J221" s="623">
        <f t="shared" si="127"/>
        <v>1674300</v>
      </c>
      <c r="K221" s="29"/>
      <c r="L221" s="30"/>
      <c r="M221" s="611"/>
      <c r="N221" s="29"/>
      <c r="O221" s="505"/>
      <c r="P221" s="514"/>
      <c r="Q221" s="505">
        <f t="shared" si="124"/>
        <v>0</v>
      </c>
      <c r="R221" s="505"/>
      <c r="S221" s="505"/>
      <c r="T221" s="529">
        <f t="shared" si="107"/>
        <v>0</v>
      </c>
      <c r="U221" s="67">
        <f>SUM(U224:U226)</f>
        <v>300000</v>
      </c>
      <c r="V221" s="52">
        <f>SUM(U221*105/100)</f>
        <v>315000</v>
      </c>
      <c r="W221" s="52">
        <v>771800</v>
      </c>
      <c r="X221" s="52">
        <v>810400</v>
      </c>
      <c r="Y221" s="52">
        <f>SUM(X221*5)</f>
        <v>4052000</v>
      </c>
      <c r="Z221" s="52">
        <f>SUM(X221*5)</f>
        <v>4052000</v>
      </c>
      <c r="AA221" s="52">
        <f>SUM(X221*3)</f>
        <v>2431200</v>
      </c>
      <c r="AB221" s="54">
        <v>700000</v>
      </c>
      <c r="AC221" s="494">
        <v>0</v>
      </c>
      <c r="AD221" s="55">
        <v>700000</v>
      </c>
      <c r="AE221" s="499">
        <v>700000</v>
      </c>
      <c r="AF221" s="602"/>
      <c r="AG221" s="440"/>
      <c r="AH221" s="440"/>
    </row>
    <row r="222" spans="1:35" s="5" customFormat="1" x14ac:dyDescent="0.2">
      <c r="A222" s="276"/>
      <c r="B222" s="277" t="s">
        <v>152</v>
      </c>
      <c r="C222" s="278"/>
      <c r="D222" s="625">
        <f>SUM(D223:D227)</f>
        <v>700000</v>
      </c>
      <c r="E222" s="626">
        <f>SUM(E223:E227)</f>
        <v>780000</v>
      </c>
      <c r="F222" s="627">
        <v>700000</v>
      </c>
      <c r="G222" s="627">
        <f>SUM(G223:G227)</f>
        <v>700000</v>
      </c>
      <c r="H222" s="626">
        <f t="shared" ref="H222" si="130">SUM(H223:H227)</f>
        <v>0</v>
      </c>
      <c r="I222" s="626">
        <f t="shared" si="123"/>
        <v>700000</v>
      </c>
      <c r="J222" s="626">
        <f t="shared" si="127"/>
        <v>80000</v>
      </c>
      <c r="K222" s="29"/>
      <c r="L222" s="30"/>
      <c r="M222" s="611"/>
      <c r="N222" s="29"/>
      <c r="O222" s="529"/>
      <c r="P222" s="530"/>
      <c r="Q222" s="529">
        <f t="shared" si="124"/>
        <v>0</v>
      </c>
      <c r="R222" s="529"/>
      <c r="S222" s="529"/>
      <c r="T222" s="529"/>
      <c r="U222" s="67"/>
      <c r="V222" s="52"/>
      <c r="W222" s="52"/>
      <c r="X222" s="52"/>
      <c r="Y222" s="52"/>
      <c r="Z222" s="52"/>
      <c r="AA222" s="52"/>
      <c r="AB222" s="54"/>
      <c r="AC222" s="494"/>
      <c r="AD222" s="55"/>
      <c r="AE222" s="499"/>
      <c r="AF222" s="602"/>
      <c r="AG222" s="628">
        <v>700000</v>
      </c>
      <c r="AH222" s="440"/>
    </row>
    <row r="223" spans="1:35" s="5" customFormat="1" x14ac:dyDescent="0.2">
      <c r="A223" s="33"/>
      <c r="B223" s="34"/>
      <c r="C223" s="58" t="s">
        <v>49</v>
      </c>
      <c r="D223" s="529"/>
      <c r="E223" s="511">
        <v>30000</v>
      </c>
      <c r="F223" s="506"/>
      <c r="G223" s="506">
        <v>30000</v>
      </c>
      <c r="H223" s="511"/>
      <c r="I223" s="511">
        <f t="shared" si="123"/>
        <v>30000</v>
      </c>
      <c r="J223" s="511">
        <f t="shared" si="127"/>
        <v>0</v>
      </c>
      <c r="K223" s="29"/>
      <c r="L223" s="30"/>
      <c r="M223" s="611"/>
      <c r="N223" s="29"/>
      <c r="O223" s="529"/>
      <c r="P223" s="530"/>
      <c r="Q223" s="529">
        <f t="shared" si="124"/>
        <v>0</v>
      </c>
      <c r="R223" s="529"/>
      <c r="S223" s="529"/>
      <c r="T223" s="529"/>
      <c r="U223" s="67"/>
      <c r="V223" s="52"/>
      <c r="W223" s="52"/>
      <c r="X223" s="52"/>
      <c r="Y223" s="52"/>
      <c r="Z223" s="52"/>
      <c r="AA223" s="52"/>
      <c r="AB223" s="54"/>
      <c r="AC223" s="494"/>
      <c r="AD223" s="55"/>
      <c r="AE223" s="499"/>
      <c r="AF223" s="602"/>
      <c r="AG223" s="440">
        <f>+AG222-G222</f>
        <v>0</v>
      </c>
      <c r="AH223" s="629"/>
    </row>
    <row r="224" spans="1:35" s="5" customFormat="1" x14ac:dyDescent="0.2">
      <c r="A224" s="33"/>
      <c r="B224" s="34"/>
      <c r="C224" s="58" t="s">
        <v>80</v>
      </c>
      <c r="D224" s="529"/>
      <c r="E224" s="511">
        <v>50000</v>
      </c>
      <c r="F224" s="506"/>
      <c r="G224" s="506">
        <v>30000</v>
      </c>
      <c r="H224" s="511"/>
      <c r="I224" s="511">
        <f t="shared" si="123"/>
        <v>30000</v>
      </c>
      <c r="J224" s="511">
        <f t="shared" si="127"/>
        <v>20000</v>
      </c>
      <c r="K224" s="29"/>
      <c r="L224" s="30"/>
      <c r="M224" s="611"/>
      <c r="N224" s="29"/>
      <c r="O224" s="529"/>
      <c r="P224" s="530"/>
      <c r="Q224" s="529">
        <f t="shared" si="124"/>
        <v>0</v>
      </c>
      <c r="R224" s="529"/>
      <c r="S224" s="529"/>
      <c r="T224" s="505">
        <f>Q225-R225-S225</f>
        <v>0</v>
      </c>
      <c r="U224" s="29">
        <v>100000</v>
      </c>
      <c r="V224" s="29"/>
      <c r="W224" s="29"/>
      <c r="X224" s="29"/>
      <c r="Y224" s="29"/>
      <c r="Z224" s="29"/>
      <c r="AA224" s="29"/>
      <c r="AB224" s="31"/>
      <c r="AC224" s="465"/>
      <c r="AD224" s="32"/>
      <c r="AE224" s="507"/>
      <c r="AF224" s="508"/>
      <c r="AG224" s="440"/>
      <c r="AH224" s="440"/>
    </row>
    <row r="225" spans="1:35" s="5" customFormat="1" x14ac:dyDescent="0.2">
      <c r="A225" s="33"/>
      <c r="B225" s="57"/>
      <c r="C225" s="58" t="s">
        <v>51</v>
      </c>
      <c r="D225" s="505">
        <v>100000</v>
      </c>
      <c r="E225" s="511">
        <v>100000</v>
      </c>
      <c r="F225" s="506"/>
      <c r="G225" s="506">
        <v>30000</v>
      </c>
      <c r="H225" s="511"/>
      <c r="I225" s="511">
        <f t="shared" si="123"/>
        <v>30000</v>
      </c>
      <c r="J225" s="511">
        <f t="shared" si="127"/>
        <v>70000</v>
      </c>
      <c r="K225" s="29"/>
      <c r="L225" s="30"/>
      <c r="M225" s="611"/>
      <c r="N225" s="29"/>
      <c r="O225" s="505"/>
      <c r="P225" s="514"/>
      <c r="Q225" s="505">
        <f t="shared" si="124"/>
        <v>0</v>
      </c>
      <c r="R225" s="505"/>
      <c r="S225" s="505"/>
      <c r="T225" s="505"/>
      <c r="U225" s="29"/>
      <c r="V225" s="29"/>
      <c r="W225" s="29"/>
      <c r="X225" s="29"/>
      <c r="Y225" s="29"/>
      <c r="Z225" s="29"/>
      <c r="AA225" s="29"/>
      <c r="AB225" s="31"/>
      <c r="AC225" s="465"/>
      <c r="AD225" s="32"/>
      <c r="AE225" s="507"/>
      <c r="AF225" s="508"/>
      <c r="AG225" s="440"/>
      <c r="AH225" s="440">
        <v>0</v>
      </c>
    </row>
    <row r="226" spans="1:35" s="5" customFormat="1" x14ac:dyDescent="0.2">
      <c r="A226" s="33"/>
      <c r="B226" s="57"/>
      <c r="C226" s="58" t="s">
        <v>50</v>
      </c>
      <c r="D226" s="505"/>
      <c r="E226" s="511">
        <v>400000</v>
      </c>
      <c r="F226" s="506"/>
      <c r="G226" s="506">
        <v>30000</v>
      </c>
      <c r="H226" s="511"/>
      <c r="I226" s="511">
        <f t="shared" si="123"/>
        <v>30000</v>
      </c>
      <c r="J226" s="511">
        <f t="shared" si="127"/>
        <v>370000</v>
      </c>
      <c r="K226" s="29"/>
      <c r="L226" s="30"/>
      <c r="M226" s="611"/>
      <c r="N226" s="29"/>
      <c r="O226" s="505"/>
      <c r="P226" s="514"/>
      <c r="Q226" s="505">
        <f t="shared" si="124"/>
        <v>0</v>
      </c>
      <c r="R226" s="505"/>
      <c r="S226" s="505"/>
      <c r="T226" s="505">
        <f t="shared" ref="T226:T267" si="131">Q227-R227-S227</f>
        <v>0</v>
      </c>
      <c r="U226" s="29">
        <v>200000</v>
      </c>
      <c r="V226" s="29"/>
      <c r="W226" s="29"/>
      <c r="X226" s="29"/>
      <c r="Y226" s="29"/>
      <c r="Z226" s="29"/>
      <c r="AA226" s="29"/>
      <c r="AB226" s="31"/>
      <c r="AC226" s="465"/>
      <c r="AD226" s="32"/>
      <c r="AE226" s="507"/>
      <c r="AF226" s="508"/>
      <c r="AG226" s="440"/>
      <c r="AH226" s="440"/>
    </row>
    <row r="227" spans="1:35" s="112" customFormat="1" x14ac:dyDescent="0.2">
      <c r="A227" s="33"/>
      <c r="B227" s="57"/>
      <c r="C227" s="58" t="s">
        <v>81</v>
      </c>
      <c r="D227" s="505">
        <v>600000</v>
      </c>
      <c r="E227" s="511">
        <v>200000</v>
      </c>
      <c r="F227" s="506"/>
      <c r="G227" s="506">
        <v>580000</v>
      </c>
      <c r="H227" s="511"/>
      <c r="I227" s="511">
        <f t="shared" si="123"/>
        <v>580000</v>
      </c>
      <c r="J227" s="511">
        <f t="shared" si="127"/>
        <v>-380000</v>
      </c>
      <c r="K227" s="52">
        <v>3050400</v>
      </c>
      <c r="L227" s="53">
        <v>2301593.33</v>
      </c>
      <c r="M227" s="613">
        <v>3050400</v>
      </c>
      <c r="N227" s="52">
        <v>3050400</v>
      </c>
      <c r="O227" s="505"/>
      <c r="P227" s="514"/>
      <c r="Q227" s="505">
        <f t="shared" si="124"/>
        <v>0</v>
      </c>
      <c r="R227" s="505"/>
      <c r="S227" s="505"/>
      <c r="T227" s="529">
        <f t="shared" si="131"/>
        <v>1406293.34</v>
      </c>
      <c r="U227" s="52">
        <v>3050400</v>
      </c>
      <c r="V227" s="52">
        <v>3050400</v>
      </c>
      <c r="W227" s="52">
        <v>3050400</v>
      </c>
      <c r="X227" s="52">
        <v>3050400</v>
      </c>
      <c r="Y227" s="52">
        <f>SUM(X227*5)</f>
        <v>15252000</v>
      </c>
      <c r="Z227" s="52">
        <f>SUM(X227*5)</f>
        <v>15252000</v>
      </c>
      <c r="AA227" s="52">
        <f>SUM(X227*3)</f>
        <v>9151200</v>
      </c>
      <c r="AB227" s="54">
        <v>3050400</v>
      </c>
      <c r="AC227" s="494">
        <v>0</v>
      </c>
      <c r="AD227" s="55">
        <v>3050400</v>
      </c>
      <c r="AE227" s="499">
        <v>3050400</v>
      </c>
      <c r="AF227" s="602"/>
      <c r="AG227" s="564"/>
      <c r="AH227" s="440">
        <v>112900</v>
      </c>
    </row>
    <row r="228" spans="1:35" s="4" customFormat="1" ht="29.45" customHeight="1" x14ac:dyDescent="0.2">
      <c r="A228" s="33"/>
      <c r="B228" s="34" t="s">
        <v>334</v>
      </c>
      <c r="C228" s="35"/>
      <c r="D228" s="529">
        <v>3050400</v>
      </c>
      <c r="E228" s="531">
        <v>3050400</v>
      </c>
      <c r="F228" s="532">
        <v>3050400</v>
      </c>
      <c r="G228" s="532">
        <v>3050400</v>
      </c>
      <c r="H228" s="531"/>
      <c r="I228" s="531">
        <f t="shared" si="123"/>
        <v>3050400</v>
      </c>
      <c r="J228" s="531">
        <f t="shared" si="127"/>
        <v>0</v>
      </c>
      <c r="K228" s="201" t="e">
        <f>SUM(K229,K243,K249,K263,K277,K291,K299,K313,K314,K315,K316,K318,K319,K332,K470,K474)</f>
        <v>#REF!</v>
      </c>
      <c r="L228" s="202">
        <f>SUM(L229,L243,L249,L263,L277,L291,L299,L314,L315,L316,L318,L319,L332,L470,L474)</f>
        <v>1134808070.28</v>
      </c>
      <c r="M228" s="630" t="e">
        <f>SUM(M229,M243,M249,M263,M277,M291,M299,M313,M314,M315,M316,M318,M319,M332)</f>
        <v>#REF!</v>
      </c>
      <c r="N228" s="201">
        <f>SUM(N229,N243,N249,N263,N277,N291,N299,N313,N314,N315,N316,N318,N319,N332)</f>
        <v>647028900</v>
      </c>
      <c r="O228" s="529">
        <v>3050400</v>
      </c>
      <c r="P228" s="530"/>
      <c r="Q228" s="529">
        <f t="shared" si="124"/>
        <v>3050400</v>
      </c>
      <c r="R228" s="529">
        <v>1644106.66</v>
      </c>
      <c r="S228" s="529"/>
      <c r="T228" s="610">
        <f t="shared" si="131"/>
        <v>-28224101.020000041</v>
      </c>
      <c r="U228" s="610">
        <f>+U229+U243+U249+U263+U277+U291+U299+U313+U314+U315+U316+U318+U319+U332</f>
        <v>11698051406600</v>
      </c>
      <c r="V228" s="610">
        <f t="shared" ref="V228:AF228" si="132">+V229+V243+V249+V263+V277+V291+V299+V313+V314+V315+V316+V318+V319+V332</f>
        <v>1755250677265</v>
      </c>
      <c r="W228" s="610">
        <f t="shared" si="132"/>
        <v>885152600</v>
      </c>
      <c r="X228" s="610">
        <f t="shared" si="132"/>
        <v>929408100</v>
      </c>
      <c r="Y228" s="610">
        <f t="shared" si="132"/>
        <v>4647040500</v>
      </c>
      <c r="Z228" s="610">
        <f t="shared" si="132"/>
        <v>4647040500</v>
      </c>
      <c r="AA228" s="610">
        <f t="shared" si="132"/>
        <v>2788224300</v>
      </c>
      <c r="AB228" s="610">
        <f t="shared" si="132"/>
        <v>687279100</v>
      </c>
      <c r="AC228" s="610">
        <f t="shared" si="132"/>
        <v>12252400</v>
      </c>
      <c r="AD228" s="610">
        <f t="shared" si="132"/>
        <v>675026700</v>
      </c>
      <c r="AE228" s="610">
        <f t="shared" si="132"/>
        <v>675026700</v>
      </c>
      <c r="AF228" s="610">
        <f t="shared" si="132"/>
        <v>0</v>
      </c>
      <c r="AG228" s="436"/>
      <c r="AH228" s="436"/>
    </row>
    <row r="229" spans="1:35" s="5" customFormat="1" x14ac:dyDescent="0.2">
      <c r="A229" s="198"/>
      <c r="B229" s="199" t="s">
        <v>84</v>
      </c>
      <c r="C229" s="200"/>
      <c r="D229" s="610">
        <f>+D230+D244+D250+D264+D278+D293+D300+D314+D315+D316+D317+D319+D320+D333</f>
        <v>411600100</v>
      </c>
      <c r="E229" s="631">
        <f>+E230+E244+E250+E264+E278+E293+E300+E314+E315+E316+E317+E319+E320+E333+E292</f>
        <v>551496200</v>
      </c>
      <c r="F229" s="610">
        <f>+F230+F244+F250+F264+F278+F293+F300+F314+F315+F316+F317+F319+F320+F333</f>
        <v>260914700</v>
      </c>
      <c r="G229" s="610">
        <f>+G230+G244+G250+G264+G278+G293+G300+G314+G315+G316+G317+G319+G320+G333</f>
        <v>260914700</v>
      </c>
      <c r="H229" s="631">
        <f t="shared" ref="H229" si="133">+H230+H244+H250+H264+H278+H293+H300+H314+H315+H316+H317+H319+H320+H333+H292</f>
        <v>0</v>
      </c>
      <c r="I229" s="631">
        <f t="shared" si="123"/>
        <v>260914700</v>
      </c>
      <c r="J229" s="631">
        <f t="shared" si="127"/>
        <v>290581500</v>
      </c>
      <c r="K229" s="52">
        <f>SUM(K230:K242)</f>
        <v>45438000</v>
      </c>
      <c r="L229" s="53">
        <v>40498865.979999997</v>
      </c>
      <c r="M229" s="613">
        <f>SUM(M230:M242)</f>
        <v>49945900</v>
      </c>
      <c r="N229" s="52">
        <v>44000000</v>
      </c>
      <c r="O229" s="610">
        <f>+O230+O244+O250+O264+O278+O292+O300+O314+O315+O316+O317+O319+O320+O333</f>
        <v>392861300</v>
      </c>
      <c r="P229" s="610">
        <f>+P230+P244+P250+P264+P278+P292+P300+P314+P315+P316+P317+P319+P320+P333</f>
        <v>5553514</v>
      </c>
      <c r="Q229" s="610">
        <f t="shared" si="124"/>
        <v>387307786</v>
      </c>
      <c r="R229" s="610">
        <f>+R230+R244+R250+R264+R278+R292+R300+R314+R315+R316+R317+R319+R320+R333</f>
        <v>415531887.02000004</v>
      </c>
      <c r="S229" s="610">
        <f>+S230+S244+S250+S264+S278+S292+S300+S314+S315+S316+S317+S319+S320+S333</f>
        <v>0</v>
      </c>
      <c r="T229" s="529">
        <f t="shared" si="131"/>
        <v>-1780561.1400000006</v>
      </c>
      <c r="U229" s="52">
        <f>SUM(U230:U242)</f>
        <v>47430000</v>
      </c>
      <c r="V229" s="52">
        <f>SUM(U229*105/100)</f>
        <v>49801500</v>
      </c>
      <c r="W229" s="52">
        <v>52291600</v>
      </c>
      <c r="X229" s="52">
        <v>54906200</v>
      </c>
      <c r="Y229" s="52">
        <f>SUM(X229*5)</f>
        <v>274531000</v>
      </c>
      <c r="Z229" s="52">
        <f>SUM(X229*5)</f>
        <v>274531000</v>
      </c>
      <c r="AA229" s="52">
        <f>SUM(X229*3)</f>
        <v>164718600</v>
      </c>
      <c r="AB229" s="54">
        <v>44000000</v>
      </c>
      <c r="AC229" s="494">
        <v>11000000</v>
      </c>
      <c r="AD229" s="55">
        <v>33000000</v>
      </c>
      <c r="AE229" s="499">
        <v>33000000</v>
      </c>
      <c r="AF229" s="602"/>
      <c r="AG229" s="440">
        <v>260914700</v>
      </c>
      <c r="AH229" s="440"/>
    </row>
    <row r="230" spans="1:35" s="5" customFormat="1" x14ac:dyDescent="0.2">
      <c r="A230" s="33"/>
      <c r="B230" s="34" t="s">
        <v>85</v>
      </c>
      <c r="C230" s="35"/>
      <c r="D230" s="529">
        <f>SUM(D231:D243)</f>
        <v>33000000</v>
      </c>
      <c r="E230" s="531">
        <f>SUM(E231:E243)</f>
        <v>46645000</v>
      </c>
      <c r="F230" s="532">
        <v>33000000</v>
      </c>
      <c r="G230" s="532">
        <f>SUM(G231:G243)</f>
        <v>33000000</v>
      </c>
      <c r="H230" s="531">
        <f t="shared" ref="H230" si="134">SUM(H231:H243)</f>
        <v>0</v>
      </c>
      <c r="I230" s="531">
        <f t="shared" si="123"/>
        <v>33000000</v>
      </c>
      <c r="J230" s="531">
        <f t="shared" si="127"/>
        <v>13645000</v>
      </c>
      <c r="K230" s="29">
        <v>180000</v>
      </c>
      <c r="L230" s="30"/>
      <c r="M230" s="611">
        <v>200000</v>
      </c>
      <c r="N230" s="29"/>
      <c r="O230" s="529">
        <v>44000000</v>
      </c>
      <c r="P230" s="530"/>
      <c r="Q230" s="529">
        <f t="shared" si="124"/>
        <v>44000000</v>
      </c>
      <c r="R230" s="529">
        <f>300000+45480561.14</f>
        <v>45780561.140000001</v>
      </c>
      <c r="S230" s="529"/>
      <c r="T230" s="505">
        <f t="shared" si="131"/>
        <v>0</v>
      </c>
      <c r="U230" s="29">
        <v>200000</v>
      </c>
      <c r="V230" s="29"/>
      <c r="W230" s="29"/>
      <c r="X230" s="29"/>
      <c r="Y230" s="29"/>
      <c r="Z230" s="29"/>
      <c r="AA230" s="29"/>
      <c r="AB230" s="31"/>
      <c r="AC230" s="465"/>
      <c r="AD230" s="32"/>
      <c r="AE230" s="507"/>
      <c r="AF230" s="508"/>
      <c r="AG230" s="440">
        <v>33000000</v>
      </c>
      <c r="AH230" s="440"/>
      <c r="AI230" s="608" t="s">
        <v>795</v>
      </c>
    </row>
    <row r="231" spans="1:35" s="5" customFormat="1" x14ac:dyDescent="0.2">
      <c r="A231" s="33"/>
      <c r="B231" s="57"/>
      <c r="C231" s="58" t="s">
        <v>52</v>
      </c>
      <c r="D231" s="505">
        <v>180000</v>
      </c>
      <c r="E231" s="511">
        <v>200000</v>
      </c>
      <c r="F231" s="506"/>
      <c r="G231" s="506">
        <v>180000</v>
      </c>
      <c r="H231" s="511"/>
      <c r="I231" s="511">
        <f t="shared" si="123"/>
        <v>180000</v>
      </c>
      <c r="J231" s="511">
        <f t="shared" si="127"/>
        <v>20000</v>
      </c>
      <c r="K231" s="29">
        <v>100000</v>
      </c>
      <c r="L231" s="30"/>
      <c r="M231" s="611">
        <v>200000</v>
      </c>
      <c r="N231" s="29"/>
      <c r="O231" s="505"/>
      <c r="P231" s="514"/>
      <c r="Q231" s="505">
        <f t="shared" si="124"/>
        <v>0</v>
      </c>
      <c r="R231" s="505"/>
      <c r="S231" s="505"/>
      <c r="T231" s="505">
        <f t="shared" si="131"/>
        <v>0</v>
      </c>
      <c r="U231" s="29">
        <v>150000</v>
      </c>
      <c r="V231" s="29"/>
      <c r="W231" s="29"/>
      <c r="X231" s="29"/>
      <c r="Y231" s="29"/>
      <c r="Z231" s="29"/>
      <c r="AA231" s="29"/>
      <c r="AB231" s="31"/>
      <c r="AC231" s="465"/>
      <c r="AD231" s="32"/>
      <c r="AE231" s="507"/>
      <c r="AF231" s="508"/>
      <c r="AG231" s="440"/>
      <c r="AH231" s="440"/>
    </row>
    <row r="232" spans="1:35" s="5" customFormat="1" x14ac:dyDescent="0.2">
      <c r="A232" s="33"/>
      <c r="B232" s="57"/>
      <c r="C232" s="58" t="s">
        <v>49</v>
      </c>
      <c r="D232" s="505">
        <v>100000</v>
      </c>
      <c r="E232" s="511">
        <v>150000</v>
      </c>
      <c r="F232" s="506"/>
      <c r="G232" s="506">
        <v>100000</v>
      </c>
      <c r="H232" s="511"/>
      <c r="I232" s="511">
        <f t="shared" si="123"/>
        <v>100000</v>
      </c>
      <c r="J232" s="511">
        <f t="shared" si="127"/>
        <v>50000</v>
      </c>
      <c r="K232" s="29">
        <v>100000</v>
      </c>
      <c r="L232" s="30"/>
      <c r="M232" s="611">
        <v>200000</v>
      </c>
      <c r="N232" s="29"/>
      <c r="O232" s="505"/>
      <c r="P232" s="514"/>
      <c r="Q232" s="505">
        <f t="shared" si="124"/>
        <v>0</v>
      </c>
      <c r="R232" s="505"/>
      <c r="S232" s="505"/>
      <c r="T232" s="505">
        <f t="shared" si="131"/>
        <v>0</v>
      </c>
      <c r="U232" s="29">
        <v>100000</v>
      </c>
      <c r="V232" s="29"/>
      <c r="W232" s="29"/>
      <c r="X232" s="29"/>
      <c r="Y232" s="29"/>
      <c r="Z232" s="29"/>
      <c r="AA232" s="29"/>
      <c r="AB232" s="31"/>
      <c r="AC232" s="465"/>
      <c r="AD232" s="32"/>
      <c r="AE232" s="507"/>
      <c r="AF232" s="508"/>
      <c r="AG232" s="440"/>
      <c r="AH232" s="440"/>
    </row>
    <row r="233" spans="1:35" s="5" customFormat="1" x14ac:dyDescent="0.2">
      <c r="A233" s="33"/>
      <c r="B233" s="57"/>
      <c r="C233" s="58" t="s">
        <v>54</v>
      </c>
      <c r="D233" s="505">
        <v>50000</v>
      </c>
      <c r="E233" s="511">
        <v>100000</v>
      </c>
      <c r="F233" s="506"/>
      <c r="G233" s="506">
        <v>50000</v>
      </c>
      <c r="H233" s="511"/>
      <c r="I233" s="511">
        <f t="shared" si="123"/>
        <v>50000</v>
      </c>
      <c r="J233" s="511">
        <f t="shared" si="127"/>
        <v>50000</v>
      </c>
      <c r="K233" s="29">
        <v>100000</v>
      </c>
      <c r="L233" s="30"/>
      <c r="M233" s="611">
        <v>160000</v>
      </c>
      <c r="N233" s="29"/>
      <c r="O233" s="505"/>
      <c r="P233" s="514"/>
      <c r="Q233" s="505">
        <f t="shared" si="124"/>
        <v>0</v>
      </c>
      <c r="R233" s="505"/>
      <c r="S233" s="505"/>
      <c r="T233" s="505">
        <f t="shared" si="131"/>
        <v>0</v>
      </c>
      <c r="U233" s="29">
        <v>110000</v>
      </c>
      <c r="V233" s="29"/>
      <c r="W233" s="29"/>
      <c r="X233" s="29"/>
      <c r="Y233" s="29"/>
      <c r="Z233" s="29"/>
      <c r="AA233" s="29"/>
      <c r="AB233" s="31"/>
      <c r="AC233" s="465"/>
      <c r="AD233" s="32"/>
      <c r="AE233" s="507"/>
      <c r="AF233" s="508"/>
      <c r="AG233" s="440"/>
      <c r="AH233" s="440"/>
    </row>
    <row r="234" spans="1:35" s="5" customFormat="1" x14ac:dyDescent="0.2">
      <c r="A234" s="33"/>
      <c r="B234" s="57"/>
      <c r="C234" s="58" t="s">
        <v>53</v>
      </c>
      <c r="D234" s="505">
        <v>50000</v>
      </c>
      <c r="E234" s="511">
        <v>110000</v>
      </c>
      <c r="F234" s="506"/>
      <c r="G234" s="506">
        <v>50000</v>
      </c>
      <c r="H234" s="511"/>
      <c r="I234" s="511">
        <f t="shared" si="123"/>
        <v>50000</v>
      </c>
      <c r="J234" s="511">
        <f t="shared" si="127"/>
        <v>60000</v>
      </c>
      <c r="K234" s="29">
        <v>300000</v>
      </c>
      <c r="L234" s="30"/>
      <c r="M234" s="611">
        <v>500000</v>
      </c>
      <c r="N234" s="29"/>
      <c r="O234" s="505"/>
      <c r="P234" s="514"/>
      <c r="Q234" s="505">
        <f t="shared" si="124"/>
        <v>0</v>
      </c>
      <c r="R234" s="505"/>
      <c r="S234" s="505"/>
      <c r="T234" s="505">
        <f t="shared" si="131"/>
        <v>0</v>
      </c>
      <c r="U234" s="29">
        <v>500000</v>
      </c>
      <c r="V234" s="29"/>
      <c r="W234" s="29"/>
      <c r="X234" s="29"/>
      <c r="Y234" s="29"/>
      <c r="Z234" s="29"/>
      <c r="AA234" s="29"/>
      <c r="AB234" s="31"/>
      <c r="AC234" s="465"/>
      <c r="AD234" s="32"/>
      <c r="AE234" s="507"/>
      <c r="AF234" s="508"/>
      <c r="AG234" s="440"/>
      <c r="AH234" s="440"/>
    </row>
    <row r="235" spans="1:35" s="5" customFormat="1" x14ac:dyDescent="0.2">
      <c r="A235" s="33"/>
      <c r="B235" s="57"/>
      <c r="C235" s="58" t="s">
        <v>80</v>
      </c>
      <c r="D235" s="505">
        <v>100000</v>
      </c>
      <c r="E235" s="511">
        <v>100000</v>
      </c>
      <c r="F235" s="506"/>
      <c r="G235" s="506">
        <v>100000</v>
      </c>
      <c r="H235" s="511"/>
      <c r="I235" s="511">
        <f t="shared" si="123"/>
        <v>100000</v>
      </c>
      <c r="J235" s="511">
        <f t="shared" si="127"/>
        <v>0</v>
      </c>
      <c r="K235" s="29">
        <v>100000</v>
      </c>
      <c r="L235" s="30"/>
      <c r="M235" s="611">
        <v>200000</v>
      </c>
      <c r="N235" s="29"/>
      <c r="O235" s="505"/>
      <c r="P235" s="514"/>
      <c r="Q235" s="505">
        <f t="shared" si="124"/>
        <v>0</v>
      </c>
      <c r="R235" s="505"/>
      <c r="S235" s="505"/>
      <c r="T235" s="505">
        <f t="shared" si="131"/>
        <v>0</v>
      </c>
      <c r="U235" s="29">
        <v>200000</v>
      </c>
      <c r="V235" s="29"/>
      <c r="W235" s="29"/>
      <c r="X235" s="29"/>
      <c r="Y235" s="29"/>
      <c r="Z235" s="29"/>
      <c r="AA235" s="29"/>
      <c r="AB235" s="31"/>
      <c r="AC235" s="465"/>
      <c r="AD235" s="32"/>
      <c r="AE235" s="507"/>
      <c r="AF235" s="508"/>
      <c r="AG235" s="440"/>
      <c r="AH235" s="440"/>
    </row>
    <row r="236" spans="1:35" s="5" customFormat="1" x14ac:dyDescent="0.2">
      <c r="A236" s="33"/>
      <c r="B236" s="57"/>
      <c r="C236" s="58" t="s">
        <v>63</v>
      </c>
      <c r="D236" s="505">
        <v>50000</v>
      </c>
      <c r="E236" s="511">
        <v>50000</v>
      </c>
      <c r="F236" s="506"/>
      <c r="G236" s="506">
        <v>50000</v>
      </c>
      <c r="H236" s="511"/>
      <c r="I236" s="511">
        <f t="shared" si="123"/>
        <v>50000</v>
      </c>
      <c r="J236" s="511">
        <f t="shared" si="127"/>
        <v>0</v>
      </c>
      <c r="K236" s="29">
        <v>100000</v>
      </c>
      <c r="L236" s="30"/>
      <c r="M236" s="611">
        <v>200000</v>
      </c>
      <c r="N236" s="29"/>
      <c r="O236" s="505"/>
      <c r="P236" s="514"/>
      <c r="Q236" s="505">
        <f t="shared" si="124"/>
        <v>0</v>
      </c>
      <c r="R236" s="505"/>
      <c r="S236" s="505"/>
      <c r="T236" s="505">
        <f t="shared" si="131"/>
        <v>0</v>
      </c>
      <c r="U236" s="29">
        <v>300000</v>
      </c>
      <c r="V236" s="29"/>
      <c r="W236" s="29"/>
      <c r="X236" s="29"/>
      <c r="Y236" s="29"/>
      <c r="Z236" s="29"/>
      <c r="AA236" s="29"/>
      <c r="AB236" s="31"/>
      <c r="AC236" s="465"/>
      <c r="AD236" s="32"/>
      <c r="AE236" s="507"/>
      <c r="AF236" s="508"/>
      <c r="AG236" s="440"/>
      <c r="AH236" s="440"/>
    </row>
    <row r="237" spans="1:35" s="5" customFormat="1" x14ac:dyDescent="0.2">
      <c r="A237" s="33"/>
      <c r="B237" s="57"/>
      <c r="C237" s="58" t="s">
        <v>61</v>
      </c>
      <c r="D237" s="505">
        <v>50000</v>
      </c>
      <c r="E237" s="511">
        <v>70000</v>
      </c>
      <c r="F237" s="506"/>
      <c r="G237" s="506">
        <v>50000</v>
      </c>
      <c r="H237" s="511"/>
      <c r="I237" s="511">
        <f t="shared" si="123"/>
        <v>50000</v>
      </c>
      <c r="J237" s="511">
        <f t="shared" si="127"/>
        <v>20000</v>
      </c>
      <c r="K237" s="29">
        <v>100000</v>
      </c>
      <c r="L237" s="30"/>
      <c r="M237" s="611">
        <v>350000</v>
      </c>
      <c r="N237" s="29"/>
      <c r="O237" s="505"/>
      <c r="P237" s="514"/>
      <c r="Q237" s="505">
        <f t="shared" si="124"/>
        <v>0</v>
      </c>
      <c r="R237" s="505"/>
      <c r="S237" s="505"/>
      <c r="T237" s="505">
        <f t="shared" si="131"/>
        <v>0</v>
      </c>
      <c r="U237" s="29">
        <v>100000</v>
      </c>
      <c r="V237" s="29"/>
      <c r="W237" s="29"/>
      <c r="X237" s="29"/>
      <c r="Y237" s="29"/>
      <c r="Z237" s="29"/>
      <c r="AA237" s="29"/>
      <c r="AB237" s="31"/>
      <c r="AC237" s="465"/>
      <c r="AD237" s="32"/>
      <c r="AE237" s="507"/>
      <c r="AF237" s="508"/>
      <c r="AG237" s="440"/>
      <c r="AH237" s="440"/>
    </row>
    <row r="238" spans="1:35" s="5" customFormat="1" x14ac:dyDescent="0.2">
      <c r="A238" s="33"/>
      <c r="B238" s="57"/>
      <c r="C238" s="58" t="s">
        <v>51</v>
      </c>
      <c r="D238" s="505">
        <v>50000</v>
      </c>
      <c r="E238" s="511">
        <v>100000</v>
      </c>
      <c r="F238" s="506"/>
      <c r="G238" s="506">
        <v>50000</v>
      </c>
      <c r="H238" s="511"/>
      <c r="I238" s="511">
        <f t="shared" si="123"/>
        <v>50000</v>
      </c>
      <c r="J238" s="511">
        <f t="shared" si="127"/>
        <v>50000</v>
      </c>
      <c r="K238" s="29">
        <v>200000</v>
      </c>
      <c r="L238" s="30"/>
      <c r="M238" s="611">
        <v>470000</v>
      </c>
      <c r="N238" s="29"/>
      <c r="O238" s="505"/>
      <c r="P238" s="514"/>
      <c r="Q238" s="505">
        <f t="shared" si="124"/>
        <v>0</v>
      </c>
      <c r="R238" s="505"/>
      <c r="S238" s="505"/>
      <c r="T238" s="505">
        <f t="shared" si="131"/>
        <v>0</v>
      </c>
      <c r="U238" s="29">
        <v>200000</v>
      </c>
      <c r="V238" s="29"/>
      <c r="W238" s="29"/>
      <c r="X238" s="29"/>
      <c r="Y238" s="29"/>
      <c r="Z238" s="29"/>
      <c r="AA238" s="29"/>
      <c r="AB238" s="31"/>
      <c r="AC238" s="465"/>
      <c r="AD238" s="32"/>
      <c r="AE238" s="507"/>
      <c r="AF238" s="508"/>
      <c r="AG238" s="440"/>
      <c r="AH238" s="440"/>
    </row>
    <row r="239" spans="1:35" s="5" customFormat="1" x14ac:dyDescent="0.2">
      <c r="A239" s="33"/>
      <c r="B239" s="57"/>
      <c r="C239" s="58" t="s">
        <v>42</v>
      </c>
      <c r="D239" s="505">
        <v>150000</v>
      </c>
      <c r="E239" s="511">
        <v>200000</v>
      </c>
      <c r="F239" s="506"/>
      <c r="G239" s="506">
        <v>150000</v>
      </c>
      <c r="H239" s="511"/>
      <c r="I239" s="511">
        <f t="shared" si="123"/>
        <v>150000</v>
      </c>
      <c r="J239" s="511">
        <f t="shared" si="127"/>
        <v>50000</v>
      </c>
      <c r="K239" s="29">
        <v>100000</v>
      </c>
      <c r="L239" s="30"/>
      <c r="M239" s="611">
        <v>200000</v>
      </c>
      <c r="N239" s="29"/>
      <c r="O239" s="505"/>
      <c r="P239" s="514"/>
      <c r="Q239" s="505">
        <f t="shared" si="124"/>
        <v>0</v>
      </c>
      <c r="R239" s="505"/>
      <c r="S239" s="505"/>
      <c r="T239" s="505">
        <f t="shared" si="131"/>
        <v>0</v>
      </c>
      <c r="U239" s="29">
        <v>100000</v>
      </c>
      <c r="V239" s="29"/>
      <c r="W239" s="29"/>
      <c r="X239" s="29"/>
      <c r="Y239" s="29"/>
      <c r="Z239" s="29"/>
      <c r="AA239" s="29"/>
      <c r="AB239" s="31"/>
      <c r="AC239" s="465"/>
      <c r="AD239" s="32"/>
      <c r="AE239" s="507"/>
      <c r="AF239" s="508"/>
      <c r="AG239" s="440"/>
      <c r="AH239" s="440"/>
    </row>
    <row r="240" spans="1:35" s="5" customFormat="1" x14ac:dyDescent="0.2">
      <c r="A240" s="33"/>
      <c r="B240" s="57"/>
      <c r="C240" s="58" t="s">
        <v>43</v>
      </c>
      <c r="D240" s="505">
        <v>50000</v>
      </c>
      <c r="E240" s="511">
        <v>65000</v>
      </c>
      <c r="F240" s="506"/>
      <c r="G240" s="506">
        <v>50000</v>
      </c>
      <c r="H240" s="511"/>
      <c r="I240" s="511">
        <f t="shared" si="123"/>
        <v>50000</v>
      </c>
      <c r="J240" s="511">
        <f t="shared" si="127"/>
        <v>15000</v>
      </c>
      <c r="K240" s="29">
        <v>100000</v>
      </c>
      <c r="L240" s="30"/>
      <c r="M240" s="611">
        <v>350000</v>
      </c>
      <c r="N240" s="29"/>
      <c r="O240" s="505"/>
      <c r="P240" s="514"/>
      <c r="Q240" s="505">
        <f t="shared" si="124"/>
        <v>0</v>
      </c>
      <c r="R240" s="505"/>
      <c r="S240" s="505"/>
      <c r="T240" s="505">
        <f t="shared" si="131"/>
        <v>0</v>
      </c>
      <c r="U240" s="29">
        <v>350000</v>
      </c>
      <c r="V240" s="29"/>
      <c r="W240" s="29"/>
      <c r="X240" s="29"/>
      <c r="Y240" s="29"/>
      <c r="Z240" s="29"/>
      <c r="AA240" s="29"/>
      <c r="AB240" s="31"/>
      <c r="AC240" s="465"/>
      <c r="AD240" s="32"/>
      <c r="AE240" s="507"/>
      <c r="AF240" s="508"/>
      <c r="AG240" s="440"/>
      <c r="AH240" s="440"/>
    </row>
    <row r="241" spans="1:35" s="5" customFormat="1" x14ac:dyDescent="0.2">
      <c r="A241" s="33"/>
      <c r="B241" s="57"/>
      <c r="C241" s="58" t="s">
        <v>50</v>
      </c>
      <c r="D241" s="505">
        <v>100000</v>
      </c>
      <c r="E241" s="511">
        <v>350000</v>
      </c>
      <c r="F241" s="506"/>
      <c r="G241" s="506">
        <v>100000</v>
      </c>
      <c r="H241" s="511"/>
      <c r="I241" s="511">
        <f t="shared" si="123"/>
        <v>100000</v>
      </c>
      <c r="J241" s="511">
        <f t="shared" si="127"/>
        <v>250000</v>
      </c>
      <c r="K241" s="29">
        <v>100000</v>
      </c>
      <c r="L241" s="30"/>
      <c r="M241" s="611">
        <v>100000</v>
      </c>
      <c r="N241" s="29"/>
      <c r="O241" s="505"/>
      <c r="P241" s="514"/>
      <c r="Q241" s="505">
        <f t="shared" si="124"/>
        <v>0</v>
      </c>
      <c r="R241" s="505"/>
      <c r="S241" s="505"/>
      <c r="T241" s="505">
        <f t="shared" si="131"/>
        <v>0</v>
      </c>
      <c r="U241" s="29">
        <v>120000</v>
      </c>
      <c r="V241" s="29"/>
      <c r="W241" s="29"/>
      <c r="X241" s="29"/>
      <c r="Y241" s="29"/>
      <c r="Z241" s="29"/>
      <c r="AA241" s="29"/>
      <c r="AB241" s="31"/>
      <c r="AC241" s="465"/>
      <c r="AD241" s="32"/>
      <c r="AE241" s="507"/>
      <c r="AF241" s="508"/>
      <c r="AG241" s="440"/>
      <c r="AH241" s="440"/>
    </row>
    <row r="242" spans="1:35" s="5" customFormat="1" x14ac:dyDescent="0.2">
      <c r="A242" s="33"/>
      <c r="B242" s="57"/>
      <c r="C242" s="58" t="s">
        <v>62</v>
      </c>
      <c r="D242" s="505">
        <v>50000</v>
      </c>
      <c r="E242" s="511">
        <v>150000</v>
      </c>
      <c r="F242" s="506"/>
      <c r="G242" s="506">
        <v>50000</v>
      </c>
      <c r="H242" s="511"/>
      <c r="I242" s="511">
        <f t="shared" si="123"/>
        <v>50000</v>
      </c>
      <c r="J242" s="511">
        <f t="shared" si="127"/>
        <v>100000</v>
      </c>
      <c r="K242" s="29">
        <v>43858000</v>
      </c>
      <c r="L242" s="30"/>
      <c r="M242" s="611">
        <v>46815900</v>
      </c>
      <c r="N242" s="29"/>
      <c r="O242" s="505"/>
      <c r="P242" s="514"/>
      <c r="Q242" s="505">
        <f t="shared" si="124"/>
        <v>0</v>
      </c>
      <c r="R242" s="505"/>
      <c r="S242" s="505"/>
      <c r="T242" s="505">
        <f t="shared" si="131"/>
        <v>0</v>
      </c>
      <c r="U242" s="29">
        <v>45000000</v>
      </c>
      <c r="V242" s="29"/>
      <c r="W242" s="29"/>
      <c r="X242" s="29"/>
      <c r="Y242" s="29"/>
      <c r="Z242" s="29"/>
      <c r="AA242" s="29"/>
      <c r="AB242" s="31"/>
      <c r="AC242" s="465"/>
      <c r="AD242" s="32"/>
      <c r="AE242" s="507"/>
      <c r="AF242" s="508"/>
      <c r="AG242" s="440"/>
      <c r="AH242" s="440"/>
    </row>
    <row r="243" spans="1:35" s="5" customFormat="1" x14ac:dyDescent="0.2">
      <c r="A243" s="33"/>
      <c r="B243" s="57" t="s">
        <v>81</v>
      </c>
      <c r="C243" s="58" t="s">
        <v>81</v>
      </c>
      <c r="D243" s="505">
        <v>32020000</v>
      </c>
      <c r="E243" s="511">
        <v>45000000</v>
      </c>
      <c r="F243" s="506"/>
      <c r="G243" s="506">
        <v>32020000</v>
      </c>
      <c r="H243" s="511"/>
      <c r="I243" s="511">
        <f t="shared" si="123"/>
        <v>32020000</v>
      </c>
      <c r="J243" s="511">
        <f t="shared" si="127"/>
        <v>12980000</v>
      </c>
      <c r="K243" s="52">
        <f>SUM(K244:K248)</f>
        <v>645900</v>
      </c>
      <c r="L243" s="53">
        <v>174353.97</v>
      </c>
      <c r="M243" s="613">
        <f>SUM(M244:M248)</f>
        <v>1945000</v>
      </c>
      <c r="N243" s="52">
        <v>291700</v>
      </c>
      <c r="O243" s="505"/>
      <c r="P243" s="514"/>
      <c r="Q243" s="505">
        <f t="shared" si="124"/>
        <v>0</v>
      </c>
      <c r="R243" s="505"/>
      <c r="S243" s="505"/>
      <c r="T243" s="529">
        <f t="shared" si="131"/>
        <v>-30565.229999999981</v>
      </c>
      <c r="U243" s="52">
        <f>SUM(U244:U248)</f>
        <v>2350000</v>
      </c>
      <c r="V243" s="52">
        <f>SUM(U243*105/100)</f>
        <v>2467500</v>
      </c>
      <c r="W243" s="52">
        <v>2590900</v>
      </c>
      <c r="X243" s="52">
        <v>2720500</v>
      </c>
      <c r="Y243" s="52">
        <f>SUM(X243*5)</f>
        <v>13602500</v>
      </c>
      <c r="Z243" s="52">
        <f>SUM(X243*5)</f>
        <v>13602500</v>
      </c>
      <c r="AA243" s="52">
        <f>SUM(X243*3)</f>
        <v>8161500</v>
      </c>
      <c r="AB243" s="54">
        <v>291700</v>
      </c>
      <c r="AC243" s="494">
        <v>0</v>
      </c>
      <c r="AD243" s="55">
        <v>291700</v>
      </c>
      <c r="AE243" s="499">
        <v>291700</v>
      </c>
      <c r="AF243" s="602"/>
      <c r="AG243" s="440"/>
      <c r="AH243" s="440"/>
    </row>
    <row r="244" spans="1:35" s="5" customFormat="1" x14ac:dyDescent="0.2">
      <c r="A244" s="33"/>
      <c r="B244" s="34" t="s">
        <v>86</v>
      </c>
      <c r="C244" s="35"/>
      <c r="D244" s="529">
        <f>SUM(D245:D249)</f>
        <v>291700</v>
      </c>
      <c r="E244" s="531">
        <f>SUM(E245:E249)</f>
        <v>2450000</v>
      </c>
      <c r="F244" s="532">
        <v>291700</v>
      </c>
      <c r="G244" s="532">
        <f>SUM(G245:G249)</f>
        <v>291700</v>
      </c>
      <c r="H244" s="531">
        <f t="shared" ref="H244" si="135">SUM(H245:H249)</f>
        <v>0</v>
      </c>
      <c r="I244" s="531">
        <f t="shared" si="123"/>
        <v>291700</v>
      </c>
      <c r="J244" s="531">
        <f t="shared" si="127"/>
        <v>2158300</v>
      </c>
      <c r="K244" s="69" t="s">
        <v>17</v>
      </c>
      <c r="L244" s="70"/>
      <c r="M244" s="611">
        <v>50000</v>
      </c>
      <c r="N244" s="29"/>
      <c r="O244" s="529">
        <v>291700</v>
      </c>
      <c r="P244" s="530"/>
      <c r="Q244" s="529">
        <f t="shared" si="124"/>
        <v>291700</v>
      </c>
      <c r="R244" s="529">
        <v>322265.23</v>
      </c>
      <c r="S244" s="529"/>
      <c r="T244" s="505">
        <f t="shared" si="131"/>
        <v>0</v>
      </c>
      <c r="U244" s="29">
        <v>50000</v>
      </c>
      <c r="V244" s="29"/>
      <c r="W244" s="29"/>
      <c r="X244" s="29"/>
      <c r="Y244" s="29"/>
      <c r="Z244" s="29"/>
      <c r="AA244" s="29"/>
      <c r="AB244" s="31"/>
      <c r="AC244" s="465"/>
      <c r="AD244" s="32"/>
      <c r="AE244" s="507"/>
      <c r="AF244" s="508"/>
      <c r="AG244" s="440">
        <v>291700</v>
      </c>
      <c r="AH244" s="440"/>
      <c r="AI244" s="608" t="s">
        <v>795</v>
      </c>
    </row>
    <row r="245" spans="1:35" s="5" customFormat="1" x14ac:dyDescent="0.2">
      <c r="A245" s="33"/>
      <c r="B245" s="57"/>
      <c r="C245" s="58" t="s">
        <v>52</v>
      </c>
      <c r="D245" s="505">
        <v>50000</v>
      </c>
      <c r="E245" s="511">
        <v>50000</v>
      </c>
      <c r="F245" s="506"/>
      <c r="G245" s="506">
        <v>50000</v>
      </c>
      <c r="H245" s="511"/>
      <c r="I245" s="511">
        <f t="shared" si="123"/>
        <v>50000</v>
      </c>
      <c r="J245" s="511">
        <f t="shared" si="127"/>
        <v>0</v>
      </c>
      <c r="K245" s="69" t="s">
        <v>17</v>
      </c>
      <c r="L245" s="70"/>
      <c r="M245" s="611">
        <v>65000</v>
      </c>
      <c r="N245" s="29"/>
      <c r="O245" s="505"/>
      <c r="P245" s="514"/>
      <c r="Q245" s="505">
        <f t="shared" si="124"/>
        <v>0</v>
      </c>
      <c r="R245" s="505"/>
      <c r="S245" s="505"/>
      <c r="T245" s="505">
        <f t="shared" si="131"/>
        <v>0</v>
      </c>
      <c r="U245" s="29">
        <v>50000</v>
      </c>
      <c r="V245" s="29"/>
      <c r="W245" s="29"/>
      <c r="X245" s="29"/>
      <c r="Y245" s="29"/>
      <c r="Z245" s="29"/>
      <c r="AA245" s="29"/>
      <c r="AB245" s="31"/>
      <c r="AC245" s="465"/>
      <c r="AD245" s="32"/>
      <c r="AE245" s="507"/>
      <c r="AF245" s="508"/>
      <c r="AG245" s="440">
        <f>+AG244-G244</f>
        <v>0</v>
      </c>
      <c r="AH245" s="440"/>
    </row>
    <row r="246" spans="1:35" s="5" customFormat="1" x14ac:dyDescent="0.2">
      <c r="A246" s="33"/>
      <c r="B246" s="57"/>
      <c r="C246" s="58" t="s">
        <v>51</v>
      </c>
      <c r="D246" s="505">
        <v>50000</v>
      </c>
      <c r="E246" s="511">
        <v>50000</v>
      </c>
      <c r="F246" s="506"/>
      <c r="G246" s="506">
        <v>50000</v>
      </c>
      <c r="H246" s="511"/>
      <c r="I246" s="511">
        <f t="shared" si="123"/>
        <v>50000</v>
      </c>
      <c r="J246" s="511">
        <f t="shared" si="127"/>
        <v>0</v>
      </c>
      <c r="K246" s="29">
        <v>25000</v>
      </c>
      <c r="L246" s="30"/>
      <c r="M246" s="611">
        <v>130000</v>
      </c>
      <c r="N246" s="29"/>
      <c r="O246" s="505"/>
      <c r="P246" s="514"/>
      <c r="Q246" s="505">
        <f t="shared" si="124"/>
        <v>0</v>
      </c>
      <c r="R246" s="505"/>
      <c r="S246" s="505"/>
      <c r="T246" s="505">
        <f t="shared" si="131"/>
        <v>0</v>
      </c>
      <c r="U246" s="29">
        <v>200000</v>
      </c>
      <c r="V246" s="29"/>
      <c r="W246" s="29"/>
      <c r="X246" s="29"/>
      <c r="Y246" s="29"/>
      <c r="Z246" s="29"/>
      <c r="AA246" s="29"/>
      <c r="AB246" s="31"/>
      <c r="AC246" s="465"/>
      <c r="AD246" s="32"/>
      <c r="AE246" s="507"/>
      <c r="AF246" s="508"/>
      <c r="AG246" s="440"/>
      <c r="AH246" s="440"/>
    </row>
    <row r="247" spans="1:35" s="5" customFormat="1" x14ac:dyDescent="0.2">
      <c r="A247" s="33"/>
      <c r="B247" s="57"/>
      <c r="C247" s="58" t="s">
        <v>42</v>
      </c>
      <c r="D247" s="505">
        <v>50000</v>
      </c>
      <c r="E247" s="511">
        <v>200000</v>
      </c>
      <c r="F247" s="506"/>
      <c r="G247" s="506">
        <v>50000</v>
      </c>
      <c r="H247" s="511"/>
      <c r="I247" s="511">
        <f t="shared" si="123"/>
        <v>50000</v>
      </c>
      <c r="J247" s="511">
        <f t="shared" si="127"/>
        <v>150000</v>
      </c>
      <c r="K247" s="29">
        <v>20000</v>
      </c>
      <c r="L247" s="30"/>
      <c r="M247" s="611">
        <v>200000</v>
      </c>
      <c r="N247" s="29"/>
      <c r="O247" s="505"/>
      <c r="P247" s="514"/>
      <c r="Q247" s="505">
        <f t="shared" si="124"/>
        <v>0</v>
      </c>
      <c r="R247" s="505"/>
      <c r="S247" s="505"/>
      <c r="T247" s="505">
        <f t="shared" si="131"/>
        <v>0</v>
      </c>
      <c r="U247" s="29">
        <v>200000</v>
      </c>
      <c r="V247" s="29"/>
      <c r="W247" s="29"/>
      <c r="X247" s="29"/>
      <c r="Y247" s="29"/>
      <c r="Z247" s="29"/>
      <c r="AA247" s="29"/>
      <c r="AB247" s="31"/>
      <c r="AC247" s="465"/>
      <c r="AD247" s="32"/>
      <c r="AE247" s="507"/>
      <c r="AF247" s="508"/>
      <c r="AG247" s="440"/>
      <c r="AH247" s="440"/>
    </row>
    <row r="248" spans="1:35" s="5" customFormat="1" x14ac:dyDescent="0.2">
      <c r="A248" s="33"/>
      <c r="B248" s="57"/>
      <c r="C248" s="58" t="s">
        <v>50</v>
      </c>
      <c r="D248" s="505">
        <v>50000</v>
      </c>
      <c r="E248" s="511">
        <v>300000</v>
      </c>
      <c r="F248" s="506"/>
      <c r="G248" s="506">
        <v>50000</v>
      </c>
      <c r="H248" s="511"/>
      <c r="I248" s="511">
        <f t="shared" si="123"/>
        <v>50000</v>
      </c>
      <c r="J248" s="511">
        <f t="shared" si="127"/>
        <v>250000</v>
      </c>
      <c r="K248" s="29">
        <v>600900</v>
      </c>
      <c r="L248" s="30"/>
      <c r="M248" s="611">
        <v>1500000</v>
      </c>
      <c r="N248" s="29"/>
      <c r="O248" s="505"/>
      <c r="P248" s="514"/>
      <c r="Q248" s="505">
        <f t="shared" si="124"/>
        <v>0</v>
      </c>
      <c r="R248" s="505"/>
      <c r="S248" s="505"/>
      <c r="T248" s="505">
        <f t="shared" si="131"/>
        <v>0</v>
      </c>
      <c r="U248" s="29">
        <v>1850000</v>
      </c>
      <c r="V248" s="29"/>
      <c r="W248" s="29"/>
      <c r="X248" s="29"/>
      <c r="Y248" s="29"/>
      <c r="Z248" s="29"/>
      <c r="AA248" s="29"/>
      <c r="AB248" s="31"/>
      <c r="AC248" s="465"/>
      <c r="AD248" s="32"/>
      <c r="AE248" s="507"/>
      <c r="AF248" s="508"/>
      <c r="AG248" s="440"/>
      <c r="AH248" s="440"/>
    </row>
    <row r="249" spans="1:35" s="5" customFormat="1" x14ac:dyDescent="0.2">
      <c r="A249" s="33"/>
      <c r="B249" s="57"/>
      <c r="C249" s="58" t="s">
        <v>81</v>
      </c>
      <c r="D249" s="505">
        <v>91700</v>
      </c>
      <c r="E249" s="511">
        <v>1850000</v>
      </c>
      <c r="F249" s="506"/>
      <c r="G249" s="506">
        <v>91700</v>
      </c>
      <c r="H249" s="511"/>
      <c r="I249" s="511">
        <f t="shared" si="123"/>
        <v>91700</v>
      </c>
      <c r="J249" s="511">
        <f t="shared" si="127"/>
        <v>1758300</v>
      </c>
      <c r="K249" s="52" t="e">
        <f>SUM(K250:K466)</f>
        <v>#REF!</v>
      </c>
      <c r="L249" s="53">
        <v>18538187.800000001</v>
      </c>
      <c r="M249" s="613" t="e">
        <f>SUM(M250:M466)</f>
        <v>#REF!</v>
      </c>
      <c r="N249" s="52">
        <v>10120000</v>
      </c>
      <c r="O249" s="505"/>
      <c r="P249" s="514"/>
      <c r="Q249" s="505">
        <f t="shared" si="124"/>
        <v>0</v>
      </c>
      <c r="R249" s="505"/>
      <c r="S249" s="505"/>
      <c r="T249" s="529">
        <f t="shared" si="131"/>
        <v>4404674.5999999996</v>
      </c>
      <c r="U249" s="52">
        <f>SUM(U250:U466)</f>
        <v>6684406466700</v>
      </c>
      <c r="V249" s="52">
        <v>26822600</v>
      </c>
      <c r="W249" s="52">
        <v>28163800</v>
      </c>
      <c r="X249" s="52">
        <v>29572000</v>
      </c>
      <c r="Y249" s="52">
        <f>SUM(X249*5)</f>
        <v>147860000</v>
      </c>
      <c r="Z249" s="52">
        <f>SUM(X249*5)</f>
        <v>147860000</v>
      </c>
      <c r="AA249" s="52">
        <f>SUM(X249*3)</f>
        <v>88716000</v>
      </c>
      <c r="AB249" s="54">
        <v>18538200</v>
      </c>
      <c r="AC249" s="494">
        <v>0</v>
      </c>
      <c r="AD249" s="55">
        <v>18538200</v>
      </c>
      <c r="AE249" s="499">
        <v>18538200</v>
      </c>
      <c r="AF249" s="602"/>
      <c r="AG249" s="440"/>
      <c r="AH249" s="440"/>
    </row>
    <row r="250" spans="1:35" s="5" customFormat="1" x14ac:dyDescent="0.2">
      <c r="A250" s="33"/>
      <c r="B250" s="34" t="s">
        <v>87</v>
      </c>
      <c r="C250" s="35"/>
      <c r="D250" s="529">
        <f>SUM(D251:D263)</f>
        <v>13538200</v>
      </c>
      <c r="E250" s="531">
        <f>SUM(E251:E263)</f>
        <v>13743000</v>
      </c>
      <c r="F250" s="532">
        <v>4346500</v>
      </c>
      <c r="G250" s="532">
        <f>SUM(G251:G263)</f>
        <v>4346500</v>
      </c>
      <c r="H250" s="531">
        <f t="shared" ref="H250" si="136">SUM(H251:H263)</f>
        <v>0</v>
      </c>
      <c r="I250" s="531">
        <f t="shared" si="123"/>
        <v>4346500</v>
      </c>
      <c r="J250" s="531">
        <f t="shared" si="127"/>
        <v>9396500</v>
      </c>
      <c r="K250" s="29">
        <v>30000</v>
      </c>
      <c r="L250" s="30"/>
      <c r="M250" s="611">
        <v>50000</v>
      </c>
      <c r="N250" s="29"/>
      <c r="O250" s="529">
        <f>10120000-5000000</f>
        <v>5120000</v>
      </c>
      <c r="P250" s="530"/>
      <c r="Q250" s="529">
        <f t="shared" si="124"/>
        <v>5120000</v>
      </c>
      <c r="R250" s="529">
        <v>715325.4</v>
      </c>
      <c r="S250" s="529"/>
      <c r="T250" s="505">
        <f t="shared" si="131"/>
        <v>0</v>
      </c>
      <c r="U250" s="29">
        <v>50000</v>
      </c>
      <c r="V250" s="29"/>
      <c r="W250" s="29"/>
      <c r="X250" s="29"/>
      <c r="Y250" s="29"/>
      <c r="Z250" s="29"/>
      <c r="AA250" s="29"/>
      <c r="AB250" s="31"/>
      <c r="AC250" s="465"/>
      <c r="AD250" s="32"/>
      <c r="AE250" s="507"/>
      <c r="AF250" s="508"/>
      <c r="AG250" s="632">
        <v>4346500</v>
      </c>
      <c r="AH250" s="440">
        <v>32.11</v>
      </c>
      <c r="AI250" s="608" t="s">
        <v>796</v>
      </c>
    </row>
    <row r="251" spans="1:35" s="5" customFormat="1" x14ac:dyDescent="0.2">
      <c r="A251" s="33"/>
      <c r="B251" s="57"/>
      <c r="C251" s="58" t="s">
        <v>52</v>
      </c>
      <c r="D251" s="505">
        <v>50000</v>
      </c>
      <c r="E251" s="511">
        <v>70000</v>
      </c>
      <c r="F251" s="506"/>
      <c r="G251" s="506">
        <v>16000</v>
      </c>
      <c r="H251" s="511"/>
      <c r="I251" s="511">
        <f t="shared" si="123"/>
        <v>16000</v>
      </c>
      <c r="J251" s="511">
        <f t="shared" si="127"/>
        <v>54000</v>
      </c>
      <c r="K251" s="29">
        <v>25000</v>
      </c>
      <c r="L251" s="30"/>
      <c r="M251" s="611">
        <v>40000</v>
      </c>
      <c r="N251" s="29"/>
      <c r="O251" s="505"/>
      <c r="P251" s="514"/>
      <c r="Q251" s="505">
        <f t="shared" si="124"/>
        <v>0</v>
      </c>
      <c r="R251" s="505"/>
      <c r="S251" s="505"/>
      <c r="T251" s="505">
        <f t="shared" si="131"/>
        <v>0</v>
      </c>
      <c r="U251" s="29">
        <v>40000</v>
      </c>
      <c r="V251" s="29"/>
      <c r="W251" s="29"/>
      <c r="X251" s="29"/>
      <c r="Y251" s="29"/>
      <c r="Z251" s="29"/>
      <c r="AA251" s="29"/>
      <c r="AB251" s="31"/>
      <c r="AC251" s="465"/>
      <c r="AD251" s="32"/>
      <c r="AE251" s="507"/>
      <c r="AF251" s="508"/>
      <c r="AG251" s="440">
        <f>+AG250-G250</f>
        <v>0</v>
      </c>
      <c r="AH251" s="440">
        <v>55894</v>
      </c>
      <c r="AI251" s="608" t="s">
        <v>797</v>
      </c>
    </row>
    <row r="252" spans="1:35" s="5" customFormat="1" x14ac:dyDescent="0.2">
      <c r="A252" s="33"/>
      <c r="B252" s="57"/>
      <c r="C252" s="58" t="s">
        <v>49</v>
      </c>
      <c r="D252" s="505">
        <v>40000</v>
      </c>
      <c r="E252" s="511">
        <v>40000</v>
      </c>
      <c r="F252" s="506"/>
      <c r="G252" s="506">
        <v>12800</v>
      </c>
      <c r="H252" s="511"/>
      <c r="I252" s="511">
        <f t="shared" si="123"/>
        <v>12800</v>
      </c>
      <c r="J252" s="511">
        <f t="shared" si="127"/>
        <v>27200</v>
      </c>
      <c r="K252" s="29">
        <v>25000</v>
      </c>
      <c r="L252" s="30"/>
      <c r="M252" s="611">
        <v>30000</v>
      </c>
      <c r="N252" s="29"/>
      <c r="O252" s="505"/>
      <c r="P252" s="514"/>
      <c r="Q252" s="505">
        <f t="shared" si="124"/>
        <v>0</v>
      </c>
      <c r="R252" s="505"/>
      <c r="S252" s="505"/>
      <c r="T252" s="505">
        <f t="shared" si="131"/>
        <v>0</v>
      </c>
      <c r="U252" s="29">
        <v>50000</v>
      </c>
      <c r="V252" s="29"/>
      <c r="W252" s="29"/>
      <c r="X252" s="29"/>
      <c r="Y252" s="29"/>
      <c r="Z252" s="29"/>
      <c r="AA252" s="29"/>
      <c r="AB252" s="31"/>
      <c r="AC252" s="465"/>
      <c r="AD252" s="32"/>
      <c r="AE252" s="507"/>
      <c r="AF252" s="508"/>
      <c r="AG252" s="440"/>
      <c r="AH252" s="440">
        <v>4269.3</v>
      </c>
      <c r="AI252" s="608" t="s">
        <v>798</v>
      </c>
    </row>
    <row r="253" spans="1:35" s="5" customFormat="1" x14ac:dyDescent="0.2">
      <c r="A253" s="33"/>
      <c r="B253" s="57"/>
      <c r="C253" s="58" t="s">
        <v>54</v>
      </c>
      <c r="D253" s="505">
        <v>50000</v>
      </c>
      <c r="E253" s="511">
        <v>50000</v>
      </c>
      <c r="F253" s="506"/>
      <c r="G253" s="506">
        <v>16000</v>
      </c>
      <c r="H253" s="511"/>
      <c r="I253" s="511">
        <f t="shared" si="123"/>
        <v>16000</v>
      </c>
      <c r="J253" s="511">
        <f t="shared" si="127"/>
        <v>34000</v>
      </c>
      <c r="K253" s="29">
        <v>25000</v>
      </c>
      <c r="L253" s="30"/>
      <c r="M253" s="611">
        <v>25000</v>
      </c>
      <c r="N253" s="29"/>
      <c r="O253" s="505"/>
      <c r="P253" s="514"/>
      <c r="Q253" s="505">
        <f t="shared" si="124"/>
        <v>0</v>
      </c>
      <c r="R253" s="505"/>
      <c r="S253" s="505"/>
      <c r="T253" s="505">
        <f t="shared" si="131"/>
        <v>0</v>
      </c>
      <c r="U253" s="29">
        <v>25000</v>
      </c>
      <c r="V253" s="29"/>
      <c r="W253" s="29"/>
      <c r="X253" s="29"/>
      <c r="Y253" s="29"/>
      <c r="Z253" s="29"/>
      <c r="AA253" s="29"/>
      <c r="AB253" s="31"/>
      <c r="AC253" s="465"/>
      <c r="AD253" s="32"/>
      <c r="AE253" s="507"/>
      <c r="AF253" s="508"/>
      <c r="AG253" s="440"/>
      <c r="AH253" s="440">
        <v>10165</v>
      </c>
    </row>
    <row r="254" spans="1:35" s="5" customFormat="1" x14ac:dyDescent="0.2">
      <c r="A254" s="33"/>
      <c r="B254" s="57"/>
      <c r="C254" s="58" t="s">
        <v>66</v>
      </c>
      <c r="D254" s="505">
        <v>25000</v>
      </c>
      <c r="E254" s="511">
        <v>30000</v>
      </c>
      <c r="F254" s="506"/>
      <c r="G254" s="506">
        <v>8000</v>
      </c>
      <c r="H254" s="511"/>
      <c r="I254" s="511">
        <f t="shared" si="123"/>
        <v>8000</v>
      </c>
      <c r="J254" s="511">
        <f t="shared" si="127"/>
        <v>22000</v>
      </c>
      <c r="K254" s="29">
        <v>130000</v>
      </c>
      <c r="L254" s="30"/>
      <c r="M254" s="611">
        <v>301300</v>
      </c>
      <c r="N254" s="29"/>
      <c r="O254" s="505"/>
      <c r="P254" s="514"/>
      <c r="Q254" s="505">
        <f t="shared" si="124"/>
        <v>0</v>
      </c>
      <c r="R254" s="505"/>
      <c r="S254" s="505"/>
      <c r="T254" s="505">
        <f t="shared" si="131"/>
        <v>0</v>
      </c>
      <c r="U254" s="29">
        <v>150300</v>
      </c>
      <c r="V254" s="29"/>
      <c r="W254" s="29"/>
      <c r="X254" s="29"/>
      <c r="Y254" s="29"/>
      <c r="Z254" s="29"/>
      <c r="AA254" s="29"/>
      <c r="AB254" s="31"/>
      <c r="AC254" s="465"/>
      <c r="AD254" s="31"/>
      <c r="AE254" s="513"/>
      <c r="AF254" s="513"/>
      <c r="AG254" s="440"/>
      <c r="AH254" s="440">
        <v>3531</v>
      </c>
    </row>
    <row r="255" spans="1:35" s="5" customFormat="1" x14ac:dyDescent="0.2">
      <c r="A255" s="33"/>
      <c r="B255" s="57"/>
      <c r="C255" s="58" t="s">
        <v>80</v>
      </c>
      <c r="D255" s="505">
        <v>150200</v>
      </c>
      <c r="E255" s="511">
        <v>200000</v>
      </c>
      <c r="F255" s="506"/>
      <c r="G255" s="506">
        <v>48200</v>
      </c>
      <c r="H255" s="511"/>
      <c r="I255" s="511">
        <f t="shared" si="123"/>
        <v>48200</v>
      </c>
      <c r="J255" s="511">
        <f t="shared" si="127"/>
        <v>151800</v>
      </c>
      <c r="K255" s="29">
        <v>50000</v>
      </c>
      <c r="L255" s="30"/>
      <c r="M255" s="611">
        <v>100000</v>
      </c>
      <c r="N255" s="29"/>
      <c r="O255" s="505"/>
      <c r="P255" s="514"/>
      <c r="Q255" s="505">
        <f t="shared" si="124"/>
        <v>0</v>
      </c>
      <c r="R255" s="505"/>
      <c r="S255" s="505"/>
      <c r="T255" s="505">
        <f t="shared" si="131"/>
        <v>0</v>
      </c>
      <c r="U255" s="29">
        <v>100000</v>
      </c>
      <c r="V255" s="29"/>
      <c r="W255" s="29"/>
      <c r="X255" s="29"/>
      <c r="Y255" s="29"/>
      <c r="Z255" s="29"/>
      <c r="AA255" s="29"/>
      <c r="AB255" s="31"/>
      <c r="AC255" s="465"/>
      <c r="AD255" s="32"/>
      <c r="AE255" s="507"/>
      <c r="AF255" s="508"/>
      <c r="AG255" s="440"/>
      <c r="AH255" s="440">
        <v>26396.799999999999</v>
      </c>
    </row>
    <row r="256" spans="1:35" s="5" customFormat="1" x14ac:dyDescent="0.2">
      <c r="A256" s="33"/>
      <c r="B256" s="57"/>
      <c r="C256" s="58" t="s">
        <v>63</v>
      </c>
      <c r="D256" s="505">
        <v>100000</v>
      </c>
      <c r="E256" s="511">
        <v>100000</v>
      </c>
      <c r="F256" s="506"/>
      <c r="G256" s="506">
        <v>32100</v>
      </c>
      <c r="H256" s="511"/>
      <c r="I256" s="511">
        <f t="shared" si="123"/>
        <v>32100</v>
      </c>
      <c r="J256" s="511">
        <f t="shared" si="127"/>
        <v>67900</v>
      </c>
      <c r="K256" s="29">
        <v>20000</v>
      </c>
      <c r="L256" s="30"/>
      <c r="M256" s="611">
        <v>100000</v>
      </c>
      <c r="N256" s="29"/>
      <c r="O256" s="505"/>
      <c r="P256" s="514"/>
      <c r="Q256" s="505">
        <f t="shared" si="124"/>
        <v>0</v>
      </c>
      <c r="R256" s="505"/>
      <c r="S256" s="505"/>
      <c r="T256" s="505">
        <f t="shared" si="131"/>
        <v>0</v>
      </c>
      <c r="U256" s="29">
        <v>100000</v>
      </c>
      <c r="V256" s="29"/>
      <c r="W256" s="29"/>
      <c r="X256" s="29"/>
      <c r="Y256" s="29"/>
      <c r="Z256" s="29"/>
      <c r="AA256" s="29"/>
      <c r="AB256" s="31"/>
      <c r="AC256" s="465"/>
      <c r="AD256" s="32"/>
      <c r="AE256" s="507"/>
      <c r="AF256" s="508"/>
      <c r="AG256" s="440"/>
      <c r="AH256" s="440">
        <v>64597</v>
      </c>
    </row>
    <row r="257" spans="1:35" s="5" customFormat="1" x14ac:dyDescent="0.2">
      <c r="A257" s="33"/>
      <c r="B257" s="57"/>
      <c r="C257" s="58" t="s">
        <v>61</v>
      </c>
      <c r="D257" s="505">
        <v>100000</v>
      </c>
      <c r="E257" s="511">
        <v>150000</v>
      </c>
      <c r="F257" s="506"/>
      <c r="G257" s="506">
        <v>32100</v>
      </c>
      <c r="H257" s="511"/>
      <c r="I257" s="511">
        <f t="shared" si="123"/>
        <v>32100</v>
      </c>
      <c r="J257" s="511">
        <f t="shared" si="127"/>
        <v>117900</v>
      </c>
      <c r="K257" s="29">
        <v>27000</v>
      </c>
      <c r="L257" s="30"/>
      <c r="M257" s="611">
        <v>75000</v>
      </c>
      <c r="N257" s="29"/>
      <c r="O257" s="505"/>
      <c r="P257" s="514"/>
      <c r="Q257" s="505">
        <f t="shared" si="124"/>
        <v>0</v>
      </c>
      <c r="R257" s="505"/>
      <c r="S257" s="505"/>
      <c r="T257" s="505">
        <f t="shared" si="131"/>
        <v>0</v>
      </c>
      <c r="U257" s="29">
        <v>200000</v>
      </c>
      <c r="V257" s="29"/>
      <c r="W257" s="29"/>
      <c r="X257" s="29"/>
      <c r="Y257" s="29"/>
      <c r="Z257" s="29"/>
      <c r="AA257" s="29"/>
      <c r="AB257" s="31"/>
      <c r="AC257" s="465"/>
      <c r="AD257" s="32"/>
      <c r="AE257" s="507"/>
      <c r="AF257" s="508"/>
      <c r="AG257" s="440"/>
      <c r="AH257" s="440">
        <v>3638</v>
      </c>
    </row>
    <row r="258" spans="1:35" s="5" customFormat="1" x14ac:dyDescent="0.2">
      <c r="A258" s="33"/>
      <c r="B258" s="57"/>
      <c r="C258" s="58" t="s">
        <v>51</v>
      </c>
      <c r="D258" s="505">
        <v>200000</v>
      </c>
      <c r="E258" s="511">
        <v>200000</v>
      </c>
      <c r="F258" s="506"/>
      <c r="G258" s="506">
        <v>61200</v>
      </c>
      <c r="H258" s="511"/>
      <c r="I258" s="511">
        <f t="shared" si="123"/>
        <v>61200</v>
      </c>
      <c r="J258" s="511">
        <f t="shared" si="127"/>
        <v>138800</v>
      </c>
      <c r="K258" s="29">
        <v>190000</v>
      </c>
      <c r="L258" s="30"/>
      <c r="M258" s="611">
        <v>150000</v>
      </c>
      <c r="N258" s="29"/>
      <c r="O258" s="505"/>
      <c r="P258" s="514"/>
      <c r="Q258" s="505">
        <f t="shared" si="124"/>
        <v>0</v>
      </c>
      <c r="R258" s="505"/>
      <c r="S258" s="505"/>
      <c r="T258" s="505">
        <f t="shared" si="131"/>
        <v>0</v>
      </c>
      <c r="U258" s="29">
        <v>100000</v>
      </c>
      <c r="V258" s="29"/>
      <c r="W258" s="29"/>
      <c r="X258" s="29"/>
      <c r="Y258" s="29"/>
      <c r="Z258" s="29"/>
      <c r="AA258" s="29"/>
      <c r="AB258" s="31"/>
      <c r="AC258" s="465"/>
      <c r="AD258" s="32"/>
      <c r="AE258" s="507"/>
      <c r="AF258" s="508"/>
      <c r="AG258" s="440"/>
      <c r="AH258" s="440">
        <v>12115.5</v>
      </c>
    </row>
    <row r="259" spans="1:35" s="5" customFormat="1" x14ac:dyDescent="0.2">
      <c r="A259" s="33"/>
      <c r="B259" s="57"/>
      <c r="C259" s="58" t="s">
        <v>42</v>
      </c>
      <c r="D259" s="505">
        <v>100000</v>
      </c>
      <c r="E259" s="511">
        <v>100000</v>
      </c>
      <c r="F259" s="506"/>
      <c r="G259" s="506">
        <v>32100</v>
      </c>
      <c r="H259" s="511"/>
      <c r="I259" s="511">
        <f t="shared" si="123"/>
        <v>32100</v>
      </c>
      <c r="J259" s="511">
        <f t="shared" si="127"/>
        <v>67900</v>
      </c>
      <c r="K259" s="119">
        <v>50000</v>
      </c>
      <c r="L259" s="120"/>
      <c r="M259" s="614">
        <v>50000</v>
      </c>
      <c r="N259" s="119"/>
      <c r="O259" s="505"/>
      <c r="P259" s="514"/>
      <c r="Q259" s="505">
        <f t="shared" si="124"/>
        <v>0</v>
      </c>
      <c r="R259" s="505"/>
      <c r="S259" s="505"/>
      <c r="T259" s="615">
        <f t="shared" si="131"/>
        <v>0</v>
      </c>
      <c r="U259" s="119">
        <v>250000</v>
      </c>
      <c r="V259" s="119"/>
      <c r="W259" s="119"/>
      <c r="X259" s="119"/>
      <c r="Y259" s="119"/>
      <c r="Z259" s="119"/>
      <c r="AA259" s="119"/>
      <c r="AB259" s="121"/>
      <c r="AC259" s="616"/>
      <c r="AD259" s="122"/>
      <c r="AE259" s="617"/>
      <c r="AF259" s="618"/>
      <c r="AG259" s="440"/>
      <c r="AH259" s="440">
        <v>50000</v>
      </c>
    </row>
    <row r="260" spans="1:35" s="5" customFormat="1" x14ac:dyDescent="0.2">
      <c r="A260" s="33"/>
      <c r="B260" s="57"/>
      <c r="C260" s="58" t="s">
        <v>43</v>
      </c>
      <c r="D260" s="505">
        <v>250000</v>
      </c>
      <c r="E260" s="511">
        <v>300000</v>
      </c>
      <c r="F260" s="506"/>
      <c r="G260" s="506">
        <v>80300</v>
      </c>
      <c r="H260" s="511"/>
      <c r="I260" s="511">
        <f t="shared" si="123"/>
        <v>80300</v>
      </c>
      <c r="J260" s="511">
        <f t="shared" si="127"/>
        <v>219700</v>
      </c>
      <c r="K260" s="78">
        <v>25000</v>
      </c>
      <c r="L260" s="79"/>
      <c r="M260" s="633">
        <v>200000</v>
      </c>
      <c r="N260" s="78"/>
      <c r="O260" s="615"/>
      <c r="P260" s="620"/>
      <c r="Q260" s="615">
        <f t="shared" si="124"/>
        <v>0</v>
      </c>
      <c r="R260" s="615"/>
      <c r="S260" s="615"/>
      <c r="T260" s="634">
        <f t="shared" si="131"/>
        <v>0</v>
      </c>
      <c r="U260" s="78">
        <v>300000</v>
      </c>
      <c r="V260" s="78"/>
      <c r="W260" s="78"/>
      <c r="X260" s="78"/>
      <c r="Y260" s="78"/>
      <c r="Z260" s="78"/>
      <c r="AA260" s="78"/>
      <c r="AB260" s="92"/>
      <c r="AC260" s="538"/>
      <c r="AD260" s="93"/>
      <c r="AE260" s="541"/>
      <c r="AF260" s="542"/>
      <c r="AG260" s="440"/>
      <c r="AH260" s="440">
        <v>52799</v>
      </c>
    </row>
    <row r="261" spans="1:35" s="5" customFormat="1" x14ac:dyDescent="0.2">
      <c r="A261" s="33"/>
      <c r="B261" s="57"/>
      <c r="C261" s="58" t="s">
        <v>50</v>
      </c>
      <c r="D261" s="505">
        <v>300000</v>
      </c>
      <c r="E261" s="511">
        <v>300000</v>
      </c>
      <c r="F261" s="506"/>
      <c r="G261" s="506">
        <v>96300</v>
      </c>
      <c r="H261" s="511"/>
      <c r="I261" s="511">
        <f t="shared" si="123"/>
        <v>96300</v>
      </c>
      <c r="J261" s="511">
        <f t="shared" si="127"/>
        <v>203700</v>
      </c>
      <c r="K261" s="29">
        <v>80000</v>
      </c>
      <c r="L261" s="30"/>
      <c r="M261" s="611">
        <v>100000</v>
      </c>
      <c r="N261" s="29"/>
      <c r="O261" s="634"/>
      <c r="P261" s="635"/>
      <c r="Q261" s="634">
        <f t="shared" si="124"/>
        <v>0</v>
      </c>
      <c r="R261" s="634"/>
      <c r="S261" s="634"/>
      <c r="T261" s="505">
        <f t="shared" si="131"/>
        <v>0</v>
      </c>
      <c r="U261" s="29">
        <v>120000</v>
      </c>
      <c r="V261" s="29"/>
      <c r="W261" s="29"/>
      <c r="X261" s="29"/>
      <c r="Y261" s="29"/>
      <c r="Z261" s="29"/>
      <c r="AA261" s="29"/>
      <c r="AB261" s="31"/>
      <c r="AC261" s="465"/>
      <c r="AD261" s="32"/>
      <c r="AE261" s="507"/>
      <c r="AF261" s="508"/>
      <c r="AG261" s="440"/>
      <c r="AH261" s="440">
        <v>51070</v>
      </c>
    </row>
    <row r="262" spans="1:35" s="5" customFormat="1" x14ac:dyDescent="0.2">
      <c r="A262" s="33"/>
      <c r="B262" s="57"/>
      <c r="C262" s="58" t="s">
        <v>62</v>
      </c>
      <c r="D262" s="505">
        <v>120000</v>
      </c>
      <c r="E262" s="511">
        <v>150000</v>
      </c>
      <c r="F262" s="506"/>
      <c r="G262" s="506">
        <v>38500</v>
      </c>
      <c r="H262" s="511"/>
      <c r="I262" s="511">
        <f t="shared" si="123"/>
        <v>38500</v>
      </c>
      <c r="J262" s="511">
        <f t="shared" si="127"/>
        <v>111500</v>
      </c>
      <c r="K262" s="29">
        <v>4443000</v>
      </c>
      <c r="L262" s="30"/>
      <c r="M262" s="611">
        <v>7890000</v>
      </c>
      <c r="N262" s="29"/>
      <c r="O262" s="505"/>
      <c r="P262" s="514"/>
      <c r="Q262" s="505">
        <f t="shared" si="124"/>
        <v>0</v>
      </c>
      <c r="R262" s="505"/>
      <c r="S262" s="505"/>
      <c r="T262" s="505">
        <f t="shared" si="131"/>
        <v>0</v>
      </c>
      <c r="U262" s="29">
        <v>2500000</v>
      </c>
      <c r="V262" s="29"/>
      <c r="W262" s="29"/>
      <c r="X262" s="29"/>
      <c r="Y262" s="29"/>
      <c r="Z262" s="29"/>
      <c r="AA262" s="29"/>
      <c r="AB262" s="31"/>
      <c r="AC262" s="465"/>
      <c r="AD262" s="32"/>
      <c r="AE262" s="507"/>
      <c r="AF262" s="508"/>
      <c r="AG262" s="440"/>
      <c r="AH262" s="440">
        <v>0</v>
      </c>
    </row>
    <row r="263" spans="1:35" s="5" customFormat="1" x14ac:dyDescent="0.2">
      <c r="A263" s="33"/>
      <c r="B263" s="57"/>
      <c r="C263" s="58" t="s">
        <v>81</v>
      </c>
      <c r="D263" s="505">
        <v>12053000</v>
      </c>
      <c r="E263" s="511">
        <v>12053000</v>
      </c>
      <c r="F263" s="506"/>
      <c r="G263" s="506">
        <v>3872900</v>
      </c>
      <c r="H263" s="511"/>
      <c r="I263" s="511">
        <f t="shared" si="123"/>
        <v>3872900</v>
      </c>
      <c r="J263" s="511">
        <f t="shared" si="127"/>
        <v>8180100</v>
      </c>
      <c r="K263" s="52">
        <f>SUM(K264:K276)</f>
        <v>15939100</v>
      </c>
      <c r="L263" s="53">
        <v>11049957.32</v>
      </c>
      <c r="M263" s="613">
        <f>SUM(M264:M276)</f>
        <v>22342000</v>
      </c>
      <c r="N263" s="52">
        <v>15841200</v>
      </c>
      <c r="O263" s="505"/>
      <c r="P263" s="514"/>
      <c r="Q263" s="505">
        <f t="shared" si="124"/>
        <v>0</v>
      </c>
      <c r="R263" s="505"/>
      <c r="S263" s="505"/>
      <c r="T263" s="529">
        <f t="shared" si="131"/>
        <v>6621773.3699999992</v>
      </c>
      <c r="U263" s="52">
        <f>SUM(U264:U276)</f>
        <v>37496000</v>
      </c>
      <c r="V263" s="52">
        <f>SUM(U263*105/100)</f>
        <v>39370800</v>
      </c>
      <c r="W263" s="52">
        <v>41339400</v>
      </c>
      <c r="X263" s="52">
        <v>43406400</v>
      </c>
      <c r="Y263" s="52">
        <f>SUM(X263*5)</f>
        <v>217032000</v>
      </c>
      <c r="Z263" s="52">
        <f>SUM(X263*5)</f>
        <v>217032000</v>
      </c>
      <c r="AA263" s="52">
        <f>SUM(X263*3)</f>
        <v>130219200</v>
      </c>
      <c r="AB263" s="54">
        <v>15841200</v>
      </c>
      <c r="AC263" s="494">
        <v>0</v>
      </c>
      <c r="AD263" s="55">
        <v>15841200</v>
      </c>
      <c r="AE263" s="499">
        <v>15841200</v>
      </c>
      <c r="AF263" s="602"/>
      <c r="AG263" s="440"/>
      <c r="AH263" s="440">
        <v>380849.8</v>
      </c>
    </row>
    <row r="264" spans="1:35" s="5" customFormat="1" x14ac:dyDescent="0.2">
      <c r="A264" s="33"/>
      <c r="B264" s="34" t="s">
        <v>88</v>
      </c>
      <c r="C264" s="35"/>
      <c r="D264" s="529">
        <f>SUM(D265:D277)</f>
        <v>15841200</v>
      </c>
      <c r="E264" s="531">
        <f>SUM(E265:E277)</f>
        <v>38762000</v>
      </c>
      <c r="F264" s="532">
        <v>9269400</v>
      </c>
      <c r="G264" s="532">
        <f>SUM(G265:G277)</f>
        <v>9269400</v>
      </c>
      <c r="H264" s="531">
        <f t="shared" ref="H264" si="137">SUM(H265:H277)</f>
        <v>0</v>
      </c>
      <c r="I264" s="531">
        <f t="shared" ref="I264:I327" si="138">+G264-H264</f>
        <v>9269400</v>
      </c>
      <c r="J264" s="531">
        <f t="shared" si="127"/>
        <v>29492600</v>
      </c>
      <c r="K264" s="29">
        <v>300000</v>
      </c>
      <c r="L264" s="30"/>
      <c r="M264" s="611">
        <v>420000</v>
      </c>
      <c r="N264" s="29"/>
      <c r="O264" s="529">
        <v>15841200</v>
      </c>
      <c r="P264" s="530"/>
      <c r="Q264" s="529">
        <f t="shared" ref="Q264:Q327" si="139">+O264-P264</f>
        <v>15841200</v>
      </c>
      <c r="R264" s="529">
        <v>9219426.6300000008</v>
      </c>
      <c r="S264" s="529"/>
      <c r="T264" s="505">
        <f t="shared" si="131"/>
        <v>0</v>
      </c>
      <c r="U264" s="29">
        <v>360000</v>
      </c>
      <c r="V264" s="29"/>
      <c r="W264" s="29"/>
      <c r="X264" s="29"/>
      <c r="Y264" s="29"/>
      <c r="Z264" s="29"/>
      <c r="AA264" s="29"/>
      <c r="AB264" s="31"/>
      <c r="AC264" s="465"/>
      <c r="AD264" s="32"/>
      <c r="AE264" s="507"/>
      <c r="AF264" s="508"/>
      <c r="AG264" s="632">
        <v>9269400</v>
      </c>
      <c r="AH264" s="440">
        <v>58.51</v>
      </c>
      <c r="AI264" s="636" t="s">
        <v>796</v>
      </c>
    </row>
    <row r="265" spans="1:35" s="5" customFormat="1" x14ac:dyDescent="0.2">
      <c r="A265" s="33"/>
      <c r="B265" s="57"/>
      <c r="C265" s="58" t="s">
        <v>52</v>
      </c>
      <c r="D265" s="505">
        <v>300000</v>
      </c>
      <c r="E265" s="511">
        <v>300000</v>
      </c>
      <c r="F265" s="506"/>
      <c r="G265" s="506">
        <v>175500</v>
      </c>
      <c r="H265" s="511"/>
      <c r="I265" s="511">
        <f t="shared" si="138"/>
        <v>175500</v>
      </c>
      <c r="J265" s="511">
        <f t="shared" si="127"/>
        <v>124500</v>
      </c>
      <c r="K265" s="29">
        <v>300000</v>
      </c>
      <c r="L265" s="30"/>
      <c r="M265" s="611">
        <v>400000</v>
      </c>
      <c r="N265" s="29"/>
      <c r="O265" s="505"/>
      <c r="P265" s="514"/>
      <c r="Q265" s="505">
        <f t="shared" si="139"/>
        <v>0</v>
      </c>
      <c r="R265" s="505"/>
      <c r="S265" s="505"/>
      <c r="T265" s="505">
        <f t="shared" si="131"/>
        <v>0</v>
      </c>
      <c r="U265" s="29">
        <v>300000</v>
      </c>
      <c r="V265" s="29"/>
      <c r="W265" s="29"/>
      <c r="X265" s="29"/>
      <c r="Y265" s="29"/>
      <c r="Z265" s="29"/>
      <c r="AA265" s="29"/>
      <c r="AB265" s="31"/>
      <c r="AC265" s="465"/>
      <c r="AD265" s="32"/>
      <c r="AE265" s="507"/>
      <c r="AF265" s="508"/>
      <c r="AG265" s="440">
        <f>+AG264-G264</f>
        <v>0</v>
      </c>
      <c r="AH265" s="440">
        <v>150880.64000000001</v>
      </c>
      <c r="AI265" s="608" t="s">
        <v>797</v>
      </c>
    </row>
    <row r="266" spans="1:35" s="5" customFormat="1" x14ac:dyDescent="0.2">
      <c r="A266" s="33"/>
      <c r="B266" s="57"/>
      <c r="C266" s="58" t="s">
        <v>49</v>
      </c>
      <c r="D266" s="505">
        <v>300000</v>
      </c>
      <c r="E266" s="511">
        <v>300000</v>
      </c>
      <c r="F266" s="506"/>
      <c r="G266" s="506">
        <v>175500</v>
      </c>
      <c r="H266" s="511"/>
      <c r="I266" s="511">
        <f t="shared" si="138"/>
        <v>175500</v>
      </c>
      <c r="J266" s="511">
        <f t="shared" si="127"/>
        <v>124500</v>
      </c>
      <c r="K266" s="29">
        <v>100000</v>
      </c>
      <c r="L266" s="30"/>
      <c r="M266" s="611">
        <v>180000</v>
      </c>
      <c r="N266" s="29"/>
      <c r="O266" s="505"/>
      <c r="P266" s="514"/>
      <c r="Q266" s="505">
        <f t="shared" si="139"/>
        <v>0</v>
      </c>
      <c r="R266" s="505"/>
      <c r="S266" s="505"/>
      <c r="T266" s="505">
        <f t="shared" si="131"/>
        <v>0</v>
      </c>
      <c r="U266" s="29">
        <v>108000</v>
      </c>
      <c r="V266" s="29"/>
      <c r="W266" s="29"/>
      <c r="X266" s="29"/>
      <c r="Y266" s="29"/>
      <c r="Z266" s="29"/>
      <c r="AA266" s="29"/>
      <c r="AB266" s="31"/>
      <c r="AC266" s="465"/>
      <c r="AD266" s="32"/>
      <c r="AE266" s="507"/>
      <c r="AF266" s="508"/>
      <c r="AG266" s="440"/>
      <c r="AH266" s="440">
        <v>87455.039999999994</v>
      </c>
      <c r="AI266" s="608" t="s">
        <v>798</v>
      </c>
    </row>
    <row r="267" spans="1:35" s="5" customFormat="1" x14ac:dyDescent="0.2">
      <c r="A267" s="33"/>
      <c r="B267" s="57"/>
      <c r="C267" s="58" t="s">
        <v>54</v>
      </c>
      <c r="D267" s="505">
        <v>100000</v>
      </c>
      <c r="E267" s="511">
        <v>108000</v>
      </c>
      <c r="F267" s="506"/>
      <c r="G267" s="506">
        <v>58500</v>
      </c>
      <c r="H267" s="511"/>
      <c r="I267" s="511">
        <f t="shared" si="138"/>
        <v>58500</v>
      </c>
      <c r="J267" s="511">
        <f t="shared" si="127"/>
        <v>49500</v>
      </c>
      <c r="K267" s="29">
        <v>120000</v>
      </c>
      <c r="L267" s="30"/>
      <c r="M267" s="611">
        <v>200000</v>
      </c>
      <c r="N267" s="29"/>
      <c r="O267" s="505"/>
      <c r="P267" s="514"/>
      <c r="Q267" s="505">
        <f t="shared" si="139"/>
        <v>0</v>
      </c>
      <c r="R267" s="505"/>
      <c r="S267" s="505"/>
      <c r="T267" s="505">
        <f t="shared" si="131"/>
        <v>0</v>
      </c>
      <c r="U267" s="29">
        <v>138000</v>
      </c>
      <c r="V267" s="29"/>
      <c r="W267" s="29"/>
      <c r="X267" s="29"/>
      <c r="Y267" s="29"/>
      <c r="Z267" s="29"/>
      <c r="AA267" s="29"/>
      <c r="AB267" s="31"/>
      <c r="AC267" s="465"/>
      <c r="AD267" s="32"/>
      <c r="AE267" s="507"/>
      <c r="AF267" s="508"/>
      <c r="AG267" s="440"/>
      <c r="AH267" s="440">
        <v>93194.880000000005</v>
      </c>
      <c r="AI267" s="608" t="s">
        <v>799</v>
      </c>
    </row>
    <row r="268" spans="1:35" s="5" customFormat="1" x14ac:dyDescent="0.2">
      <c r="A268" s="33"/>
      <c r="B268" s="57"/>
      <c r="C268" s="58" t="s">
        <v>53</v>
      </c>
      <c r="D268" s="505">
        <v>120000</v>
      </c>
      <c r="E268" s="511">
        <v>144000</v>
      </c>
      <c r="F268" s="506"/>
      <c r="G268" s="506">
        <v>70200</v>
      </c>
      <c r="H268" s="511"/>
      <c r="I268" s="511">
        <f t="shared" si="138"/>
        <v>70200</v>
      </c>
      <c r="J268" s="511">
        <f t="shared" si="127"/>
        <v>73800</v>
      </c>
      <c r="K268" s="29"/>
      <c r="L268" s="30"/>
      <c r="M268" s="611"/>
      <c r="N268" s="29"/>
      <c r="O268" s="505"/>
      <c r="P268" s="514"/>
      <c r="Q268" s="505">
        <f t="shared" si="139"/>
        <v>0</v>
      </c>
      <c r="R268" s="505"/>
      <c r="S268" s="505"/>
      <c r="T268" s="505"/>
      <c r="U268" s="29"/>
      <c r="V268" s="29"/>
      <c r="W268" s="29"/>
      <c r="X268" s="29"/>
      <c r="Y268" s="29"/>
      <c r="Z268" s="29"/>
      <c r="AA268" s="29"/>
      <c r="AB268" s="31"/>
      <c r="AC268" s="465"/>
      <c r="AD268" s="32"/>
      <c r="AE268" s="507"/>
      <c r="AF268" s="508"/>
      <c r="AG268" s="440"/>
      <c r="AH268" s="440">
        <v>37020</v>
      </c>
      <c r="AI268" s="608" t="s">
        <v>800</v>
      </c>
    </row>
    <row r="269" spans="1:35" s="5" customFormat="1" x14ac:dyDescent="0.2">
      <c r="A269" s="33"/>
      <c r="B269" s="57"/>
      <c r="C269" s="58" t="s">
        <v>80</v>
      </c>
      <c r="D269" s="505"/>
      <c r="E269" s="511">
        <v>910000</v>
      </c>
      <c r="F269" s="506"/>
      <c r="G269" s="506">
        <v>260000</v>
      </c>
      <c r="H269" s="511"/>
      <c r="I269" s="511">
        <f t="shared" si="138"/>
        <v>260000</v>
      </c>
      <c r="J269" s="511">
        <f t="shared" si="127"/>
        <v>650000</v>
      </c>
      <c r="K269" s="29">
        <v>400000</v>
      </c>
      <c r="L269" s="30"/>
      <c r="M269" s="611">
        <v>540000</v>
      </c>
      <c r="N269" s="29"/>
      <c r="O269" s="505"/>
      <c r="P269" s="514"/>
      <c r="Q269" s="505">
        <f t="shared" si="139"/>
        <v>0</v>
      </c>
      <c r="R269" s="505"/>
      <c r="S269" s="505"/>
      <c r="T269" s="505">
        <f t="shared" ref="T269:T291" si="140">Q270-R270-S270</f>
        <v>0</v>
      </c>
      <c r="U269" s="29">
        <v>540000</v>
      </c>
      <c r="V269" s="29"/>
      <c r="W269" s="29"/>
      <c r="X269" s="29"/>
      <c r="Y269" s="29"/>
      <c r="Z269" s="29"/>
      <c r="AA269" s="29"/>
      <c r="AB269" s="31"/>
      <c r="AC269" s="465"/>
      <c r="AD269" s="32"/>
      <c r="AE269" s="507"/>
      <c r="AF269" s="508"/>
      <c r="AG269" s="440"/>
      <c r="AH269" s="440">
        <v>254495.35999999999</v>
      </c>
    </row>
    <row r="270" spans="1:35" s="5" customFormat="1" x14ac:dyDescent="0.2">
      <c r="A270" s="33"/>
      <c r="B270" s="57"/>
      <c r="C270" s="58" t="s">
        <v>63</v>
      </c>
      <c r="D270" s="505">
        <v>400000</v>
      </c>
      <c r="E270" s="511">
        <v>400000</v>
      </c>
      <c r="F270" s="506"/>
      <c r="G270" s="506">
        <v>234000</v>
      </c>
      <c r="H270" s="511"/>
      <c r="I270" s="511">
        <f t="shared" si="138"/>
        <v>234000</v>
      </c>
      <c r="J270" s="511">
        <f t="shared" si="127"/>
        <v>166000</v>
      </c>
      <c r="K270" s="29">
        <v>300000</v>
      </c>
      <c r="L270" s="30"/>
      <c r="M270" s="611">
        <v>400000</v>
      </c>
      <c r="N270" s="29"/>
      <c r="O270" s="505"/>
      <c r="P270" s="514"/>
      <c r="Q270" s="505">
        <f t="shared" si="139"/>
        <v>0</v>
      </c>
      <c r="R270" s="505"/>
      <c r="S270" s="505"/>
      <c r="T270" s="505">
        <f t="shared" si="140"/>
        <v>0</v>
      </c>
      <c r="U270" s="29">
        <v>400000</v>
      </c>
      <c r="V270" s="29"/>
      <c r="W270" s="29"/>
      <c r="X270" s="29"/>
      <c r="Y270" s="29"/>
      <c r="Z270" s="29"/>
      <c r="AA270" s="29"/>
      <c r="AB270" s="31"/>
      <c r="AC270" s="465"/>
      <c r="AD270" s="32"/>
      <c r="AE270" s="507"/>
      <c r="AF270" s="508"/>
      <c r="AG270" s="440"/>
      <c r="AH270" s="440">
        <v>172774.56</v>
      </c>
    </row>
    <row r="271" spans="1:35" s="5" customFormat="1" x14ac:dyDescent="0.2">
      <c r="A271" s="33"/>
      <c r="B271" s="57"/>
      <c r="C271" s="58" t="s">
        <v>61</v>
      </c>
      <c r="D271" s="505">
        <v>300000</v>
      </c>
      <c r="E271" s="511">
        <v>350000</v>
      </c>
      <c r="F271" s="506"/>
      <c r="G271" s="506">
        <v>175500</v>
      </c>
      <c r="H271" s="511"/>
      <c r="I271" s="511">
        <f t="shared" si="138"/>
        <v>175500</v>
      </c>
      <c r="J271" s="511">
        <f t="shared" si="127"/>
        <v>174500</v>
      </c>
      <c r="K271" s="29">
        <v>250000</v>
      </c>
      <c r="L271" s="30"/>
      <c r="M271" s="611">
        <v>350000</v>
      </c>
      <c r="N271" s="29"/>
      <c r="O271" s="505"/>
      <c r="P271" s="514"/>
      <c r="Q271" s="505">
        <f t="shared" si="139"/>
        <v>0</v>
      </c>
      <c r="R271" s="505"/>
      <c r="S271" s="505"/>
      <c r="T271" s="505">
        <f t="shared" si="140"/>
        <v>0</v>
      </c>
      <c r="U271" s="29">
        <v>350000</v>
      </c>
      <c r="V271" s="29"/>
      <c r="W271" s="29"/>
      <c r="X271" s="29"/>
      <c r="Y271" s="29"/>
      <c r="Z271" s="29"/>
      <c r="AA271" s="29"/>
      <c r="AB271" s="31"/>
      <c r="AC271" s="465"/>
      <c r="AD271" s="32"/>
      <c r="AE271" s="507"/>
      <c r="AF271" s="508"/>
      <c r="AG271" s="440"/>
      <c r="AH271" s="440">
        <v>140439.35999999999</v>
      </c>
    </row>
    <row r="272" spans="1:35" s="5" customFormat="1" x14ac:dyDescent="0.2">
      <c r="A272" s="33"/>
      <c r="B272" s="57"/>
      <c r="C272" s="58" t="s">
        <v>51</v>
      </c>
      <c r="D272" s="505">
        <v>250000</v>
      </c>
      <c r="E272" s="511">
        <v>350000</v>
      </c>
      <c r="F272" s="506"/>
      <c r="G272" s="506">
        <v>146200</v>
      </c>
      <c r="H272" s="511"/>
      <c r="I272" s="511">
        <f t="shared" si="138"/>
        <v>146200</v>
      </c>
      <c r="J272" s="511">
        <f t="shared" si="127"/>
        <v>203800</v>
      </c>
      <c r="K272" s="29">
        <v>5000000</v>
      </c>
      <c r="L272" s="30"/>
      <c r="M272" s="611">
        <v>16500000</v>
      </c>
      <c r="N272" s="29"/>
      <c r="O272" s="505"/>
      <c r="P272" s="514"/>
      <c r="Q272" s="505">
        <f t="shared" si="139"/>
        <v>0</v>
      </c>
      <c r="R272" s="505"/>
      <c r="S272" s="505"/>
      <c r="T272" s="505">
        <f t="shared" si="140"/>
        <v>0</v>
      </c>
      <c r="U272" s="29">
        <v>25480000</v>
      </c>
      <c r="V272" s="29"/>
      <c r="W272" s="29"/>
      <c r="X272" s="29"/>
      <c r="Y272" s="29"/>
      <c r="Z272" s="29"/>
      <c r="AA272" s="29"/>
      <c r="AB272" s="31"/>
      <c r="AC272" s="465"/>
      <c r="AD272" s="32"/>
      <c r="AE272" s="507"/>
      <c r="AF272" s="508"/>
      <c r="AG272" s="440"/>
      <c r="AH272" s="440">
        <v>80180.800000000003</v>
      </c>
    </row>
    <row r="273" spans="1:35" s="5" customFormat="1" x14ac:dyDescent="0.2">
      <c r="A273" s="33"/>
      <c r="B273" s="57"/>
      <c r="C273" s="58" t="s">
        <v>42</v>
      </c>
      <c r="D273" s="505">
        <v>5000000</v>
      </c>
      <c r="E273" s="511">
        <v>26020000</v>
      </c>
      <c r="F273" s="506"/>
      <c r="G273" s="506">
        <v>2925500</v>
      </c>
      <c r="H273" s="511"/>
      <c r="I273" s="511">
        <f t="shared" si="138"/>
        <v>2925500</v>
      </c>
      <c r="J273" s="511">
        <f t="shared" si="127"/>
        <v>23094500</v>
      </c>
      <c r="K273" s="29">
        <v>220000</v>
      </c>
      <c r="L273" s="30"/>
      <c r="M273" s="611">
        <v>250000</v>
      </c>
      <c r="N273" s="29"/>
      <c r="O273" s="505"/>
      <c r="P273" s="514"/>
      <c r="Q273" s="505">
        <f t="shared" si="139"/>
        <v>0</v>
      </c>
      <c r="R273" s="505"/>
      <c r="S273" s="505"/>
      <c r="T273" s="505">
        <f t="shared" si="140"/>
        <v>0</v>
      </c>
      <c r="U273" s="29">
        <v>220000</v>
      </c>
      <c r="V273" s="29"/>
      <c r="W273" s="29"/>
      <c r="X273" s="29"/>
      <c r="Y273" s="29"/>
      <c r="Z273" s="29"/>
      <c r="AA273" s="29"/>
      <c r="AB273" s="31"/>
      <c r="AC273" s="465"/>
      <c r="AD273" s="32"/>
      <c r="AE273" s="507"/>
      <c r="AF273" s="508"/>
      <c r="AG273" s="440"/>
      <c r="AH273" s="440">
        <v>3689227.63</v>
      </c>
    </row>
    <row r="274" spans="1:35" s="5" customFormat="1" x14ac:dyDescent="0.2">
      <c r="A274" s="33"/>
      <c r="B274" s="57"/>
      <c r="C274" s="58" t="s">
        <v>43</v>
      </c>
      <c r="D274" s="505">
        <v>220000</v>
      </c>
      <c r="E274" s="511">
        <v>220000</v>
      </c>
      <c r="F274" s="506"/>
      <c r="G274" s="506">
        <v>128700</v>
      </c>
      <c r="H274" s="511"/>
      <c r="I274" s="511">
        <f t="shared" si="138"/>
        <v>128700</v>
      </c>
      <c r="J274" s="511">
        <f t="shared" si="127"/>
        <v>91300</v>
      </c>
      <c r="K274" s="29">
        <v>500000</v>
      </c>
      <c r="L274" s="30"/>
      <c r="M274" s="611">
        <v>700000</v>
      </c>
      <c r="N274" s="29"/>
      <c r="O274" s="505"/>
      <c r="P274" s="514"/>
      <c r="Q274" s="505">
        <f t="shared" si="139"/>
        <v>0</v>
      </c>
      <c r="R274" s="505"/>
      <c r="S274" s="505"/>
      <c r="T274" s="505">
        <f t="shared" si="140"/>
        <v>0</v>
      </c>
      <c r="U274" s="29">
        <v>800000</v>
      </c>
      <c r="V274" s="29"/>
      <c r="W274" s="29"/>
      <c r="X274" s="29"/>
      <c r="Y274" s="29"/>
      <c r="Z274" s="29"/>
      <c r="AA274" s="29"/>
      <c r="AB274" s="31"/>
      <c r="AC274" s="465"/>
      <c r="AD274" s="32"/>
      <c r="AE274" s="507"/>
      <c r="AF274" s="508"/>
      <c r="AG274" s="440"/>
      <c r="AH274" s="440">
        <v>87211.839999999997</v>
      </c>
    </row>
    <row r="275" spans="1:35" s="5" customFormat="1" x14ac:dyDescent="0.2">
      <c r="A275" s="33"/>
      <c r="B275" s="57"/>
      <c r="C275" s="58" t="s">
        <v>50</v>
      </c>
      <c r="D275" s="505">
        <v>500000</v>
      </c>
      <c r="E275" s="511">
        <v>800000</v>
      </c>
      <c r="F275" s="506"/>
      <c r="G275" s="506">
        <v>292500</v>
      </c>
      <c r="H275" s="511"/>
      <c r="I275" s="511">
        <f t="shared" si="138"/>
        <v>292500</v>
      </c>
      <c r="J275" s="511">
        <f t="shared" si="127"/>
        <v>507500</v>
      </c>
      <c r="K275" s="29">
        <v>250000</v>
      </c>
      <c r="L275" s="30"/>
      <c r="M275" s="611">
        <v>250000</v>
      </c>
      <c r="N275" s="29"/>
      <c r="O275" s="505"/>
      <c r="P275" s="514"/>
      <c r="Q275" s="505">
        <f t="shared" si="139"/>
        <v>0</v>
      </c>
      <c r="R275" s="505"/>
      <c r="S275" s="505"/>
      <c r="T275" s="505">
        <f t="shared" si="140"/>
        <v>0</v>
      </c>
      <c r="U275" s="29">
        <v>300000</v>
      </c>
      <c r="V275" s="29"/>
      <c r="W275" s="29"/>
      <c r="X275" s="29"/>
      <c r="Y275" s="29"/>
      <c r="Z275" s="29"/>
      <c r="AA275" s="29"/>
      <c r="AB275" s="31"/>
      <c r="AC275" s="465"/>
      <c r="AD275" s="32"/>
      <c r="AE275" s="507"/>
      <c r="AF275" s="508"/>
      <c r="AG275" s="440"/>
      <c r="AH275" s="440">
        <v>207673.12</v>
      </c>
    </row>
    <row r="276" spans="1:35" s="5" customFormat="1" x14ac:dyDescent="0.2">
      <c r="A276" s="33"/>
      <c r="B276" s="57"/>
      <c r="C276" s="58" t="s">
        <v>62</v>
      </c>
      <c r="D276" s="505">
        <v>250000</v>
      </c>
      <c r="E276" s="511">
        <v>360000</v>
      </c>
      <c r="F276" s="506"/>
      <c r="G276" s="506">
        <v>146200</v>
      </c>
      <c r="H276" s="511"/>
      <c r="I276" s="511">
        <f t="shared" si="138"/>
        <v>146200</v>
      </c>
      <c r="J276" s="511">
        <f t="shared" ref="J276:J339" si="141">+E276-G276</f>
        <v>213800</v>
      </c>
      <c r="K276" s="29">
        <v>8199100</v>
      </c>
      <c r="L276" s="30"/>
      <c r="M276" s="611">
        <v>2152000</v>
      </c>
      <c r="N276" s="29"/>
      <c r="O276" s="505"/>
      <c r="P276" s="514"/>
      <c r="Q276" s="505">
        <f t="shared" si="139"/>
        <v>0</v>
      </c>
      <c r="R276" s="505"/>
      <c r="S276" s="505"/>
      <c r="T276" s="505">
        <f t="shared" si="140"/>
        <v>0</v>
      </c>
      <c r="U276" s="29">
        <v>8500000</v>
      </c>
      <c r="V276" s="29"/>
      <c r="W276" s="29"/>
      <c r="X276" s="29"/>
      <c r="Y276" s="29"/>
      <c r="Z276" s="29"/>
      <c r="AA276" s="29"/>
      <c r="AB276" s="31"/>
      <c r="AC276" s="465"/>
      <c r="AD276" s="32"/>
      <c r="AE276" s="507"/>
      <c r="AF276" s="508"/>
      <c r="AG276" s="440"/>
      <c r="AH276" s="440">
        <v>114621.44</v>
      </c>
    </row>
    <row r="277" spans="1:35" s="5" customFormat="1" x14ac:dyDescent="0.2">
      <c r="A277" s="101"/>
      <c r="B277" s="117"/>
      <c r="C277" s="118" t="s">
        <v>686</v>
      </c>
      <c r="D277" s="615">
        <v>8101200</v>
      </c>
      <c r="E277" s="623">
        <v>8500000</v>
      </c>
      <c r="F277" s="624"/>
      <c r="G277" s="624">
        <f>4740000-258900</f>
        <v>4481100</v>
      </c>
      <c r="H277" s="623"/>
      <c r="I277" s="623">
        <f t="shared" si="138"/>
        <v>4481100</v>
      </c>
      <c r="J277" s="623">
        <f t="shared" si="141"/>
        <v>4018900</v>
      </c>
      <c r="K277" s="52" t="e">
        <f>SUM(K278:K467)</f>
        <v>#REF!</v>
      </c>
      <c r="L277" s="53">
        <v>146867493.16999999</v>
      </c>
      <c r="M277" s="613" t="e">
        <f>SUM(M278:M467)</f>
        <v>#REF!</v>
      </c>
      <c r="N277" s="52">
        <v>174935000</v>
      </c>
      <c r="O277" s="505"/>
      <c r="P277" s="514"/>
      <c r="Q277" s="505">
        <f t="shared" si="139"/>
        <v>0</v>
      </c>
      <c r="R277" s="505"/>
      <c r="S277" s="505"/>
      <c r="T277" s="529">
        <f t="shared" si="140"/>
        <v>-37060444.469999999</v>
      </c>
      <c r="U277" s="52">
        <f>SUM(U278:U467)</f>
        <v>3342211744700</v>
      </c>
      <c r="V277" s="52">
        <v>215907500</v>
      </c>
      <c r="W277" s="52">
        <v>226702900</v>
      </c>
      <c r="X277" s="52">
        <v>238038100</v>
      </c>
      <c r="Y277" s="52">
        <f>SUM(X277*5)</f>
        <v>1190190500</v>
      </c>
      <c r="Z277" s="52">
        <f>SUM(X277*5)</f>
        <v>1190190500</v>
      </c>
      <c r="AA277" s="52">
        <f>SUM(X277*3)</f>
        <v>714114300</v>
      </c>
      <c r="AB277" s="54">
        <v>175705100</v>
      </c>
      <c r="AC277" s="494">
        <v>0</v>
      </c>
      <c r="AD277" s="55">
        <v>175705100</v>
      </c>
      <c r="AE277" s="499">
        <v>175705100</v>
      </c>
      <c r="AF277" s="602"/>
      <c r="AG277" s="440"/>
      <c r="AH277" s="440">
        <v>4104251.96</v>
      </c>
    </row>
    <row r="278" spans="1:35" s="5" customFormat="1" x14ac:dyDescent="0.2">
      <c r="A278" s="96"/>
      <c r="B278" s="97" t="s">
        <v>89</v>
      </c>
      <c r="C278" s="123"/>
      <c r="D278" s="621">
        <f>SUM(D279:D291)</f>
        <v>95705100</v>
      </c>
      <c r="E278" s="637">
        <f>SUM(E279:E291)</f>
        <v>110181000</v>
      </c>
      <c r="F278" s="638">
        <v>87132200</v>
      </c>
      <c r="G278" s="638">
        <f>SUM(G279:G291)</f>
        <v>87132200</v>
      </c>
      <c r="H278" s="637">
        <f t="shared" ref="H278" si="142">SUM(H279:H291)</f>
        <v>0</v>
      </c>
      <c r="I278" s="637">
        <f t="shared" si="138"/>
        <v>87132200</v>
      </c>
      <c r="J278" s="637">
        <f t="shared" si="141"/>
        <v>23048800</v>
      </c>
      <c r="K278" s="29">
        <v>500000</v>
      </c>
      <c r="L278" s="30"/>
      <c r="M278" s="611">
        <v>800000</v>
      </c>
      <c r="N278" s="29"/>
      <c r="O278" s="529">
        <f>174935000-80000000</f>
        <v>94935000</v>
      </c>
      <c r="P278" s="530"/>
      <c r="Q278" s="529">
        <f t="shared" si="139"/>
        <v>94935000</v>
      </c>
      <c r="R278" s="529">
        <f>9978507.12+14828267.96+46613490.84+60575178.55</f>
        <v>131995444.47</v>
      </c>
      <c r="S278" s="529"/>
      <c r="T278" s="505">
        <f t="shared" si="140"/>
        <v>0</v>
      </c>
      <c r="U278" s="29">
        <v>800000</v>
      </c>
      <c r="V278" s="29"/>
      <c r="W278" s="29"/>
      <c r="X278" s="29"/>
      <c r="Y278" s="29"/>
      <c r="Z278" s="29"/>
      <c r="AA278" s="29"/>
      <c r="AB278" s="31"/>
      <c r="AC278" s="465"/>
      <c r="AD278" s="32"/>
      <c r="AE278" s="507"/>
      <c r="AF278" s="508"/>
      <c r="AG278" s="639">
        <v>87132200</v>
      </c>
      <c r="AH278" s="440"/>
      <c r="AI278" s="608" t="s">
        <v>796</v>
      </c>
    </row>
    <row r="279" spans="1:35" s="5" customFormat="1" x14ac:dyDescent="0.2">
      <c r="A279" s="33"/>
      <c r="B279" s="57"/>
      <c r="C279" s="58" t="s">
        <v>52</v>
      </c>
      <c r="D279" s="505">
        <v>500000</v>
      </c>
      <c r="E279" s="511">
        <v>500000</v>
      </c>
      <c r="F279" s="506"/>
      <c r="G279" s="506">
        <v>455200</v>
      </c>
      <c r="H279" s="511"/>
      <c r="I279" s="511">
        <f t="shared" si="138"/>
        <v>455200</v>
      </c>
      <c r="J279" s="511">
        <f t="shared" si="141"/>
        <v>44800</v>
      </c>
      <c r="K279" s="29">
        <v>250000</v>
      </c>
      <c r="L279" s="30"/>
      <c r="M279" s="611">
        <v>450000</v>
      </c>
      <c r="N279" s="29"/>
      <c r="O279" s="505"/>
      <c r="P279" s="514"/>
      <c r="Q279" s="505">
        <f t="shared" si="139"/>
        <v>0</v>
      </c>
      <c r="R279" s="505"/>
      <c r="S279" s="505"/>
      <c r="T279" s="505">
        <f t="shared" si="140"/>
        <v>0</v>
      </c>
      <c r="U279" s="29">
        <v>365000</v>
      </c>
      <c r="V279" s="29"/>
      <c r="W279" s="29"/>
      <c r="X279" s="29"/>
      <c r="Y279" s="29"/>
      <c r="Z279" s="29"/>
      <c r="AA279" s="29"/>
      <c r="AB279" s="31"/>
      <c r="AC279" s="465"/>
      <c r="AD279" s="32"/>
      <c r="AE279" s="507"/>
      <c r="AF279" s="508"/>
      <c r="AG279" s="640"/>
      <c r="AH279" s="440">
        <v>95896</v>
      </c>
      <c r="AI279" s="608" t="s">
        <v>797</v>
      </c>
    </row>
    <row r="280" spans="1:35" s="5" customFormat="1" x14ac:dyDescent="0.2">
      <c r="A280" s="33"/>
      <c r="B280" s="57"/>
      <c r="C280" s="58" t="s">
        <v>49</v>
      </c>
      <c r="D280" s="505">
        <v>250000</v>
      </c>
      <c r="E280" s="511">
        <v>322000</v>
      </c>
      <c r="F280" s="506"/>
      <c r="G280" s="506">
        <v>227600</v>
      </c>
      <c r="H280" s="511"/>
      <c r="I280" s="511">
        <f t="shared" si="138"/>
        <v>227600</v>
      </c>
      <c r="J280" s="511">
        <f t="shared" si="141"/>
        <v>94400</v>
      </c>
      <c r="K280" s="29">
        <v>500000</v>
      </c>
      <c r="L280" s="30"/>
      <c r="M280" s="611">
        <v>600000</v>
      </c>
      <c r="N280" s="29"/>
      <c r="O280" s="505"/>
      <c r="P280" s="514"/>
      <c r="Q280" s="505">
        <f t="shared" si="139"/>
        <v>0</v>
      </c>
      <c r="R280" s="505"/>
      <c r="S280" s="505"/>
      <c r="T280" s="505">
        <f t="shared" si="140"/>
        <v>0</v>
      </c>
      <c r="U280" s="29">
        <v>600000</v>
      </c>
      <c r="V280" s="29"/>
      <c r="W280" s="29"/>
      <c r="X280" s="29"/>
      <c r="Y280" s="29"/>
      <c r="Z280" s="29"/>
      <c r="AA280" s="29"/>
      <c r="AB280" s="31"/>
      <c r="AC280" s="465"/>
      <c r="AD280" s="32"/>
      <c r="AE280" s="507"/>
      <c r="AF280" s="508"/>
      <c r="AG280" s="640"/>
      <c r="AH280" s="440">
        <v>29525</v>
      </c>
      <c r="AI280" s="608" t="s">
        <v>798</v>
      </c>
    </row>
    <row r="281" spans="1:35" s="5" customFormat="1" x14ac:dyDescent="0.2">
      <c r="A281" s="33"/>
      <c r="B281" s="57"/>
      <c r="C281" s="58" t="s">
        <v>54</v>
      </c>
      <c r="D281" s="505">
        <v>500000</v>
      </c>
      <c r="E281" s="511">
        <v>600000</v>
      </c>
      <c r="F281" s="506"/>
      <c r="G281" s="506">
        <v>455200</v>
      </c>
      <c r="H281" s="511"/>
      <c r="I281" s="511">
        <f t="shared" si="138"/>
        <v>455200</v>
      </c>
      <c r="J281" s="511">
        <f t="shared" si="141"/>
        <v>144800</v>
      </c>
      <c r="K281" s="29">
        <v>300000</v>
      </c>
      <c r="L281" s="30"/>
      <c r="M281" s="611">
        <v>350000</v>
      </c>
      <c r="N281" s="29"/>
      <c r="O281" s="505"/>
      <c r="P281" s="514"/>
      <c r="Q281" s="505">
        <f t="shared" si="139"/>
        <v>0</v>
      </c>
      <c r="R281" s="505"/>
      <c r="S281" s="505"/>
      <c r="T281" s="505">
        <f t="shared" si="140"/>
        <v>0</v>
      </c>
      <c r="U281" s="29">
        <v>345000</v>
      </c>
      <c r="V281" s="29"/>
      <c r="W281" s="29"/>
      <c r="X281" s="29"/>
      <c r="Y281" s="29"/>
      <c r="Z281" s="29"/>
      <c r="AA281" s="29"/>
      <c r="AB281" s="31"/>
      <c r="AC281" s="465"/>
      <c r="AD281" s="32"/>
      <c r="AE281" s="507"/>
      <c r="AF281" s="508"/>
      <c r="AG281" s="640"/>
      <c r="AH281" s="440">
        <v>133440</v>
      </c>
      <c r="AI281" s="5" t="s">
        <v>801</v>
      </c>
    </row>
    <row r="282" spans="1:35" s="5" customFormat="1" x14ac:dyDescent="0.2">
      <c r="A282" s="33"/>
      <c r="B282" s="57"/>
      <c r="C282" s="58" t="s">
        <v>53</v>
      </c>
      <c r="D282" s="505">
        <v>300000</v>
      </c>
      <c r="E282" s="511">
        <v>360000</v>
      </c>
      <c r="F282" s="506"/>
      <c r="G282" s="506">
        <v>273100</v>
      </c>
      <c r="H282" s="511"/>
      <c r="I282" s="511">
        <f t="shared" si="138"/>
        <v>273100</v>
      </c>
      <c r="J282" s="511">
        <f t="shared" si="141"/>
        <v>86900</v>
      </c>
      <c r="K282" s="29">
        <v>2000000</v>
      </c>
      <c r="L282" s="30"/>
      <c r="M282" s="611">
        <v>2256460</v>
      </c>
      <c r="N282" s="29"/>
      <c r="O282" s="505"/>
      <c r="P282" s="514"/>
      <c r="Q282" s="505">
        <f t="shared" si="139"/>
        <v>0</v>
      </c>
      <c r="R282" s="505"/>
      <c r="S282" s="505"/>
      <c r="T282" s="505">
        <f t="shared" si="140"/>
        <v>0</v>
      </c>
      <c r="U282" s="29">
        <v>4706300</v>
      </c>
      <c r="V282" s="29"/>
      <c r="W282" s="29"/>
      <c r="X282" s="29"/>
      <c r="Y282" s="29"/>
      <c r="Z282" s="29"/>
      <c r="AA282" s="29"/>
      <c r="AB282" s="31"/>
      <c r="AC282" s="465"/>
      <c r="AD282" s="32"/>
      <c r="AE282" s="507"/>
      <c r="AF282" s="508"/>
      <c r="AG282" s="640"/>
      <c r="AH282" s="440">
        <v>32134</v>
      </c>
    </row>
    <row r="283" spans="1:35" s="5" customFormat="1" x14ac:dyDescent="0.2">
      <c r="A283" s="33"/>
      <c r="B283" s="57"/>
      <c r="C283" s="58" t="s">
        <v>80</v>
      </c>
      <c r="D283" s="505">
        <v>3000000</v>
      </c>
      <c r="E283" s="511">
        <v>5727400</v>
      </c>
      <c r="F283" s="506"/>
      <c r="G283" s="506">
        <v>2731300</v>
      </c>
      <c r="H283" s="511"/>
      <c r="I283" s="511">
        <f t="shared" si="138"/>
        <v>2731300</v>
      </c>
      <c r="J283" s="511">
        <f t="shared" si="141"/>
        <v>2996100</v>
      </c>
      <c r="K283" s="29">
        <v>100000</v>
      </c>
      <c r="L283" s="30"/>
      <c r="M283" s="611">
        <v>200000</v>
      </c>
      <c r="N283" s="29"/>
      <c r="O283" s="505"/>
      <c r="P283" s="514"/>
      <c r="Q283" s="505">
        <f t="shared" si="139"/>
        <v>0</v>
      </c>
      <c r="R283" s="505"/>
      <c r="S283" s="505"/>
      <c r="T283" s="505">
        <f t="shared" si="140"/>
        <v>0</v>
      </c>
      <c r="U283" s="29">
        <v>200000</v>
      </c>
      <c r="V283" s="29"/>
      <c r="W283" s="29"/>
      <c r="X283" s="29"/>
      <c r="Y283" s="29"/>
      <c r="Z283" s="29"/>
      <c r="AA283" s="29"/>
      <c r="AB283" s="31"/>
      <c r="AC283" s="465"/>
      <c r="AD283" s="32"/>
      <c r="AE283" s="507"/>
      <c r="AF283" s="508"/>
      <c r="AG283" s="640"/>
      <c r="AH283" s="440">
        <v>3945330.5999999996</v>
      </c>
    </row>
    <row r="284" spans="1:35" s="5" customFormat="1" x14ac:dyDescent="0.2">
      <c r="A284" s="33"/>
      <c r="B284" s="57"/>
      <c r="C284" s="58" t="s">
        <v>63</v>
      </c>
      <c r="D284" s="505">
        <v>150000</v>
      </c>
      <c r="E284" s="511">
        <v>200000</v>
      </c>
      <c r="F284" s="506"/>
      <c r="G284" s="506">
        <v>136600</v>
      </c>
      <c r="H284" s="511"/>
      <c r="I284" s="511">
        <f t="shared" si="138"/>
        <v>136600</v>
      </c>
      <c r="J284" s="511">
        <f t="shared" si="141"/>
        <v>63400</v>
      </c>
      <c r="K284" s="29">
        <v>150000</v>
      </c>
      <c r="L284" s="30"/>
      <c r="M284" s="611">
        <v>270000</v>
      </c>
      <c r="N284" s="29"/>
      <c r="O284" s="505"/>
      <c r="P284" s="514"/>
      <c r="Q284" s="505">
        <f t="shared" si="139"/>
        <v>0</v>
      </c>
      <c r="R284" s="505"/>
      <c r="S284" s="505"/>
      <c r="T284" s="505">
        <f t="shared" si="140"/>
        <v>0</v>
      </c>
      <c r="U284" s="29">
        <v>300000</v>
      </c>
      <c r="V284" s="29"/>
      <c r="W284" s="29"/>
      <c r="X284" s="29"/>
      <c r="Y284" s="29"/>
      <c r="Z284" s="29"/>
      <c r="AA284" s="29"/>
      <c r="AB284" s="31"/>
      <c r="AC284" s="465"/>
      <c r="AD284" s="32"/>
      <c r="AE284" s="507"/>
      <c r="AF284" s="508"/>
      <c r="AG284" s="640"/>
      <c r="AH284" s="440">
        <v>142475</v>
      </c>
    </row>
    <row r="285" spans="1:35" s="5" customFormat="1" x14ac:dyDescent="0.2">
      <c r="A285" s="33"/>
      <c r="B285" s="57"/>
      <c r="C285" s="58" t="s">
        <v>61</v>
      </c>
      <c r="D285" s="505">
        <v>150000</v>
      </c>
      <c r="E285" s="511">
        <v>200000</v>
      </c>
      <c r="F285" s="506"/>
      <c r="G285" s="506">
        <v>136600</v>
      </c>
      <c r="H285" s="511"/>
      <c r="I285" s="511">
        <f t="shared" si="138"/>
        <v>136600</v>
      </c>
      <c r="J285" s="511">
        <f t="shared" si="141"/>
        <v>63400</v>
      </c>
      <c r="K285" s="29">
        <v>100000</v>
      </c>
      <c r="L285" s="30"/>
      <c r="M285" s="611">
        <v>700000</v>
      </c>
      <c r="N285" s="29"/>
      <c r="O285" s="505"/>
      <c r="P285" s="514"/>
      <c r="Q285" s="505">
        <f t="shared" si="139"/>
        <v>0</v>
      </c>
      <c r="R285" s="505"/>
      <c r="S285" s="505"/>
      <c r="T285" s="505">
        <f t="shared" si="140"/>
        <v>0</v>
      </c>
      <c r="U285" s="29">
        <v>250000</v>
      </c>
      <c r="V285" s="29"/>
      <c r="W285" s="29"/>
      <c r="X285" s="29"/>
      <c r="Y285" s="29"/>
      <c r="Z285" s="29"/>
      <c r="AA285" s="29"/>
      <c r="AB285" s="31"/>
      <c r="AC285" s="465"/>
      <c r="AD285" s="32"/>
      <c r="AE285" s="507"/>
      <c r="AF285" s="508"/>
      <c r="AG285" s="640"/>
      <c r="AH285" s="440">
        <v>47066</v>
      </c>
    </row>
    <row r="286" spans="1:35" s="5" customFormat="1" x14ac:dyDescent="0.2">
      <c r="A286" s="33"/>
      <c r="B286" s="57"/>
      <c r="C286" s="58" t="s">
        <v>51</v>
      </c>
      <c r="D286" s="505">
        <v>150000</v>
      </c>
      <c r="E286" s="511">
        <v>250000</v>
      </c>
      <c r="F286" s="506"/>
      <c r="G286" s="506">
        <v>136600</v>
      </c>
      <c r="H286" s="511"/>
      <c r="I286" s="511">
        <f t="shared" si="138"/>
        <v>136600</v>
      </c>
      <c r="J286" s="511">
        <f t="shared" si="141"/>
        <v>113400</v>
      </c>
      <c r="K286" s="29">
        <v>15000000</v>
      </c>
      <c r="L286" s="30"/>
      <c r="M286" s="611">
        <v>20000000</v>
      </c>
      <c r="N286" s="29"/>
      <c r="O286" s="505"/>
      <c r="P286" s="514"/>
      <c r="Q286" s="505">
        <f t="shared" si="139"/>
        <v>0</v>
      </c>
      <c r="R286" s="505"/>
      <c r="S286" s="505"/>
      <c r="T286" s="505">
        <f t="shared" si="140"/>
        <v>0</v>
      </c>
      <c r="U286" s="29">
        <v>18450000</v>
      </c>
      <c r="V286" s="29"/>
      <c r="W286" s="29"/>
      <c r="X286" s="29"/>
      <c r="Y286" s="29"/>
      <c r="Z286" s="29"/>
      <c r="AA286" s="29"/>
      <c r="AB286" s="31"/>
      <c r="AC286" s="465"/>
      <c r="AD286" s="32"/>
      <c r="AE286" s="507"/>
      <c r="AF286" s="508"/>
      <c r="AG286" s="640"/>
      <c r="AH286" s="440">
        <v>188516.56</v>
      </c>
    </row>
    <row r="287" spans="1:35" s="5" customFormat="1" x14ac:dyDescent="0.2">
      <c r="A287" s="33"/>
      <c r="B287" s="57"/>
      <c r="C287" s="58" t="s">
        <v>42</v>
      </c>
      <c r="D287" s="505">
        <v>15000000</v>
      </c>
      <c r="E287" s="511">
        <v>18200000</v>
      </c>
      <c r="F287" s="506"/>
      <c r="G287" s="506">
        <v>15000000</v>
      </c>
      <c r="H287" s="511"/>
      <c r="I287" s="511">
        <f t="shared" si="138"/>
        <v>15000000</v>
      </c>
      <c r="J287" s="511">
        <f t="shared" si="141"/>
        <v>3200000</v>
      </c>
      <c r="K287" s="29">
        <v>500000</v>
      </c>
      <c r="L287" s="30"/>
      <c r="M287" s="611">
        <v>580000</v>
      </c>
      <c r="N287" s="29"/>
      <c r="O287" s="505"/>
      <c r="P287" s="514"/>
      <c r="Q287" s="505">
        <f t="shared" si="139"/>
        <v>0</v>
      </c>
      <c r="R287" s="505"/>
      <c r="S287" s="505"/>
      <c r="T287" s="505">
        <f t="shared" si="140"/>
        <v>0</v>
      </c>
      <c r="U287" s="29">
        <v>750000</v>
      </c>
      <c r="V287" s="29"/>
      <c r="W287" s="29"/>
      <c r="X287" s="29"/>
      <c r="Y287" s="29"/>
      <c r="Z287" s="29"/>
      <c r="AA287" s="29"/>
      <c r="AB287" s="31"/>
      <c r="AC287" s="465"/>
      <c r="AD287" s="32"/>
      <c r="AE287" s="507"/>
      <c r="AF287" s="508"/>
      <c r="AG287" s="640"/>
      <c r="AH287" s="440">
        <v>15440421.5</v>
      </c>
    </row>
    <row r="288" spans="1:35" s="5" customFormat="1" x14ac:dyDescent="0.2">
      <c r="A288" s="33"/>
      <c r="B288" s="57"/>
      <c r="C288" s="58" t="s">
        <v>43</v>
      </c>
      <c r="D288" s="505">
        <v>600000</v>
      </c>
      <c r="E288" s="511">
        <v>600000</v>
      </c>
      <c r="F288" s="506"/>
      <c r="G288" s="506">
        <v>546300</v>
      </c>
      <c r="H288" s="511"/>
      <c r="I288" s="511">
        <f t="shared" si="138"/>
        <v>546300</v>
      </c>
      <c r="J288" s="511">
        <f t="shared" si="141"/>
        <v>53700</v>
      </c>
      <c r="K288" s="29">
        <v>150000</v>
      </c>
      <c r="L288" s="30"/>
      <c r="M288" s="611">
        <v>800000</v>
      </c>
      <c r="N288" s="29"/>
      <c r="O288" s="505"/>
      <c r="P288" s="514"/>
      <c r="Q288" s="505">
        <f t="shared" si="139"/>
        <v>0</v>
      </c>
      <c r="R288" s="505"/>
      <c r="S288" s="505"/>
      <c r="T288" s="505">
        <f t="shared" si="140"/>
        <v>0</v>
      </c>
      <c r="U288" s="29">
        <v>900000</v>
      </c>
      <c r="V288" s="29"/>
      <c r="W288" s="29"/>
      <c r="X288" s="29"/>
      <c r="Y288" s="29"/>
      <c r="Z288" s="29"/>
      <c r="AA288" s="29"/>
      <c r="AB288" s="31"/>
      <c r="AC288" s="465"/>
      <c r="AD288" s="32"/>
      <c r="AE288" s="507"/>
      <c r="AF288" s="508"/>
      <c r="AG288" s="640"/>
      <c r="AH288" s="440">
        <v>500451.5</v>
      </c>
    </row>
    <row r="289" spans="1:35" s="5" customFormat="1" x14ac:dyDescent="0.2">
      <c r="A289" s="33"/>
      <c r="B289" s="57"/>
      <c r="C289" s="58" t="s">
        <v>50</v>
      </c>
      <c r="D289" s="505">
        <v>300000</v>
      </c>
      <c r="E289" s="511">
        <v>900000</v>
      </c>
      <c r="F289" s="506"/>
      <c r="G289" s="506">
        <v>273100</v>
      </c>
      <c r="H289" s="511"/>
      <c r="I289" s="511">
        <f t="shared" si="138"/>
        <v>273100</v>
      </c>
      <c r="J289" s="511">
        <f t="shared" si="141"/>
        <v>626900</v>
      </c>
      <c r="K289" s="29">
        <v>150000</v>
      </c>
      <c r="L289" s="30"/>
      <c r="M289" s="611">
        <v>250000</v>
      </c>
      <c r="N289" s="29"/>
      <c r="O289" s="505"/>
      <c r="P289" s="514"/>
      <c r="Q289" s="505">
        <f t="shared" si="139"/>
        <v>0</v>
      </c>
      <c r="R289" s="505"/>
      <c r="S289" s="505"/>
      <c r="T289" s="505">
        <f t="shared" si="140"/>
        <v>0</v>
      </c>
      <c r="U289" s="29">
        <v>504000</v>
      </c>
      <c r="V289" s="29"/>
      <c r="W289" s="29"/>
      <c r="X289" s="29"/>
      <c r="Y289" s="29"/>
      <c r="Z289" s="29"/>
      <c r="AA289" s="29"/>
      <c r="AB289" s="31"/>
      <c r="AC289" s="465"/>
      <c r="AD289" s="32"/>
      <c r="AE289" s="507"/>
      <c r="AF289" s="508"/>
      <c r="AG289" s="640"/>
      <c r="AH289" s="440">
        <v>192522</v>
      </c>
    </row>
    <row r="290" spans="1:35" s="5" customFormat="1" x14ac:dyDescent="0.2">
      <c r="A290" s="33"/>
      <c r="B290" s="57"/>
      <c r="C290" s="58" t="s">
        <v>62</v>
      </c>
      <c r="D290" s="505">
        <v>200000</v>
      </c>
      <c r="E290" s="511">
        <v>610000</v>
      </c>
      <c r="F290" s="506"/>
      <c r="G290" s="506">
        <v>182100</v>
      </c>
      <c r="H290" s="511"/>
      <c r="I290" s="511">
        <f t="shared" si="138"/>
        <v>182100</v>
      </c>
      <c r="J290" s="511">
        <f t="shared" si="141"/>
        <v>427900</v>
      </c>
      <c r="K290" s="29">
        <v>54104800</v>
      </c>
      <c r="L290" s="30"/>
      <c r="M290" s="611">
        <v>117817000</v>
      </c>
      <c r="N290" s="29"/>
      <c r="O290" s="505"/>
      <c r="P290" s="514"/>
      <c r="Q290" s="505">
        <f t="shared" si="139"/>
        <v>0</v>
      </c>
      <c r="R290" s="505"/>
      <c r="S290" s="505"/>
      <c r="T290" s="505">
        <f t="shared" si="140"/>
        <v>0</v>
      </c>
      <c r="U290" s="29">
        <v>145711600</v>
      </c>
      <c r="V290" s="29"/>
      <c r="W290" s="29"/>
      <c r="X290" s="29"/>
      <c r="Y290" s="29"/>
      <c r="Z290" s="29"/>
      <c r="AA290" s="29"/>
      <c r="AB290" s="31"/>
      <c r="AC290" s="465"/>
      <c r="AD290" s="32"/>
      <c r="AE290" s="507"/>
      <c r="AF290" s="508"/>
      <c r="AG290" s="640"/>
      <c r="AH290" s="440">
        <v>196776.5</v>
      </c>
    </row>
    <row r="291" spans="1:35" s="5" customFormat="1" x14ac:dyDescent="0.2">
      <c r="A291" s="33"/>
      <c r="B291" s="57"/>
      <c r="C291" s="58" t="s">
        <v>81</v>
      </c>
      <c r="D291" s="505">
        <f>73835000+770100</f>
        <v>74605100</v>
      </c>
      <c r="E291" s="511">
        <v>81711600</v>
      </c>
      <c r="F291" s="506"/>
      <c r="G291" s="506">
        <f>67922100-1343600</f>
        <v>66578500</v>
      </c>
      <c r="H291" s="511"/>
      <c r="I291" s="511">
        <f t="shared" si="138"/>
        <v>66578500</v>
      </c>
      <c r="J291" s="511">
        <f t="shared" si="141"/>
        <v>15133100</v>
      </c>
      <c r="K291" s="52">
        <f>SUM(K293:K298)</f>
        <v>3895100</v>
      </c>
      <c r="L291" s="53">
        <v>5009550.84</v>
      </c>
      <c r="M291" s="613">
        <f>SUM(M293:M298)</f>
        <v>8214500</v>
      </c>
      <c r="N291" s="52">
        <v>3804900</v>
      </c>
      <c r="O291" s="505"/>
      <c r="P291" s="514"/>
      <c r="Q291" s="505">
        <f t="shared" si="139"/>
        <v>0</v>
      </c>
      <c r="R291" s="505"/>
      <c r="S291" s="505"/>
      <c r="T291" s="529">
        <f t="shared" si="140"/>
        <v>-979626.29999999981</v>
      </c>
      <c r="U291" s="52">
        <f>SUM(U293:U298)</f>
        <v>4510100</v>
      </c>
      <c r="V291" s="52">
        <v>7830100</v>
      </c>
      <c r="W291" s="52">
        <v>8221600</v>
      </c>
      <c r="X291" s="52">
        <v>8632700</v>
      </c>
      <c r="Y291" s="52">
        <f>SUM(X291*5)</f>
        <v>43163500</v>
      </c>
      <c r="Z291" s="52">
        <f>SUM(X291*5)</f>
        <v>43163500</v>
      </c>
      <c r="AA291" s="52">
        <f>SUM(X291*3)</f>
        <v>25898100</v>
      </c>
      <c r="AB291" s="54">
        <v>5009600</v>
      </c>
      <c r="AC291" s="494">
        <v>1252400</v>
      </c>
      <c r="AD291" s="55">
        <v>3757200</v>
      </c>
      <c r="AE291" s="499">
        <v>3757200</v>
      </c>
      <c r="AF291" s="602"/>
      <c r="AG291" s="640"/>
      <c r="AH291" s="440">
        <v>39397792.890000001</v>
      </c>
      <c r="AI291" s="314"/>
    </row>
    <row r="292" spans="1:35" s="5" customFormat="1" x14ac:dyDescent="0.2">
      <c r="A292" s="33"/>
      <c r="B292" s="183" t="s">
        <v>317</v>
      </c>
      <c r="C292" s="58"/>
      <c r="D292" s="505"/>
      <c r="E292" s="531">
        <v>64000000</v>
      </c>
      <c r="F292" s="532">
        <v>0</v>
      </c>
      <c r="G292" s="532">
        <v>0</v>
      </c>
      <c r="H292" s="531"/>
      <c r="I292" s="531">
        <f t="shared" si="138"/>
        <v>0</v>
      </c>
      <c r="J292" s="531">
        <f t="shared" si="141"/>
        <v>64000000</v>
      </c>
      <c r="K292" s="52"/>
      <c r="L292" s="53"/>
      <c r="M292" s="613"/>
      <c r="N292" s="52"/>
      <c r="O292" s="529">
        <v>3804900</v>
      </c>
      <c r="P292" s="530">
        <v>2554914</v>
      </c>
      <c r="Q292" s="529">
        <f t="shared" si="139"/>
        <v>1249986</v>
      </c>
      <c r="R292" s="529">
        <f>499000+1730612.3</f>
        <v>2229612.2999999998</v>
      </c>
      <c r="S292" s="529"/>
      <c r="T292" s="529"/>
      <c r="U292" s="52"/>
      <c r="V292" s="52"/>
      <c r="W292" s="52"/>
      <c r="X292" s="52"/>
      <c r="Y292" s="52"/>
      <c r="Z292" s="52"/>
      <c r="AA292" s="52"/>
      <c r="AB292" s="54"/>
      <c r="AC292" s="494"/>
      <c r="AD292" s="55"/>
      <c r="AE292" s="499"/>
      <c r="AF292" s="602"/>
      <c r="AG292" s="440"/>
      <c r="AH292" s="440"/>
    </row>
    <row r="293" spans="1:35" s="5" customFormat="1" x14ac:dyDescent="0.2">
      <c r="A293" s="33"/>
      <c r="B293" s="34" t="s">
        <v>90</v>
      </c>
      <c r="C293" s="35"/>
      <c r="D293" s="529">
        <f>SUM(D294:D299)</f>
        <v>3757200</v>
      </c>
      <c r="E293" s="531">
        <f>SUM(E294:E299)</f>
        <v>7995200</v>
      </c>
      <c r="F293" s="532">
        <v>1730600</v>
      </c>
      <c r="G293" s="532">
        <f>SUM(G294:G299)</f>
        <v>1730600</v>
      </c>
      <c r="H293" s="531">
        <f t="shared" ref="H293" si="143">SUM(H294:H299)</f>
        <v>0</v>
      </c>
      <c r="I293" s="531">
        <f t="shared" si="138"/>
        <v>1730600</v>
      </c>
      <c r="J293" s="531">
        <f t="shared" si="141"/>
        <v>6264600</v>
      </c>
      <c r="K293" s="29">
        <v>130000</v>
      </c>
      <c r="L293" s="30"/>
      <c r="M293" s="611">
        <v>3170400</v>
      </c>
      <c r="N293" s="29"/>
      <c r="O293" s="529"/>
      <c r="P293" s="530"/>
      <c r="Q293" s="529">
        <f t="shared" si="139"/>
        <v>0</v>
      </c>
      <c r="R293" s="529"/>
      <c r="S293" s="529"/>
      <c r="T293" s="505">
        <f>Q294-R294-S294</f>
        <v>0</v>
      </c>
      <c r="U293" s="29">
        <v>150000</v>
      </c>
      <c r="V293" s="29"/>
      <c r="W293" s="29"/>
      <c r="X293" s="29"/>
      <c r="Y293" s="29"/>
      <c r="Z293" s="29"/>
      <c r="AA293" s="29"/>
      <c r="AB293" s="31"/>
      <c r="AC293" s="465"/>
      <c r="AD293" s="32"/>
      <c r="AE293" s="507"/>
      <c r="AF293" s="508"/>
      <c r="AG293" s="632">
        <v>1730600</v>
      </c>
      <c r="AH293" s="440"/>
    </row>
    <row r="294" spans="1:35" s="5" customFormat="1" x14ac:dyDescent="0.2">
      <c r="A294" s="33"/>
      <c r="B294" s="57"/>
      <c r="C294" s="58" t="s">
        <v>80</v>
      </c>
      <c r="D294" s="505">
        <v>100000</v>
      </c>
      <c r="E294" s="511">
        <v>341500</v>
      </c>
      <c r="F294" s="506"/>
      <c r="G294" s="506">
        <v>0</v>
      </c>
      <c r="H294" s="511"/>
      <c r="I294" s="511">
        <f t="shared" si="138"/>
        <v>0</v>
      </c>
      <c r="J294" s="511">
        <f t="shared" si="141"/>
        <v>341500</v>
      </c>
      <c r="K294" s="29"/>
      <c r="L294" s="30"/>
      <c r="M294" s="611"/>
      <c r="N294" s="29"/>
      <c r="O294" s="505"/>
      <c r="P294" s="514"/>
      <c r="Q294" s="505">
        <f t="shared" si="139"/>
        <v>0</v>
      </c>
      <c r="R294" s="505"/>
      <c r="S294" s="505"/>
      <c r="T294" s="505"/>
      <c r="U294" s="29"/>
      <c r="V294" s="29"/>
      <c r="W294" s="29"/>
      <c r="X294" s="29"/>
      <c r="Y294" s="29"/>
      <c r="Z294" s="29"/>
      <c r="AA294" s="29"/>
      <c r="AB294" s="31"/>
      <c r="AC294" s="465"/>
      <c r="AD294" s="31"/>
      <c r="AE294" s="513"/>
      <c r="AF294" s="513"/>
      <c r="AG294" s="440">
        <f>+AG293-G293</f>
        <v>0</v>
      </c>
      <c r="AH294" s="440"/>
    </row>
    <row r="295" spans="1:35" s="5" customFormat="1" x14ac:dyDescent="0.2">
      <c r="A295" s="33"/>
      <c r="B295" s="57"/>
      <c r="C295" s="58" t="s">
        <v>51</v>
      </c>
      <c r="D295" s="505"/>
      <c r="E295" s="511">
        <v>489200</v>
      </c>
      <c r="F295" s="506"/>
      <c r="G295" s="506">
        <v>0</v>
      </c>
      <c r="H295" s="511"/>
      <c r="I295" s="511">
        <f t="shared" si="138"/>
        <v>0</v>
      </c>
      <c r="J295" s="511">
        <f t="shared" si="141"/>
        <v>489200</v>
      </c>
      <c r="K295" s="29"/>
      <c r="L295" s="30"/>
      <c r="M295" s="611"/>
      <c r="N295" s="29"/>
      <c r="O295" s="505"/>
      <c r="P295" s="514"/>
      <c r="Q295" s="505">
        <f t="shared" si="139"/>
        <v>0</v>
      </c>
      <c r="R295" s="505"/>
      <c r="S295" s="505"/>
      <c r="T295" s="505"/>
      <c r="U295" s="29"/>
      <c r="V295" s="29"/>
      <c r="W295" s="29"/>
      <c r="X295" s="29"/>
      <c r="Y295" s="29"/>
      <c r="Z295" s="29"/>
      <c r="AA295" s="29"/>
      <c r="AB295" s="31"/>
      <c r="AC295" s="465"/>
      <c r="AD295" s="31"/>
      <c r="AE295" s="513"/>
      <c r="AF295" s="513"/>
      <c r="AG295" s="440"/>
      <c r="AH295" s="440"/>
    </row>
    <row r="296" spans="1:35" s="5" customFormat="1" x14ac:dyDescent="0.2">
      <c r="A296" s="33"/>
      <c r="B296" s="57"/>
      <c r="C296" s="58" t="s">
        <v>62</v>
      </c>
      <c r="D296" s="505"/>
      <c r="E296" s="511">
        <v>561600</v>
      </c>
      <c r="F296" s="506"/>
      <c r="G296" s="506">
        <v>0</v>
      </c>
      <c r="H296" s="511"/>
      <c r="I296" s="511">
        <f t="shared" si="138"/>
        <v>0</v>
      </c>
      <c r="J296" s="511">
        <f t="shared" si="141"/>
        <v>561600</v>
      </c>
      <c r="K296" s="29"/>
      <c r="L296" s="30"/>
      <c r="M296" s="611"/>
      <c r="N296" s="29"/>
      <c r="O296" s="505"/>
      <c r="P296" s="514"/>
      <c r="Q296" s="505">
        <f t="shared" si="139"/>
        <v>0</v>
      </c>
      <c r="R296" s="505"/>
      <c r="S296" s="505"/>
      <c r="T296" s="505"/>
      <c r="U296" s="29"/>
      <c r="V296" s="29"/>
      <c r="W296" s="29"/>
      <c r="X296" s="29"/>
      <c r="Y296" s="29"/>
      <c r="Z296" s="29"/>
      <c r="AA296" s="29"/>
      <c r="AB296" s="31"/>
      <c r="AC296" s="465"/>
      <c r="AD296" s="31"/>
      <c r="AE296" s="513"/>
      <c r="AF296" s="513"/>
      <c r="AG296" s="440"/>
      <c r="AH296" s="440"/>
    </row>
    <row r="297" spans="1:35" s="5" customFormat="1" x14ac:dyDescent="0.2">
      <c r="A297" s="33"/>
      <c r="B297" s="57"/>
      <c r="C297" s="58" t="s">
        <v>50</v>
      </c>
      <c r="D297" s="505"/>
      <c r="E297" s="511">
        <v>502900</v>
      </c>
      <c r="F297" s="506"/>
      <c r="G297" s="506">
        <v>0</v>
      </c>
      <c r="H297" s="511"/>
      <c r="I297" s="511">
        <f t="shared" si="138"/>
        <v>0</v>
      </c>
      <c r="J297" s="511">
        <f t="shared" si="141"/>
        <v>502900</v>
      </c>
      <c r="K297" s="29"/>
      <c r="L297" s="30"/>
      <c r="M297" s="611"/>
      <c r="N297" s="29"/>
      <c r="O297" s="505"/>
      <c r="P297" s="514"/>
      <c r="Q297" s="505">
        <f t="shared" si="139"/>
        <v>0</v>
      </c>
      <c r="R297" s="505"/>
      <c r="S297" s="505"/>
      <c r="T297" s="505"/>
      <c r="U297" s="29"/>
      <c r="V297" s="29"/>
      <c r="W297" s="29"/>
      <c r="X297" s="29"/>
      <c r="Y297" s="29"/>
      <c r="Z297" s="29"/>
      <c r="AA297" s="29"/>
      <c r="AB297" s="31"/>
      <c r="AC297" s="465"/>
      <c r="AD297" s="31"/>
      <c r="AE297" s="513"/>
      <c r="AF297" s="513"/>
      <c r="AG297" s="440"/>
      <c r="AH297" s="440"/>
    </row>
    <row r="298" spans="1:35" s="5" customFormat="1" x14ac:dyDescent="0.2">
      <c r="A298" s="33"/>
      <c r="B298" s="57"/>
      <c r="C298" s="58" t="s">
        <v>53</v>
      </c>
      <c r="D298" s="505"/>
      <c r="E298" s="511">
        <v>300000</v>
      </c>
      <c r="F298" s="506"/>
      <c r="G298" s="506">
        <v>0</v>
      </c>
      <c r="H298" s="511"/>
      <c r="I298" s="511">
        <f t="shared" si="138"/>
        <v>0</v>
      </c>
      <c r="J298" s="511">
        <f t="shared" si="141"/>
        <v>300000</v>
      </c>
      <c r="K298" s="29">
        <v>3765100</v>
      </c>
      <c r="L298" s="30"/>
      <c r="M298" s="611">
        <v>5044100</v>
      </c>
      <c r="N298" s="29"/>
      <c r="O298" s="505"/>
      <c r="P298" s="514"/>
      <c r="Q298" s="505">
        <f t="shared" si="139"/>
        <v>0</v>
      </c>
      <c r="R298" s="505"/>
      <c r="S298" s="505"/>
      <c r="T298" s="505">
        <f t="shared" ref="T298:T361" si="144">Q299-R299-S299</f>
        <v>0</v>
      </c>
      <c r="U298" s="29">
        <v>4360100</v>
      </c>
      <c r="V298" s="29"/>
      <c r="W298" s="29"/>
      <c r="X298" s="29"/>
      <c r="Y298" s="29"/>
      <c r="Z298" s="29"/>
      <c r="AA298" s="29"/>
      <c r="AB298" s="31"/>
      <c r="AC298" s="465"/>
      <c r="AD298" s="31"/>
      <c r="AE298" s="513"/>
      <c r="AF298" s="513"/>
      <c r="AG298" s="440"/>
      <c r="AH298" s="440"/>
    </row>
    <row r="299" spans="1:35" s="5" customFormat="1" x14ac:dyDescent="0.2">
      <c r="A299" s="33"/>
      <c r="B299" s="57"/>
      <c r="C299" s="58" t="s">
        <v>81</v>
      </c>
      <c r="D299" s="505">
        <v>3657200</v>
      </c>
      <c r="E299" s="511">
        <v>5800000</v>
      </c>
      <c r="F299" s="506"/>
      <c r="G299" s="506">
        <v>1730600</v>
      </c>
      <c r="H299" s="511"/>
      <c r="I299" s="511">
        <f t="shared" si="138"/>
        <v>1730600</v>
      </c>
      <c r="J299" s="511">
        <f t="shared" si="141"/>
        <v>4069400</v>
      </c>
      <c r="K299" s="80" t="e">
        <f>SUM(K300:K468)</f>
        <v>#REF!</v>
      </c>
      <c r="L299" s="99">
        <v>166028908.22999999</v>
      </c>
      <c r="M299" s="619" t="e">
        <f>SUM(M300:M468)</f>
        <v>#REF!</v>
      </c>
      <c r="N299" s="80">
        <v>147793400</v>
      </c>
      <c r="O299" s="505"/>
      <c r="P299" s="514"/>
      <c r="Q299" s="505">
        <f t="shared" si="139"/>
        <v>0</v>
      </c>
      <c r="R299" s="505"/>
      <c r="S299" s="505"/>
      <c r="T299" s="529">
        <f t="shared" si="144"/>
        <v>1961796.1500000004</v>
      </c>
      <c r="U299" s="80">
        <f>SUM(U300:U468)</f>
        <v>1671108421300</v>
      </c>
      <c r="V299" s="80">
        <f>SUM(U299*105/100)</f>
        <v>1754663842365</v>
      </c>
      <c r="W299" s="80">
        <v>218262000</v>
      </c>
      <c r="X299" s="80">
        <f>SUM(W299*105/100)</f>
        <v>229175100</v>
      </c>
      <c r="Y299" s="80">
        <f>SUM(X299*5)</f>
        <v>1145875500</v>
      </c>
      <c r="Z299" s="80">
        <f>SUM(X299*5)</f>
        <v>1145875500</v>
      </c>
      <c r="AA299" s="80">
        <f>SUM(X299*3)</f>
        <v>687525300</v>
      </c>
      <c r="AB299" s="81">
        <v>166228900</v>
      </c>
      <c r="AC299" s="516">
        <v>0</v>
      </c>
      <c r="AD299" s="82">
        <v>166228900</v>
      </c>
      <c r="AE299" s="641">
        <v>166228900</v>
      </c>
      <c r="AF299" s="642"/>
      <c r="AG299" s="440"/>
      <c r="AH299" s="440"/>
    </row>
    <row r="300" spans="1:35" s="5" customFormat="1" x14ac:dyDescent="0.2">
      <c r="A300" s="33"/>
      <c r="B300" s="34" t="s">
        <v>91</v>
      </c>
      <c r="C300" s="35"/>
      <c r="D300" s="529">
        <f>SUM(D301:D313)</f>
        <v>26228900</v>
      </c>
      <c r="E300" s="531">
        <f>SUM(E301:E313)</f>
        <v>26228900</v>
      </c>
      <c r="F300" s="587">
        <v>18613100</v>
      </c>
      <c r="G300" s="532">
        <f>SUM(G301:G313)</f>
        <v>18613100</v>
      </c>
      <c r="H300" s="531">
        <f t="shared" ref="H300" si="145">SUM(H301:H313)</f>
        <v>0</v>
      </c>
      <c r="I300" s="531">
        <f t="shared" si="138"/>
        <v>18613100</v>
      </c>
      <c r="J300" s="531">
        <f t="shared" si="141"/>
        <v>7615800</v>
      </c>
      <c r="K300" s="29">
        <v>700000</v>
      </c>
      <c r="L300" s="30"/>
      <c r="M300" s="611">
        <v>1000000</v>
      </c>
      <c r="N300" s="29"/>
      <c r="O300" s="529">
        <f>147793400-140000000</f>
        <v>7793400</v>
      </c>
      <c r="P300" s="530"/>
      <c r="Q300" s="529">
        <f t="shared" si="139"/>
        <v>7793400</v>
      </c>
      <c r="R300" s="529">
        <f>498625+5332978.85</f>
        <v>5831603.8499999996</v>
      </c>
      <c r="S300" s="529"/>
      <c r="T300" s="505">
        <f t="shared" si="144"/>
        <v>0</v>
      </c>
      <c r="U300" s="29">
        <v>2000000</v>
      </c>
      <c r="V300" s="29"/>
      <c r="W300" s="29"/>
      <c r="X300" s="29"/>
      <c r="Y300" s="29"/>
      <c r="Z300" s="29"/>
      <c r="AA300" s="29"/>
      <c r="AB300" s="31"/>
      <c r="AC300" s="465"/>
      <c r="AD300" s="32"/>
      <c r="AE300" s="507"/>
      <c r="AF300" s="508"/>
      <c r="AG300" s="440">
        <v>18613100</v>
      </c>
      <c r="AH300" s="440"/>
      <c r="AI300" s="608" t="s">
        <v>795</v>
      </c>
    </row>
    <row r="301" spans="1:35" s="5" customFormat="1" x14ac:dyDescent="0.2">
      <c r="A301" s="33"/>
      <c r="B301" s="57"/>
      <c r="C301" s="58" t="s">
        <v>52</v>
      </c>
      <c r="D301" s="505">
        <v>700000</v>
      </c>
      <c r="E301" s="511">
        <v>1000000</v>
      </c>
      <c r="F301" s="506"/>
      <c r="G301" s="506">
        <v>700000</v>
      </c>
      <c r="H301" s="511"/>
      <c r="I301" s="511">
        <f t="shared" si="138"/>
        <v>700000</v>
      </c>
      <c r="J301" s="511">
        <f t="shared" si="141"/>
        <v>300000</v>
      </c>
      <c r="K301" s="29">
        <v>500000</v>
      </c>
      <c r="L301" s="30"/>
      <c r="M301" s="611">
        <v>700000</v>
      </c>
      <c r="N301" s="29"/>
      <c r="O301" s="505"/>
      <c r="P301" s="514"/>
      <c r="Q301" s="505">
        <f t="shared" si="139"/>
        <v>0</v>
      </c>
      <c r="R301" s="505"/>
      <c r="S301" s="505"/>
      <c r="T301" s="505">
        <f t="shared" si="144"/>
        <v>0</v>
      </c>
      <c r="U301" s="29">
        <v>2000000</v>
      </c>
      <c r="V301" s="29"/>
      <c r="W301" s="29"/>
      <c r="X301" s="29"/>
      <c r="Y301" s="29"/>
      <c r="Z301" s="29"/>
      <c r="AA301" s="29"/>
      <c r="AB301" s="31"/>
      <c r="AC301" s="465"/>
      <c r="AD301" s="32"/>
      <c r="AE301" s="507"/>
      <c r="AF301" s="508"/>
      <c r="AG301" s="440">
        <f>+G300-AG300</f>
        <v>0</v>
      </c>
      <c r="AH301" s="440">
        <v>725454.99</v>
      </c>
      <c r="AI301" s="608" t="s">
        <v>802</v>
      </c>
    </row>
    <row r="302" spans="1:35" s="5" customFormat="1" x14ac:dyDescent="0.2">
      <c r="A302" s="33"/>
      <c r="B302" s="57"/>
      <c r="C302" s="58" t="s">
        <v>49</v>
      </c>
      <c r="D302" s="505">
        <v>500000</v>
      </c>
      <c r="E302" s="511">
        <v>1000000</v>
      </c>
      <c r="F302" s="506"/>
      <c r="G302" s="506">
        <v>500000</v>
      </c>
      <c r="H302" s="511"/>
      <c r="I302" s="511">
        <f t="shared" si="138"/>
        <v>500000</v>
      </c>
      <c r="J302" s="511">
        <f t="shared" si="141"/>
        <v>500000</v>
      </c>
      <c r="K302" s="29">
        <v>500000</v>
      </c>
      <c r="L302" s="30"/>
      <c r="M302" s="611">
        <v>800000</v>
      </c>
      <c r="N302" s="29"/>
      <c r="O302" s="505"/>
      <c r="P302" s="514"/>
      <c r="Q302" s="505">
        <f t="shared" si="139"/>
        <v>0</v>
      </c>
      <c r="R302" s="505"/>
      <c r="S302" s="505"/>
      <c r="T302" s="505">
        <f t="shared" si="144"/>
        <v>0</v>
      </c>
      <c r="U302" s="29">
        <v>800000</v>
      </c>
      <c r="V302" s="29"/>
      <c r="W302" s="29"/>
      <c r="X302" s="29"/>
      <c r="Y302" s="29"/>
      <c r="Z302" s="29"/>
      <c r="AA302" s="29"/>
      <c r="AB302" s="31"/>
      <c r="AC302" s="465"/>
      <c r="AD302" s="32"/>
      <c r="AE302" s="507"/>
      <c r="AF302" s="508"/>
      <c r="AG302" s="440"/>
      <c r="AH302" s="440">
        <v>830537.7</v>
      </c>
      <c r="AI302" s="608" t="s">
        <v>803</v>
      </c>
    </row>
    <row r="303" spans="1:35" s="5" customFormat="1" x14ac:dyDescent="0.2">
      <c r="A303" s="33"/>
      <c r="B303" s="57"/>
      <c r="C303" s="58" t="s">
        <v>54</v>
      </c>
      <c r="D303" s="505">
        <v>500000</v>
      </c>
      <c r="E303" s="511">
        <v>800000</v>
      </c>
      <c r="F303" s="506"/>
      <c r="G303" s="506">
        <v>500000</v>
      </c>
      <c r="H303" s="511"/>
      <c r="I303" s="511">
        <f t="shared" si="138"/>
        <v>500000</v>
      </c>
      <c r="J303" s="511">
        <f t="shared" si="141"/>
        <v>300000</v>
      </c>
      <c r="K303" s="29">
        <v>500000</v>
      </c>
      <c r="L303" s="30"/>
      <c r="M303" s="611">
        <v>650000</v>
      </c>
      <c r="N303" s="29"/>
      <c r="O303" s="505"/>
      <c r="P303" s="514"/>
      <c r="Q303" s="505">
        <f t="shared" si="139"/>
        <v>0</v>
      </c>
      <c r="R303" s="505"/>
      <c r="S303" s="505"/>
      <c r="T303" s="505">
        <f t="shared" si="144"/>
        <v>0</v>
      </c>
      <c r="U303" s="100">
        <v>600000</v>
      </c>
      <c r="V303" s="29"/>
      <c r="W303" s="29"/>
      <c r="X303" s="29"/>
      <c r="Y303" s="29"/>
      <c r="Z303" s="29"/>
      <c r="AA303" s="29"/>
      <c r="AB303" s="31"/>
      <c r="AC303" s="465"/>
      <c r="AD303" s="32"/>
      <c r="AE303" s="507"/>
      <c r="AF303" s="508"/>
      <c r="AG303" s="440"/>
      <c r="AH303" s="440">
        <v>212868.54</v>
      </c>
      <c r="AI303" s="608" t="s">
        <v>804</v>
      </c>
    </row>
    <row r="304" spans="1:35" s="5" customFormat="1" x14ac:dyDescent="0.2">
      <c r="A304" s="33"/>
      <c r="B304" s="57"/>
      <c r="C304" s="58" t="s">
        <v>53</v>
      </c>
      <c r="D304" s="505">
        <v>500000</v>
      </c>
      <c r="E304" s="511">
        <v>600000</v>
      </c>
      <c r="F304" s="506"/>
      <c r="G304" s="506">
        <v>500000</v>
      </c>
      <c r="H304" s="511"/>
      <c r="I304" s="511">
        <f t="shared" si="138"/>
        <v>500000</v>
      </c>
      <c r="J304" s="511">
        <f t="shared" si="141"/>
        <v>100000</v>
      </c>
      <c r="K304" s="29">
        <v>400000</v>
      </c>
      <c r="L304" s="30"/>
      <c r="M304" s="611">
        <v>500000</v>
      </c>
      <c r="N304" s="29"/>
      <c r="O304" s="505"/>
      <c r="P304" s="514"/>
      <c r="Q304" s="505">
        <f t="shared" si="139"/>
        <v>0</v>
      </c>
      <c r="R304" s="505"/>
      <c r="S304" s="505"/>
      <c r="T304" s="505">
        <f t="shared" si="144"/>
        <v>0</v>
      </c>
      <c r="U304" s="29">
        <v>600000</v>
      </c>
      <c r="V304" s="29"/>
      <c r="W304" s="29"/>
      <c r="X304" s="29"/>
      <c r="Y304" s="29"/>
      <c r="Z304" s="29"/>
      <c r="AA304" s="29"/>
      <c r="AB304" s="31"/>
      <c r="AC304" s="465"/>
      <c r="AD304" s="32"/>
      <c r="AE304" s="507"/>
      <c r="AF304" s="508"/>
      <c r="AG304" s="440"/>
      <c r="AH304" s="440">
        <v>407804.05</v>
      </c>
      <c r="AI304" s="608" t="s">
        <v>796</v>
      </c>
    </row>
    <row r="305" spans="1:35" s="5" customFormat="1" x14ac:dyDescent="0.2">
      <c r="A305" s="33"/>
      <c r="B305" s="57"/>
      <c r="C305" s="58" t="s">
        <v>80</v>
      </c>
      <c r="D305" s="505">
        <v>400000</v>
      </c>
      <c r="E305" s="511">
        <v>500300</v>
      </c>
      <c r="F305" s="506"/>
      <c r="G305" s="506">
        <v>400000</v>
      </c>
      <c r="H305" s="511"/>
      <c r="I305" s="511">
        <f t="shared" si="138"/>
        <v>400000</v>
      </c>
      <c r="J305" s="511">
        <f t="shared" si="141"/>
        <v>100300</v>
      </c>
      <c r="K305" s="29">
        <v>100000</v>
      </c>
      <c r="L305" s="30"/>
      <c r="M305" s="611">
        <v>200000</v>
      </c>
      <c r="N305" s="29"/>
      <c r="O305" s="505"/>
      <c r="P305" s="514"/>
      <c r="Q305" s="505">
        <f t="shared" si="139"/>
        <v>0</v>
      </c>
      <c r="R305" s="505"/>
      <c r="S305" s="505"/>
      <c r="T305" s="505">
        <f t="shared" si="144"/>
        <v>0</v>
      </c>
      <c r="U305" s="29">
        <v>200000</v>
      </c>
      <c r="V305" s="29"/>
      <c r="W305" s="29"/>
      <c r="X305" s="29"/>
      <c r="Y305" s="29"/>
      <c r="Z305" s="29"/>
      <c r="AA305" s="29"/>
      <c r="AB305" s="31"/>
      <c r="AC305" s="465"/>
      <c r="AD305" s="32"/>
      <c r="AE305" s="507"/>
      <c r="AF305" s="508"/>
      <c r="AG305" s="440"/>
      <c r="AH305" s="440">
        <v>395690.21</v>
      </c>
      <c r="AI305" s="608" t="s">
        <v>805</v>
      </c>
    </row>
    <row r="306" spans="1:35" s="5" customFormat="1" x14ac:dyDescent="0.2">
      <c r="A306" s="33"/>
      <c r="B306" s="57"/>
      <c r="C306" s="58" t="s">
        <v>63</v>
      </c>
      <c r="D306" s="505">
        <v>100000</v>
      </c>
      <c r="E306" s="511">
        <v>100000</v>
      </c>
      <c r="F306" s="506"/>
      <c r="G306" s="506">
        <v>100000</v>
      </c>
      <c r="H306" s="511"/>
      <c r="I306" s="511">
        <f t="shared" si="138"/>
        <v>100000</v>
      </c>
      <c r="J306" s="511">
        <f t="shared" si="141"/>
        <v>0</v>
      </c>
      <c r="K306" s="119">
        <v>200000</v>
      </c>
      <c r="L306" s="120"/>
      <c r="M306" s="614">
        <v>350000</v>
      </c>
      <c r="N306" s="119"/>
      <c r="O306" s="505"/>
      <c r="P306" s="514"/>
      <c r="Q306" s="505">
        <f t="shared" si="139"/>
        <v>0</v>
      </c>
      <c r="R306" s="505"/>
      <c r="S306" s="505"/>
      <c r="T306" s="615">
        <f t="shared" si="144"/>
        <v>0</v>
      </c>
      <c r="U306" s="119">
        <v>300000</v>
      </c>
      <c r="V306" s="119"/>
      <c r="W306" s="119"/>
      <c r="X306" s="119"/>
      <c r="Y306" s="119"/>
      <c r="Z306" s="119"/>
      <c r="AA306" s="119"/>
      <c r="AB306" s="121"/>
      <c r="AC306" s="616"/>
      <c r="AD306" s="122"/>
      <c r="AE306" s="617"/>
      <c r="AF306" s="618"/>
      <c r="AG306" s="440"/>
      <c r="AH306" s="440">
        <v>87559.5</v>
      </c>
      <c r="AI306" s="608" t="s">
        <v>806</v>
      </c>
    </row>
    <row r="307" spans="1:35" s="5" customFormat="1" x14ac:dyDescent="0.2">
      <c r="A307" s="33"/>
      <c r="B307" s="57"/>
      <c r="C307" s="58" t="s">
        <v>61</v>
      </c>
      <c r="D307" s="505">
        <v>200000</v>
      </c>
      <c r="E307" s="511">
        <v>250000</v>
      </c>
      <c r="F307" s="506"/>
      <c r="G307" s="506">
        <v>200000</v>
      </c>
      <c r="H307" s="511"/>
      <c r="I307" s="511">
        <f t="shared" si="138"/>
        <v>200000</v>
      </c>
      <c r="J307" s="511">
        <f t="shared" si="141"/>
        <v>50000</v>
      </c>
      <c r="K307" s="78">
        <v>100000</v>
      </c>
      <c r="L307" s="79"/>
      <c r="M307" s="633">
        <v>450000</v>
      </c>
      <c r="N307" s="78"/>
      <c r="O307" s="615"/>
      <c r="P307" s="620"/>
      <c r="Q307" s="615">
        <f t="shared" si="139"/>
        <v>0</v>
      </c>
      <c r="R307" s="615"/>
      <c r="S307" s="615"/>
      <c r="T307" s="634">
        <f t="shared" si="144"/>
        <v>0</v>
      </c>
      <c r="U307" s="78">
        <v>350000</v>
      </c>
      <c r="V307" s="78"/>
      <c r="W307" s="78"/>
      <c r="X307" s="78"/>
      <c r="Y307" s="78"/>
      <c r="Z307" s="78"/>
      <c r="AA307" s="78"/>
      <c r="AB307" s="92"/>
      <c r="AC307" s="538"/>
      <c r="AD307" s="93"/>
      <c r="AE307" s="541"/>
      <c r="AF307" s="542"/>
      <c r="AG307" s="440"/>
      <c r="AH307" s="440">
        <v>52646.479999999996</v>
      </c>
    </row>
    <row r="308" spans="1:35" s="5" customFormat="1" x14ac:dyDescent="0.2">
      <c r="A308" s="33"/>
      <c r="B308" s="57"/>
      <c r="C308" s="58" t="s">
        <v>51</v>
      </c>
      <c r="D308" s="505">
        <v>100000</v>
      </c>
      <c r="E308" s="511">
        <v>350000</v>
      </c>
      <c r="F308" s="506"/>
      <c r="G308" s="506">
        <v>100000</v>
      </c>
      <c r="H308" s="511"/>
      <c r="I308" s="511">
        <f t="shared" si="138"/>
        <v>100000</v>
      </c>
      <c r="J308" s="511">
        <f t="shared" si="141"/>
        <v>250000</v>
      </c>
      <c r="K308" s="29">
        <v>100000</v>
      </c>
      <c r="L308" s="30"/>
      <c r="M308" s="611">
        <v>350000</v>
      </c>
      <c r="N308" s="29"/>
      <c r="O308" s="634"/>
      <c r="P308" s="635"/>
      <c r="Q308" s="634">
        <f t="shared" si="139"/>
        <v>0</v>
      </c>
      <c r="R308" s="634"/>
      <c r="S308" s="634"/>
      <c r="T308" s="505">
        <f t="shared" si="144"/>
        <v>0</v>
      </c>
      <c r="U308" s="29">
        <v>120000</v>
      </c>
      <c r="V308" s="29"/>
      <c r="W308" s="29"/>
      <c r="X308" s="29"/>
      <c r="Y308" s="29"/>
      <c r="Z308" s="29"/>
      <c r="AA308" s="29"/>
      <c r="AB308" s="31"/>
      <c r="AC308" s="465"/>
      <c r="AD308" s="32"/>
      <c r="AE308" s="507"/>
      <c r="AF308" s="508"/>
      <c r="AG308" s="440"/>
      <c r="AH308" s="440">
        <v>203491.20000000001</v>
      </c>
    </row>
    <row r="309" spans="1:35" s="5" customFormat="1" x14ac:dyDescent="0.2">
      <c r="A309" s="33"/>
      <c r="B309" s="57"/>
      <c r="C309" s="58" t="s">
        <v>42</v>
      </c>
      <c r="D309" s="505">
        <v>100000</v>
      </c>
      <c r="E309" s="511">
        <v>200000</v>
      </c>
      <c r="F309" s="506"/>
      <c r="G309" s="506">
        <v>100000</v>
      </c>
      <c r="H309" s="511"/>
      <c r="I309" s="511">
        <f t="shared" si="138"/>
        <v>100000</v>
      </c>
      <c r="J309" s="511">
        <f t="shared" si="141"/>
        <v>100000</v>
      </c>
      <c r="K309" s="29">
        <v>200000</v>
      </c>
      <c r="L309" s="30"/>
      <c r="M309" s="611">
        <v>300000</v>
      </c>
      <c r="N309" s="29"/>
      <c r="O309" s="505"/>
      <c r="P309" s="514"/>
      <c r="Q309" s="505">
        <f t="shared" si="139"/>
        <v>0</v>
      </c>
      <c r="R309" s="505"/>
      <c r="S309" s="505"/>
      <c r="T309" s="505">
        <f t="shared" si="144"/>
        <v>0</v>
      </c>
      <c r="U309" s="29">
        <v>200000</v>
      </c>
      <c r="V309" s="29"/>
      <c r="W309" s="29"/>
      <c r="X309" s="29"/>
      <c r="Y309" s="29"/>
      <c r="Z309" s="29"/>
      <c r="AA309" s="29"/>
      <c r="AB309" s="31"/>
      <c r="AC309" s="465"/>
      <c r="AD309" s="32"/>
      <c r="AE309" s="507"/>
      <c r="AF309" s="508"/>
      <c r="AG309" s="440"/>
      <c r="AH309" s="440">
        <v>146251.5</v>
      </c>
    </row>
    <row r="310" spans="1:35" s="5" customFormat="1" x14ac:dyDescent="0.2">
      <c r="A310" s="33"/>
      <c r="B310" s="57"/>
      <c r="C310" s="58" t="s">
        <v>43</v>
      </c>
      <c r="D310" s="505">
        <v>200000</v>
      </c>
      <c r="E310" s="511">
        <v>300000</v>
      </c>
      <c r="F310" s="506"/>
      <c r="G310" s="506">
        <v>200000</v>
      </c>
      <c r="H310" s="511"/>
      <c r="I310" s="511">
        <f t="shared" si="138"/>
        <v>200000</v>
      </c>
      <c r="J310" s="511">
        <f t="shared" si="141"/>
        <v>100000</v>
      </c>
      <c r="K310" s="29">
        <v>105000</v>
      </c>
      <c r="L310" s="30"/>
      <c r="M310" s="611">
        <v>350000</v>
      </c>
      <c r="N310" s="29"/>
      <c r="O310" s="505"/>
      <c r="P310" s="514"/>
      <c r="Q310" s="505">
        <f t="shared" si="139"/>
        <v>0</v>
      </c>
      <c r="R310" s="505"/>
      <c r="S310" s="505"/>
      <c r="T310" s="505">
        <f t="shared" si="144"/>
        <v>0</v>
      </c>
      <c r="U310" s="29">
        <v>550000</v>
      </c>
      <c r="V310" s="29"/>
      <c r="W310" s="29"/>
      <c r="X310" s="29"/>
      <c r="Y310" s="29"/>
      <c r="Z310" s="29"/>
      <c r="AA310" s="29"/>
      <c r="AB310" s="31"/>
      <c r="AC310" s="465"/>
      <c r="AD310" s="32"/>
      <c r="AE310" s="507"/>
      <c r="AF310" s="508"/>
      <c r="AG310" s="440"/>
      <c r="AH310" s="440">
        <v>252780</v>
      </c>
    </row>
    <row r="311" spans="1:35" s="5" customFormat="1" x14ac:dyDescent="0.2">
      <c r="A311" s="33"/>
      <c r="B311" s="57"/>
      <c r="C311" s="58" t="s">
        <v>50</v>
      </c>
      <c r="D311" s="505">
        <v>105000</v>
      </c>
      <c r="E311" s="511">
        <v>550000</v>
      </c>
      <c r="F311" s="506"/>
      <c r="G311" s="506">
        <v>105000</v>
      </c>
      <c r="H311" s="511"/>
      <c r="I311" s="511">
        <f t="shared" si="138"/>
        <v>105000</v>
      </c>
      <c r="J311" s="511">
        <f t="shared" si="141"/>
        <v>445000</v>
      </c>
      <c r="K311" s="29">
        <v>100000</v>
      </c>
      <c r="L311" s="30"/>
      <c r="M311" s="611">
        <v>250000</v>
      </c>
      <c r="N311" s="29"/>
      <c r="O311" s="505"/>
      <c r="P311" s="514"/>
      <c r="Q311" s="505">
        <f t="shared" si="139"/>
        <v>0</v>
      </c>
      <c r="R311" s="505"/>
      <c r="S311" s="505"/>
      <c r="T311" s="505">
        <f t="shared" si="144"/>
        <v>0</v>
      </c>
      <c r="U311" s="29">
        <v>300000</v>
      </c>
      <c r="V311" s="29"/>
      <c r="W311" s="29"/>
      <c r="X311" s="29"/>
      <c r="Y311" s="29"/>
      <c r="Z311" s="29"/>
      <c r="AA311" s="29"/>
      <c r="AB311" s="31"/>
      <c r="AC311" s="465"/>
      <c r="AD311" s="32"/>
      <c r="AE311" s="507"/>
      <c r="AF311" s="508"/>
      <c r="AG311" s="440"/>
      <c r="AH311" s="440">
        <v>54031</v>
      </c>
    </row>
    <row r="312" spans="1:35" s="5" customFormat="1" x14ac:dyDescent="0.2">
      <c r="A312" s="33"/>
      <c r="B312" s="57"/>
      <c r="C312" s="58" t="s">
        <v>62</v>
      </c>
      <c r="D312" s="505">
        <v>100000</v>
      </c>
      <c r="E312" s="511">
        <v>360000</v>
      </c>
      <c r="F312" s="506"/>
      <c r="G312" s="506">
        <v>100000</v>
      </c>
      <c r="H312" s="511"/>
      <c r="I312" s="511">
        <f t="shared" si="138"/>
        <v>100000</v>
      </c>
      <c r="J312" s="511">
        <f t="shared" si="141"/>
        <v>260000</v>
      </c>
      <c r="K312" s="29">
        <v>1900100</v>
      </c>
      <c r="L312" s="30"/>
      <c r="M312" s="611">
        <v>1893400</v>
      </c>
      <c r="N312" s="29"/>
      <c r="O312" s="505"/>
      <c r="P312" s="514"/>
      <c r="Q312" s="505">
        <f t="shared" si="139"/>
        <v>0</v>
      </c>
      <c r="R312" s="505"/>
      <c r="S312" s="505"/>
      <c r="T312" s="505">
        <f t="shared" si="144"/>
        <v>0</v>
      </c>
      <c r="U312" s="29">
        <v>1950000</v>
      </c>
      <c r="V312" s="29"/>
      <c r="W312" s="29"/>
      <c r="X312" s="29"/>
      <c r="Y312" s="29"/>
      <c r="Z312" s="29"/>
      <c r="AA312" s="29"/>
      <c r="AB312" s="31"/>
      <c r="AC312" s="465"/>
      <c r="AD312" s="32"/>
      <c r="AE312" s="507"/>
      <c r="AF312" s="508"/>
      <c r="AG312" s="440"/>
      <c r="AH312" s="440">
        <v>63315</v>
      </c>
    </row>
    <row r="313" spans="1:35" s="5" customFormat="1" x14ac:dyDescent="0.2">
      <c r="A313" s="33"/>
      <c r="B313" s="57"/>
      <c r="C313" s="58" t="s">
        <v>81</v>
      </c>
      <c r="D313" s="505">
        <v>22723900</v>
      </c>
      <c r="E313" s="511">
        <v>20218600</v>
      </c>
      <c r="F313" s="506"/>
      <c r="G313" s="506">
        <f>16125800-1017700</f>
        <v>15108100</v>
      </c>
      <c r="H313" s="511"/>
      <c r="I313" s="511">
        <f t="shared" si="138"/>
        <v>15108100</v>
      </c>
      <c r="J313" s="511">
        <f t="shared" si="141"/>
        <v>5110500</v>
      </c>
      <c r="K313" s="52">
        <v>50000</v>
      </c>
      <c r="L313" s="53">
        <v>0</v>
      </c>
      <c r="M313" s="613">
        <v>50000</v>
      </c>
      <c r="N313" s="52">
        <v>50000</v>
      </c>
      <c r="O313" s="505"/>
      <c r="P313" s="514"/>
      <c r="Q313" s="505">
        <f t="shared" si="139"/>
        <v>0</v>
      </c>
      <c r="R313" s="505"/>
      <c r="S313" s="505"/>
      <c r="T313" s="529">
        <f t="shared" si="144"/>
        <v>50000</v>
      </c>
      <c r="U313" s="52">
        <v>50000</v>
      </c>
      <c r="V313" s="52">
        <v>50000</v>
      </c>
      <c r="W313" s="52">
        <v>50000</v>
      </c>
      <c r="X313" s="52">
        <v>50000</v>
      </c>
      <c r="Y313" s="52">
        <f>SUM(X313*5)</f>
        <v>250000</v>
      </c>
      <c r="Z313" s="52">
        <f>SUM(X313*5)</f>
        <v>250000</v>
      </c>
      <c r="AA313" s="52">
        <f>SUM(X313*3)</f>
        <v>150000</v>
      </c>
      <c r="AB313" s="54">
        <v>50000</v>
      </c>
      <c r="AC313" s="494">
        <v>0</v>
      </c>
      <c r="AD313" s="55">
        <v>50000</v>
      </c>
      <c r="AE313" s="499">
        <v>50000</v>
      </c>
      <c r="AF313" s="602"/>
      <c r="AG313" s="440"/>
      <c r="AH313" s="440">
        <v>1900548.6800000002</v>
      </c>
    </row>
    <row r="314" spans="1:35" s="5" customFormat="1" x14ac:dyDescent="0.2">
      <c r="A314" s="33"/>
      <c r="B314" s="34" t="s">
        <v>153</v>
      </c>
      <c r="C314" s="35"/>
      <c r="D314" s="529">
        <v>50000</v>
      </c>
      <c r="E314" s="531">
        <v>50000</v>
      </c>
      <c r="F314" s="532">
        <v>50000</v>
      </c>
      <c r="G314" s="532">
        <v>50000</v>
      </c>
      <c r="H314" s="531"/>
      <c r="I314" s="531">
        <f t="shared" si="138"/>
        <v>50000</v>
      </c>
      <c r="J314" s="531">
        <f t="shared" si="141"/>
        <v>0</v>
      </c>
      <c r="K314" s="52">
        <v>228763900</v>
      </c>
      <c r="L314" s="53">
        <v>179455146.16</v>
      </c>
      <c r="M314" s="613">
        <v>206257700</v>
      </c>
      <c r="N314" s="52">
        <v>169003300</v>
      </c>
      <c r="O314" s="529">
        <v>50000</v>
      </c>
      <c r="P314" s="530"/>
      <c r="Q314" s="529">
        <f t="shared" si="139"/>
        <v>50000</v>
      </c>
      <c r="R314" s="529">
        <v>0</v>
      </c>
      <c r="S314" s="529"/>
      <c r="T314" s="529">
        <f t="shared" si="144"/>
        <v>-1771671.6100000143</v>
      </c>
      <c r="U314" s="52">
        <v>170580600</v>
      </c>
      <c r="V314" s="52">
        <v>179109700</v>
      </c>
      <c r="W314" s="52">
        <v>188065200</v>
      </c>
      <c r="X314" s="52">
        <v>197468500</v>
      </c>
      <c r="Y314" s="52">
        <f>SUM(X314*5)</f>
        <v>987342500</v>
      </c>
      <c r="Z314" s="52">
        <f>SUM(X314*5)</f>
        <v>987342500</v>
      </c>
      <c r="AA314" s="52">
        <f>SUM(X314*3)</f>
        <v>592405500</v>
      </c>
      <c r="AB314" s="54">
        <v>163521100</v>
      </c>
      <c r="AC314" s="494">
        <v>0</v>
      </c>
      <c r="AD314" s="55">
        <v>163521100</v>
      </c>
      <c r="AE314" s="499">
        <v>163521100</v>
      </c>
      <c r="AF314" s="602"/>
      <c r="AG314" s="440"/>
      <c r="AH314" s="440"/>
    </row>
    <row r="315" spans="1:35" s="5" customFormat="1" x14ac:dyDescent="0.2">
      <c r="A315" s="33"/>
      <c r="B315" s="34" t="s">
        <v>92</v>
      </c>
      <c r="C315" s="35"/>
      <c r="D315" s="529">
        <v>163521100</v>
      </c>
      <c r="E315" s="531">
        <v>170248200</v>
      </c>
      <c r="F315" s="532">
        <v>48785200</v>
      </c>
      <c r="G315" s="532">
        <v>48785200</v>
      </c>
      <c r="H315" s="531"/>
      <c r="I315" s="531">
        <f t="shared" si="138"/>
        <v>48785200</v>
      </c>
      <c r="J315" s="531">
        <f t="shared" si="141"/>
        <v>121463000</v>
      </c>
      <c r="K315" s="52">
        <v>11930100</v>
      </c>
      <c r="L315" s="53">
        <v>9212100</v>
      </c>
      <c r="M315" s="613">
        <v>15020000</v>
      </c>
      <c r="N315" s="52">
        <v>11930100</v>
      </c>
      <c r="O315" s="529">
        <v>169003300</v>
      </c>
      <c r="P315" s="530"/>
      <c r="Q315" s="529">
        <f t="shared" si="139"/>
        <v>169003300</v>
      </c>
      <c r="R315" s="529">
        <v>170774971.61000001</v>
      </c>
      <c r="S315" s="529"/>
      <c r="T315" s="529">
        <f t="shared" si="144"/>
        <v>3352100</v>
      </c>
      <c r="U315" s="52">
        <v>10109000</v>
      </c>
      <c r="V315" s="52">
        <v>10614500</v>
      </c>
      <c r="W315" s="52">
        <v>11145300</v>
      </c>
      <c r="X315" s="52">
        <v>11702600</v>
      </c>
      <c r="Y315" s="52">
        <f>SUM(X315*5)</f>
        <v>58513000</v>
      </c>
      <c r="Z315" s="52">
        <f>SUM(X315*5)</f>
        <v>58513000</v>
      </c>
      <c r="AA315" s="52">
        <f>SUM(X315*3)</f>
        <v>35107800</v>
      </c>
      <c r="AB315" s="54">
        <v>10109000</v>
      </c>
      <c r="AC315" s="494">
        <v>0</v>
      </c>
      <c r="AD315" s="55">
        <v>10109000</v>
      </c>
      <c r="AE315" s="499">
        <v>10109000</v>
      </c>
      <c r="AF315" s="602"/>
      <c r="AG315" s="440"/>
      <c r="AH315" s="440"/>
    </row>
    <row r="316" spans="1:35" s="5" customFormat="1" x14ac:dyDescent="0.2">
      <c r="A316" s="33"/>
      <c r="B316" s="34" t="s">
        <v>93</v>
      </c>
      <c r="C316" s="35"/>
      <c r="D316" s="529">
        <v>10109000</v>
      </c>
      <c r="E316" s="531">
        <v>10109000</v>
      </c>
      <c r="F316" s="532">
        <v>8578000</v>
      </c>
      <c r="G316" s="532">
        <v>8578000</v>
      </c>
      <c r="H316" s="531"/>
      <c r="I316" s="531">
        <f t="shared" si="138"/>
        <v>8578000</v>
      </c>
      <c r="J316" s="531">
        <f t="shared" si="141"/>
        <v>1531000</v>
      </c>
      <c r="K316" s="52">
        <v>32464400</v>
      </c>
      <c r="L316" s="53">
        <v>38476573.649999999</v>
      </c>
      <c r="M316" s="613">
        <f>SUM(M317:M317)</f>
        <v>50000</v>
      </c>
      <c r="N316" s="52">
        <v>29217600</v>
      </c>
      <c r="O316" s="529">
        <v>11930100</v>
      </c>
      <c r="P316" s="530"/>
      <c r="Q316" s="529">
        <f t="shared" si="139"/>
        <v>11930100</v>
      </c>
      <c r="R316" s="529">
        <v>8578000</v>
      </c>
      <c r="S316" s="529"/>
      <c r="T316" s="529">
        <f t="shared" si="144"/>
        <v>50000</v>
      </c>
      <c r="U316" s="52">
        <f>SUM(U317:U317)</f>
        <v>50000</v>
      </c>
      <c r="V316" s="52">
        <f>SUM(U316*105/100)</f>
        <v>52500</v>
      </c>
      <c r="W316" s="52">
        <v>50771200</v>
      </c>
      <c r="X316" s="52">
        <v>53309800</v>
      </c>
      <c r="Y316" s="52">
        <f>SUM(X316*5)</f>
        <v>266549000</v>
      </c>
      <c r="Z316" s="52">
        <f>SUM(X316*5)</f>
        <v>266549000</v>
      </c>
      <c r="AA316" s="52">
        <f>SUM(X316*3)</f>
        <v>159929400</v>
      </c>
      <c r="AB316" s="54">
        <v>38476600</v>
      </c>
      <c r="AC316" s="494">
        <v>0</v>
      </c>
      <c r="AD316" s="55">
        <v>38476600</v>
      </c>
      <c r="AE316" s="499">
        <v>38476600</v>
      </c>
      <c r="AF316" s="602"/>
      <c r="AG316" s="440"/>
      <c r="AH316" s="440"/>
    </row>
    <row r="317" spans="1:35" s="5" customFormat="1" x14ac:dyDescent="0.2">
      <c r="A317" s="33"/>
      <c r="B317" s="34" t="s">
        <v>94</v>
      </c>
      <c r="C317" s="35"/>
      <c r="D317" s="529">
        <f>SUM(D318)</f>
        <v>50000</v>
      </c>
      <c r="E317" s="531">
        <f>SUM(E318)</f>
        <v>50000</v>
      </c>
      <c r="F317" s="643">
        <f>SUM(F318)</f>
        <v>50000</v>
      </c>
      <c r="G317" s="643">
        <f>SUM(G318)</f>
        <v>50000</v>
      </c>
      <c r="H317" s="531">
        <f t="shared" ref="H317" si="146">SUM(H318)</f>
        <v>0</v>
      </c>
      <c r="I317" s="531">
        <f t="shared" si="138"/>
        <v>50000</v>
      </c>
      <c r="J317" s="531">
        <f t="shared" si="141"/>
        <v>0</v>
      </c>
      <c r="K317" s="29"/>
      <c r="L317" s="30"/>
      <c r="M317" s="611">
        <v>50000</v>
      </c>
      <c r="N317" s="29"/>
      <c r="O317" s="529">
        <f>29217600-29167600</f>
        <v>50000</v>
      </c>
      <c r="P317" s="530"/>
      <c r="Q317" s="529">
        <f t="shared" si="139"/>
        <v>50000</v>
      </c>
      <c r="R317" s="529"/>
      <c r="S317" s="529"/>
      <c r="T317" s="505">
        <f t="shared" si="144"/>
        <v>0</v>
      </c>
      <c r="U317" s="29">
        <v>50000</v>
      </c>
      <c r="V317" s="29"/>
      <c r="W317" s="29"/>
      <c r="X317" s="29"/>
      <c r="Y317" s="29"/>
      <c r="Z317" s="29"/>
      <c r="AA317" s="29"/>
      <c r="AB317" s="31"/>
      <c r="AC317" s="465"/>
      <c r="AD317" s="32"/>
      <c r="AE317" s="507"/>
      <c r="AF317" s="508"/>
      <c r="AG317" s="440">
        <v>30067800</v>
      </c>
      <c r="AH317" s="440"/>
    </row>
    <row r="318" spans="1:35" s="5" customFormat="1" x14ac:dyDescent="0.2">
      <c r="A318" s="33"/>
      <c r="B318" s="57"/>
      <c r="C318" s="58" t="s">
        <v>95</v>
      </c>
      <c r="D318" s="505">
        <v>50000</v>
      </c>
      <c r="E318" s="511">
        <v>50000</v>
      </c>
      <c r="F318" s="506">
        <v>50000</v>
      </c>
      <c r="G318" s="506">
        <v>50000</v>
      </c>
      <c r="H318" s="511"/>
      <c r="I318" s="511">
        <f t="shared" si="138"/>
        <v>50000</v>
      </c>
      <c r="J318" s="511">
        <f t="shared" si="141"/>
        <v>0</v>
      </c>
      <c r="K318" s="52">
        <v>200000</v>
      </c>
      <c r="L318" s="53">
        <v>335776</v>
      </c>
      <c r="M318" s="613">
        <v>800000</v>
      </c>
      <c r="N318" s="52">
        <v>200000</v>
      </c>
      <c r="O318" s="505"/>
      <c r="P318" s="514"/>
      <c r="Q318" s="505">
        <f t="shared" si="139"/>
        <v>0</v>
      </c>
      <c r="R318" s="505">
        <v>0</v>
      </c>
      <c r="S318" s="505"/>
      <c r="T318" s="529">
        <f t="shared" si="144"/>
        <v>-32095.540000000008</v>
      </c>
      <c r="U318" s="67">
        <v>800000</v>
      </c>
      <c r="V318" s="52">
        <f>SUM(U318*105/100)</f>
        <v>840000</v>
      </c>
      <c r="W318" s="52">
        <f>SUM(V318*105/100)</f>
        <v>882000</v>
      </c>
      <c r="X318" s="52">
        <f>SUM(W318*105/100)</f>
        <v>926100</v>
      </c>
      <c r="Y318" s="52">
        <f>SUM(X318*5)</f>
        <v>4630500</v>
      </c>
      <c r="Z318" s="52">
        <f>SUM(X318*5)</f>
        <v>4630500</v>
      </c>
      <c r="AA318" s="52">
        <f>SUM(X318*3)</f>
        <v>2778300</v>
      </c>
      <c r="AB318" s="54">
        <v>200000</v>
      </c>
      <c r="AC318" s="494">
        <v>0</v>
      </c>
      <c r="AD318" s="55">
        <v>200000</v>
      </c>
      <c r="AE318" s="499">
        <v>200000</v>
      </c>
      <c r="AF318" s="602"/>
      <c r="AG318" s="440"/>
      <c r="AH318" s="440"/>
    </row>
    <row r="319" spans="1:35" s="5" customFormat="1" x14ac:dyDescent="0.2">
      <c r="A319" s="101"/>
      <c r="B319" s="289" t="s">
        <v>154</v>
      </c>
      <c r="C319" s="290"/>
      <c r="D319" s="644">
        <v>200000</v>
      </c>
      <c r="E319" s="645">
        <v>800000</v>
      </c>
      <c r="F319" s="646">
        <v>200000</v>
      </c>
      <c r="G319" s="646">
        <v>200000</v>
      </c>
      <c r="H319" s="645"/>
      <c r="I319" s="645">
        <f t="shared" si="138"/>
        <v>200000</v>
      </c>
      <c r="J319" s="645">
        <f t="shared" si="141"/>
        <v>600000</v>
      </c>
      <c r="K319" s="52">
        <f>SUM(K320:K331)</f>
        <v>13413700</v>
      </c>
      <c r="L319" s="53">
        <v>19639530.050000001</v>
      </c>
      <c r="M319" s="613">
        <f>SUM(M320:M331)</f>
        <v>22839800</v>
      </c>
      <c r="N319" s="52">
        <v>13413700</v>
      </c>
      <c r="O319" s="529">
        <v>200000</v>
      </c>
      <c r="P319" s="530"/>
      <c r="Q319" s="529">
        <f t="shared" si="139"/>
        <v>200000</v>
      </c>
      <c r="R319" s="529">
        <v>232095.54</v>
      </c>
      <c r="S319" s="529"/>
      <c r="T319" s="529">
        <f t="shared" si="144"/>
        <v>-5472817.5500000007</v>
      </c>
      <c r="U319" s="52">
        <f>SUM(U320:U331)</f>
        <v>20648800</v>
      </c>
      <c r="V319" s="52">
        <v>21681300</v>
      </c>
      <c r="W319" s="52">
        <v>22765400</v>
      </c>
      <c r="X319" s="52">
        <v>23903700</v>
      </c>
      <c r="Y319" s="52">
        <f>SUM(X319*5)</f>
        <v>119518500</v>
      </c>
      <c r="Z319" s="52">
        <f>SUM(X319*5)</f>
        <v>119518500</v>
      </c>
      <c r="AA319" s="52">
        <f>SUM(X319*3)</f>
        <v>71711100</v>
      </c>
      <c r="AB319" s="54">
        <v>19639500</v>
      </c>
      <c r="AC319" s="494">
        <v>0</v>
      </c>
      <c r="AD319" s="55">
        <v>19639500</v>
      </c>
      <c r="AE319" s="499">
        <v>19639500</v>
      </c>
      <c r="AF319" s="602"/>
      <c r="AG319" s="440"/>
      <c r="AH319" s="440"/>
    </row>
    <row r="320" spans="1:35" s="5" customFormat="1" x14ac:dyDescent="0.2">
      <c r="A320" s="276"/>
      <c r="B320" s="277" t="s">
        <v>96</v>
      </c>
      <c r="C320" s="278"/>
      <c r="D320" s="625">
        <f>SUM(D321:D332)</f>
        <v>19639500</v>
      </c>
      <c r="E320" s="626">
        <f>SUM(E321:E332)</f>
        <v>26975400</v>
      </c>
      <c r="F320" s="627">
        <v>18876500</v>
      </c>
      <c r="G320" s="627">
        <f>SUM(G321:G332)</f>
        <v>18876500</v>
      </c>
      <c r="H320" s="626">
        <f t="shared" ref="H320" si="147">SUM(H321:H332)</f>
        <v>0</v>
      </c>
      <c r="I320" s="626">
        <f t="shared" si="138"/>
        <v>18876500</v>
      </c>
      <c r="J320" s="626">
        <f t="shared" si="141"/>
        <v>8098900</v>
      </c>
      <c r="K320" s="29">
        <v>500000</v>
      </c>
      <c r="L320" s="30"/>
      <c r="M320" s="611">
        <v>1200000</v>
      </c>
      <c r="N320" s="29"/>
      <c r="O320" s="529">
        <v>13413700</v>
      </c>
      <c r="P320" s="530"/>
      <c r="Q320" s="529">
        <f t="shared" si="139"/>
        <v>13413700</v>
      </c>
      <c r="R320" s="529">
        <f>10000+18876517.55</f>
        <v>18886517.550000001</v>
      </c>
      <c r="S320" s="529"/>
      <c r="T320" s="505">
        <f t="shared" si="144"/>
        <v>0</v>
      </c>
      <c r="U320" s="29">
        <v>1200000</v>
      </c>
      <c r="V320" s="29"/>
      <c r="W320" s="29"/>
      <c r="X320" s="29"/>
      <c r="Y320" s="29"/>
      <c r="Z320" s="29"/>
      <c r="AA320" s="29"/>
      <c r="AB320" s="31"/>
      <c r="AC320" s="465"/>
      <c r="AD320" s="32"/>
      <c r="AE320" s="507"/>
      <c r="AF320" s="508"/>
      <c r="AG320" s="440">
        <v>18876500</v>
      </c>
      <c r="AH320" s="440"/>
      <c r="AI320" s="608" t="s">
        <v>795</v>
      </c>
    </row>
    <row r="321" spans="1:35" s="5" customFormat="1" x14ac:dyDescent="0.2">
      <c r="A321" s="33"/>
      <c r="B321" s="57"/>
      <c r="C321" s="58" t="s">
        <v>52</v>
      </c>
      <c r="D321" s="505">
        <v>500000</v>
      </c>
      <c r="E321" s="511">
        <v>1020000</v>
      </c>
      <c r="F321" s="506"/>
      <c r="G321" s="506">
        <v>500000</v>
      </c>
      <c r="H321" s="511"/>
      <c r="I321" s="511">
        <f t="shared" si="138"/>
        <v>500000</v>
      </c>
      <c r="J321" s="511">
        <f t="shared" si="141"/>
        <v>520000</v>
      </c>
      <c r="K321" s="29">
        <v>200000</v>
      </c>
      <c r="L321" s="30"/>
      <c r="M321" s="611">
        <v>672000</v>
      </c>
      <c r="N321" s="29"/>
      <c r="O321" s="505"/>
      <c r="P321" s="514"/>
      <c r="Q321" s="505">
        <f t="shared" si="139"/>
        <v>0</v>
      </c>
      <c r="R321" s="505"/>
      <c r="S321" s="505"/>
      <c r="T321" s="505">
        <f t="shared" si="144"/>
        <v>0</v>
      </c>
      <c r="U321" s="29">
        <v>774000</v>
      </c>
      <c r="V321" s="29"/>
      <c r="W321" s="29"/>
      <c r="X321" s="29"/>
      <c r="Y321" s="29"/>
      <c r="Z321" s="29"/>
      <c r="AA321" s="29"/>
      <c r="AB321" s="31"/>
      <c r="AC321" s="465"/>
      <c r="AD321" s="32"/>
      <c r="AE321" s="507"/>
      <c r="AF321" s="508"/>
      <c r="AG321" s="440">
        <f>+AG320-G320</f>
        <v>0</v>
      </c>
      <c r="AH321" s="440">
        <v>640464</v>
      </c>
      <c r="AI321" s="608" t="s">
        <v>802</v>
      </c>
    </row>
    <row r="322" spans="1:35" s="5" customFormat="1" x14ac:dyDescent="0.2">
      <c r="A322" s="33"/>
      <c r="B322" s="57"/>
      <c r="C322" s="58" t="s">
        <v>49</v>
      </c>
      <c r="D322" s="505">
        <v>200000</v>
      </c>
      <c r="E322" s="511">
        <v>948000</v>
      </c>
      <c r="F322" s="506"/>
      <c r="G322" s="506">
        <v>200000</v>
      </c>
      <c r="H322" s="511"/>
      <c r="I322" s="511">
        <f t="shared" si="138"/>
        <v>200000</v>
      </c>
      <c r="J322" s="511">
        <f t="shared" si="141"/>
        <v>748000</v>
      </c>
      <c r="K322" s="29">
        <v>200000</v>
      </c>
      <c r="L322" s="30"/>
      <c r="M322" s="611">
        <v>984000</v>
      </c>
      <c r="N322" s="29"/>
      <c r="O322" s="505"/>
      <c r="P322" s="514"/>
      <c r="Q322" s="505">
        <f t="shared" si="139"/>
        <v>0</v>
      </c>
      <c r="R322" s="505"/>
      <c r="S322" s="505"/>
      <c r="T322" s="505">
        <f t="shared" si="144"/>
        <v>0</v>
      </c>
      <c r="U322" s="29">
        <v>996000</v>
      </c>
      <c r="V322" s="29"/>
      <c r="W322" s="29"/>
      <c r="X322" s="29"/>
      <c r="Y322" s="29"/>
      <c r="Z322" s="29"/>
      <c r="AA322" s="29"/>
      <c r="AB322" s="31"/>
      <c r="AC322" s="465"/>
      <c r="AD322" s="32"/>
      <c r="AE322" s="507"/>
      <c r="AF322" s="508"/>
      <c r="AG322" s="440"/>
      <c r="AH322" s="440">
        <v>508212</v>
      </c>
      <c r="AI322" s="608" t="s">
        <v>803</v>
      </c>
    </row>
    <row r="323" spans="1:35" s="5" customFormat="1" x14ac:dyDescent="0.2">
      <c r="A323" s="33"/>
      <c r="B323" s="57"/>
      <c r="C323" s="58" t="s">
        <v>54</v>
      </c>
      <c r="D323" s="505">
        <v>200000</v>
      </c>
      <c r="E323" s="511">
        <v>996000</v>
      </c>
      <c r="F323" s="506"/>
      <c r="G323" s="506">
        <v>200000</v>
      </c>
      <c r="H323" s="511"/>
      <c r="I323" s="511">
        <f t="shared" si="138"/>
        <v>200000</v>
      </c>
      <c r="J323" s="511">
        <f t="shared" si="141"/>
        <v>796000</v>
      </c>
      <c r="K323" s="29">
        <v>400000</v>
      </c>
      <c r="L323" s="30"/>
      <c r="M323" s="611">
        <v>690000</v>
      </c>
      <c r="N323" s="29"/>
      <c r="O323" s="505"/>
      <c r="P323" s="514"/>
      <c r="Q323" s="505">
        <f t="shared" si="139"/>
        <v>0</v>
      </c>
      <c r="R323" s="505"/>
      <c r="S323" s="505"/>
      <c r="T323" s="505">
        <f t="shared" si="144"/>
        <v>0</v>
      </c>
      <c r="U323" s="100">
        <v>876000</v>
      </c>
      <c r="V323" s="29"/>
      <c r="W323" s="29"/>
      <c r="X323" s="29"/>
      <c r="Y323" s="29"/>
      <c r="Z323" s="29"/>
      <c r="AA323" s="29"/>
      <c r="AB323" s="31"/>
      <c r="AC323" s="465"/>
      <c r="AD323" s="32"/>
      <c r="AE323" s="507"/>
      <c r="AF323" s="508"/>
      <c r="AG323" s="440"/>
      <c r="AH323" s="440">
        <v>575161.03</v>
      </c>
      <c r="AI323" s="608" t="s">
        <v>804</v>
      </c>
    </row>
    <row r="324" spans="1:35" s="5" customFormat="1" x14ac:dyDescent="0.2">
      <c r="A324" s="33"/>
      <c r="B324" s="57"/>
      <c r="C324" s="58" t="s">
        <v>53</v>
      </c>
      <c r="D324" s="505">
        <v>400000</v>
      </c>
      <c r="E324" s="511">
        <v>876000</v>
      </c>
      <c r="F324" s="506"/>
      <c r="G324" s="506">
        <v>400000</v>
      </c>
      <c r="H324" s="511"/>
      <c r="I324" s="511">
        <f t="shared" si="138"/>
        <v>400000</v>
      </c>
      <c r="J324" s="511">
        <f t="shared" si="141"/>
        <v>476000</v>
      </c>
      <c r="K324" s="29">
        <v>800000</v>
      </c>
      <c r="L324" s="30"/>
      <c r="M324" s="611">
        <v>1256900</v>
      </c>
      <c r="N324" s="29"/>
      <c r="O324" s="505"/>
      <c r="P324" s="514"/>
      <c r="Q324" s="505">
        <f t="shared" si="139"/>
        <v>0</v>
      </c>
      <c r="R324" s="505"/>
      <c r="S324" s="505"/>
      <c r="T324" s="505">
        <f t="shared" si="144"/>
        <v>0</v>
      </c>
      <c r="U324" s="29">
        <v>1658600</v>
      </c>
      <c r="V324" s="29"/>
      <c r="W324" s="29"/>
      <c r="X324" s="29"/>
      <c r="Y324" s="29"/>
      <c r="Z324" s="29"/>
      <c r="AA324" s="29"/>
      <c r="AB324" s="31"/>
      <c r="AC324" s="465"/>
      <c r="AD324" s="32"/>
      <c r="AE324" s="507"/>
      <c r="AF324" s="508"/>
      <c r="AG324" s="440"/>
      <c r="AH324" s="440">
        <v>614352.63</v>
      </c>
      <c r="AI324" s="608" t="s">
        <v>796</v>
      </c>
    </row>
    <row r="325" spans="1:35" s="5" customFormat="1" x14ac:dyDescent="0.2">
      <c r="A325" s="33"/>
      <c r="B325" s="57"/>
      <c r="C325" s="58" t="s">
        <v>80</v>
      </c>
      <c r="D325" s="505">
        <v>800000</v>
      </c>
      <c r="E325" s="511">
        <v>1491900</v>
      </c>
      <c r="F325" s="506"/>
      <c r="G325" s="506">
        <v>800000</v>
      </c>
      <c r="H325" s="511"/>
      <c r="I325" s="511">
        <f t="shared" si="138"/>
        <v>800000</v>
      </c>
      <c r="J325" s="511">
        <f t="shared" si="141"/>
        <v>691900</v>
      </c>
      <c r="K325" s="29">
        <v>400000</v>
      </c>
      <c r="L325" s="30"/>
      <c r="M325" s="611">
        <v>804000</v>
      </c>
      <c r="N325" s="29"/>
      <c r="O325" s="505"/>
      <c r="P325" s="514"/>
      <c r="Q325" s="505">
        <f t="shared" si="139"/>
        <v>0</v>
      </c>
      <c r="R325" s="505"/>
      <c r="S325" s="505"/>
      <c r="T325" s="505">
        <f t="shared" si="144"/>
        <v>0</v>
      </c>
      <c r="U325" s="29">
        <v>804000</v>
      </c>
      <c r="V325" s="29"/>
      <c r="W325" s="29"/>
      <c r="X325" s="29"/>
      <c r="Y325" s="29"/>
      <c r="Z325" s="29"/>
      <c r="AA325" s="29"/>
      <c r="AB325" s="31"/>
      <c r="AC325" s="465"/>
      <c r="AD325" s="32"/>
      <c r="AE325" s="507"/>
      <c r="AF325" s="508"/>
      <c r="AG325" s="440"/>
      <c r="AH325" s="440">
        <v>1426959.25</v>
      </c>
      <c r="AI325" s="608" t="s">
        <v>805</v>
      </c>
    </row>
    <row r="326" spans="1:35" s="5" customFormat="1" x14ac:dyDescent="0.2">
      <c r="A326" s="33"/>
      <c r="B326" s="57"/>
      <c r="C326" s="58" t="s">
        <v>63</v>
      </c>
      <c r="D326" s="505">
        <v>400000</v>
      </c>
      <c r="E326" s="511">
        <v>660000</v>
      </c>
      <c r="F326" s="506"/>
      <c r="G326" s="506">
        <v>400000</v>
      </c>
      <c r="H326" s="511"/>
      <c r="I326" s="511">
        <f t="shared" si="138"/>
        <v>400000</v>
      </c>
      <c r="J326" s="511">
        <f t="shared" si="141"/>
        <v>260000</v>
      </c>
      <c r="K326" s="29">
        <v>500000</v>
      </c>
      <c r="L326" s="30"/>
      <c r="M326" s="611">
        <v>1075800</v>
      </c>
      <c r="N326" s="29"/>
      <c r="O326" s="505"/>
      <c r="P326" s="514"/>
      <c r="Q326" s="505">
        <f t="shared" si="139"/>
        <v>0</v>
      </c>
      <c r="R326" s="505"/>
      <c r="S326" s="505"/>
      <c r="T326" s="505">
        <f t="shared" si="144"/>
        <v>0</v>
      </c>
      <c r="U326" s="29">
        <v>2000000</v>
      </c>
      <c r="V326" s="29"/>
      <c r="W326" s="29"/>
      <c r="X326" s="29"/>
      <c r="Y326" s="29"/>
      <c r="Z326" s="29"/>
      <c r="AA326" s="29"/>
      <c r="AB326" s="31"/>
      <c r="AC326" s="465"/>
      <c r="AD326" s="32"/>
      <c r="AE326" s="507"/>
      <c r="AF326" s="508"/>
      <c r="AG326" s="440"/>
      <c r="AH326" s="440">
        <v>317400</v>
      </c>
      <c r="AI326" s="608" t="s">
        <v>806</v>
      </c>
    </row>
    <row r="327" spans="1:35" s="5" customFormat="1" x14ac:dyDescent="0.2">
      <c r="A327" s="33"/>
      <c r="B327" s="57"/>
      <c r="C327" s="58" t="s">
        <v>61</v>
      </c>
      <c r="D327" s="505">
        <v>500000</v>
      </c>
      <c r="E327" s="511">
        <v>1180000</v>
      </c>
      <c r="F327" s="506"/>
      <c r="G327" s="506">
        <v>500000</v>
      </c>
      <c r="H327" s="511"/>
      <c r="I327" s="511">
        <f t="shared" si="138"/>
        <v>500000</v>
      </c>
      <c r="J327" s="511">
        <f t="shared" si="141"/>
        <v>680000</v>
      </c>
      <c r="K327" s="29">
        <v>300000</v>
      </c>
      <c r="L327" s="30"/>
      <c r="M327" s="611">
        <v>509400</v>
      </c>
      <c r="N327" s="29"/>
      <c r="O327" s="505"/>
      <c r="P327" s="514"/>
      <c r="Q327" s="505">
        <f t="shared" si="139"/>
        <v>0</v>
      </c>
      <c r="R327" s="505"/>
      <c r="S327" s="505"/>
      <c r="T327" s="505">
        <f t="shared" si="144"/>
        <v>0</v>
      </c>
      <c r="U327" s="29">
        <v>732000</v>
      </c>
      <c r="V327" s="29"/>
      <c r="W327" s="29"/>
      <c r="X327" s="29"/>
      <c r="Y327" s="29"/>
      <c r="Z327" s="29"/>
      <c r="AA327" s="29"/>
      <c r="AB327" s="31"/>
      <c r="AC327" s="465"/>
      <c r="AD327" s="32"/>
      <c r="AE327" s="507"/>
      <c r="AF327" s="508"/>
      <c r="AG327" s="440"/>
      <c r="AH327" s="440">
        <v>887340</v>
      </c>
    </row>
    <row r="328" spans="1:35" s="5" customFormat="1" x14ac:dyDescent="0.2">
      <c r="A328" s="33"/>
      <c r="B328" s="57"/>
      <c r="C328" s="58" t="s">
        <v>51</v>
      </c>
      <c r="D328" s="505">
        <v>300000</v>
      </c>
      <c r="E328" s="511">
        <v>1066000</v>
      </c>
      <c r="F328" s="506"/>
      <c r="G328" s="506">
        <v>300000</v>
      </c>
      <c r="H328" s="511"/>
      <c r="I328" s="511">
        <f t="shared" ref="I328:I391" si="148">+G328-H328</f>
        <v>300000</v>
      </c>
      <c r="J328" s="511">
        <f t="shared" si="141"/>
        <v>766000</v>
      </c>
      <c r="K328" s="29">
        <v>400000</v>
      </c>
      <c r="L328" s="30"/>
      <c r="M328" s="611">
        <v>400000</v>
      </c>
      <c r="N328" s="29"/>
      <c r="O328" s="505"/>
      <c r="P328" s="514"/>
      <c r="Q328" s="505">
        <f t="shared" ref="Q328:Q391" si="149">+O328-P328</f>
        <v>0</v>
      </c>
      <c r="R328" s="505"/>
      <c r="S328" s="505"/>
      <c r="T328" s="505">
        <f t="shared" si="144"/>
        <v>0</v>
      </c>
      <c r="U328" s="29">
        <v>400000</v>
      </c>
      <c r="V328" s="29"/>
      <c r="W328" s="29"/>
      <c r="X328" s="29"/>
      <c r="Y328" s="29"/>
      <c r="Z328" s="29"/>
      <c r="AA328" s="29"/>
      <c r="AB328" s="31"/>
      <c r="AC328" s="465"/>
      <c r="AD328" s="32"/>
      <c r="AE328" s="507"/>
      <c r="AF328" s="508"/>
      <c r="AG328" s="440"/>
      <c r="AH328" s="440">
        <v>521260</v>
      </c>
    </row>
    <row r="329" spans="1:35" s="5" customFormat="1" x14ac:dyDescent="0.2">
      <c r="A329" s="33"/>
      <c r="B329" s="57"/>
      <c r="C329" s="58" t="s">
        <v>43</v>
      </c>
      <c r="D329" s="505">
        <v>400000</v>
      </c>
      <c r="E329" s="511">
        <v>888000</v>
      </c>
      <c r="F329" s="506"/>
      <c r="G329" s="506">
        <v>400000</v>
      </c>
      <c r="H329" s="511"/>
      <c r="I329" s="511">
        <f t="shared" si="148"/>
        <v>400000</v>
      </c>
      <c r="J329" s="511">
        <f t="shared" si="141"/>
        <v>488000</v>
      </c>
      <c r="K329" s="29">
        <v>300000</v>
      </c>
      <c r="L329" s="30"/>
      <c r="M329" s="611">
        <v>861600</v>
      </c>
      <c r="N329" s="29"/>
      <c r="O329" s="505"/>
      <c r="P329" s="514"/>
      <c r="Q329" s="505">
        <f t="shared" si="149"/>
        <v>0</v>
      </c>
      <c r="R329" s="505"/>
      <c r="S329" s="505"/>
      <c r="T329" s="505">
        <f t="shared" si="144"/>
        <v>0</v>
      </c>
      <c r="U329" s="29">
        <v>1094400</v>
      </c>
      <c r="V329" s="29"/>
      <c r="W329" s="29"/>
      <c r="X329" s="29"/>
      <c r="Y329" s="29"/>
      <c r="Z329" s="29"/>
      <c r="AA329" s="29"/>
      <c r="AB329" s="31"/>
      <c r="AC329" s="465"/>
      <c r="AD329" s="32"/>
      <c r="AE329" s="507"/>
      <c r="AF329" s="508"/>
      <c r="AG329" s="440"/>
      <c r="AH329" s="440">
        <v>592133.44999999995</v>
      </c>
    </row>
    <row r="330" spans="1:35" s="5" customFormat="1" x14ac:dyDescent="0.2">
      <c r="A330" s="33"/>
      <c r="B330" s="57"/>
      <c r="C330" s="58" t="s">
        <v>50</v>
      </c>
      <c r="D330" s="505">
        <v>300000</v>
      </c>
      <c r="E330" s="511">
        <v>1200000</v>
      </c>
      <c r="F330" s="506"/>
      <c r="G330" s="506">
        <v>300000</v>
      </c>
      <c r="H330" s="511"/>
      <c r="I330" s="511">
        <f t="shared" si="148"/>
        <v>300000</v>
      </c>
      <c r="J330" s="511">
        <f t="shared" si="141"/>
        <v>900000</v>
      </c>
      <c r="K330" s="29">
        <v>300000</v>
      </c>
      <c r="L330" s="30"/>
      <c r="M330" s="611">
        <v>951600</v>
      </c>
      <c r="N330" s="29"/>
      <c r="O330" s="505"/>
      <c r="P330" s="514"/>
      <c r="Q330" s="505">
        <f t="shared" si="149"/>
        <v>0</v>
      </c>
      <c r="R330" s="505"/>
      <c r="S330" s="505"/>
      <c r="T330" s="505">
        <f t="shared" si="144"/>
        <v>0</v>
      </c>
      <c r="U330" s="29">
        <v>913800</v>
      </c>
      <c r="V330" s="29"/>
      <c r="W330" s="29"/>
      <c r="X330" s="29"/>
      <c r="Y330" s="29"/>
      <c r="Z330" s="29"/>
      <c r="AA330" s="29"/>
      <c r="AB330" s="31"/>
      <c r="AC330" s="465"/>
      <c r="AD330" s="32"/>
      <c r="AE330" s="507"/>
      <c r="AF330" s="508"/>
      <c r="AG330" s="440"/>
      <c r="AH330" s="440">
        <v>783133.26</v>
      </c>
    </row>
    <row r="331" spans="1:35" s="5" customFormat="1" x14ac:dyDescent="0.2">
      <c r="A331" s="33"/>
      <c r="B331" s="57"/>
      <c r="C331" s="58" t="s">
        <v>62</v>
      </c>
      <c r="D331" s="505">
        <v>300000</v>
      </c>
      <c r="E331" s="511">
        <v>942000</v>
      </c>
      <c r="F331" s="506"/>
      <c r="G331" s="506">
        <v>300000</v>
      </c>
      <c r="H331" s="511"/>
      <c r="I331" s="511">
        <f t="shared" si="148"/>
        <v>300000</v>
      </c>
      <c r="J331" s="511">
        <f t="shared" si="141"/>
        <v>642000</v>
      </c>
      <c r="K331" s="29">
        <v>9113700</v>
      </c>
      <c r="L331" s="30"/>
      <c r="M331" s="611">
        <v>13434500</v>
      </c>
      <c r="N331" s="29"/>
      <c r="O331" s="505"/>
      <c r="P331" s="514"/>
      <c r="Q331" s="505">
        <f t="shared" si="149"/>
        <v>0</v>
      </c>
      <c r="R331" s="505"/>
      <c r="S331" s="505"/>
      <c r="T331" s="505">
        <f t="shared" si="144"/>
        <v>0</v>
      </c>
      <c r="U331" s="29">
        <v>9200000</v>
      </c>
      <c r="V331" s="29"/>
      <c r="W331" s="29"/>
      <c r="X331" s="29"/>
      <c r="Y331" s="29"/>
      <c r="Z331" s="29"/>
      <c r="AA331" s="29"/>
      <c r="AB331" s="31"/>
      <c r="AC331" s="465"/>
      <c r="AD331" s="32"/>
      <c r="AE331" s="507"/>
      <c r="AF331" s="508"/>
      <c r="AG331" s="440"/>
      <c r="AH331" s="440">
        <v>555049.93000000005</v>
      </c>
    </row>
    <row r="332" spans="1:35" s="5" customFormat="1" x14ac:dyDescent="0.2">
      <c r="A332" s="33"/>
      <c r="B332" s="57"/>
      <c r="C332" s="58" t="s">
        <v>81</v>
      </c>
      <c r="D332" s="505">
        <f>9113700+6225800</f>
        <v>15339500</v>
      </c>
      <c r="E332" s="511">
        <v>15707500</v>
      </c>
      <c r="F332" s="506"/>
      <c r="G332" s="506">
        <f>15339500-763000</f>
        <v>14576500</v>
      </c>
      <c r="H332" s="511"/>
      <c r="I332" s="511">
        <f t="shared" si="148"/>
        <v>14576500</v>
      </c>
      <c r="J332" s="511">
        <f t="shared" si="141"/>
        <v>1131000</v>
      </c>
      <c r="K332" s="52">
        <v>27752700</v>
      </c>
      <c r="L332" s="53">
        <v>20337126.609999999</v>
      </c>
      <c r="M332" s="613">
        <v>29369800</v>
      </c>
      <c r="N332" s="52">
        <v>26428000</v>
      </c>
      <c r="O332" s="505"/>
      <c r="P332" s="514"/>
      <c r="Q332" s="505">
        <f t="shared" si="149"/>
        <v>0</v>
      </c>
      <c r="R332" s="505"/>
      <c r="S332" s="505"/>
      <c r="T332" s="529">
        <f t="shared" si="144"/>
        <v>2463336.700000003</v>
      </c>
      <c r="U332" s="52">
        <f>SUM(U333:U334)</f>
        <v>30749400</v>
      </c>
      <c r="V332" s="52">
        <v>32286900</v>
      </c>
      <c r="W332" s="52">
        <v>33901300</v>
      </c>
      <c r="X332" s="52">
        <v>35596400</v>
      </c>
      <c r="Y332" s="52">
        <f>SUM(X332*5)</f>
        <v>177982000</v>
      </c>
      <c r="Z332" s="52">
        <f>SUM(X332*5)</f>
        <v>177982000</v>
      </c>
      <c r="AA332" s="52">
        <f>SUM(X332*3)</f>
        <v>106789200</v>
      </c>
      <c r="AB332" s="54">
        <v>29668200</v>
      </c>
      <c r="AC332" s="494">
        <v>0</v>
      </c>
      <c r="AD332" s="55">
        <v>29668200</v>
      </c>
      <c r="AE332" s="499">
        <v>29668200</v>
      </c>
      <c r="AF332" s="602"/>
      <c r="AG332" s="440"/>
      <c r="AH332" s="440">
        <v>11455052</v>
      </c>
    </row>
    <row r="333" spans="1:35" s="5" customFormat="1" x14ac:dyDescent="0.2">
      <c r="A333" s="33"/>
      <c r="B333" s="34" t="s">
        <v>97</v>
      </c>
      <c r="C333" s="35"/>
      <c r="D333" s="529">
        <v>29668200</v>
      </c>
      <c r="E333" s="531">
        <f>SUM(E334:E335)</f>
        <v>33258500</v>
      </c>
      <c r="F333" s="532">
        <f>SUM(F334:F335)</f>
        <v>29991500</v>
      </c>
      <c r="G333" s="532">
        <f>SUM(G334:G335)</f>
        <v>29991500</v>
      </c>
      <c r="H333" s="531">
        <f t="shared" ref="H333" si="150">SUM(H334:H335)</f>
        <v>0</v>
      </c>
      <c r="I333" s="531">
        <f t="shared" si="148"/>
        <v>29991500</v>
      </c>
      <c r="J333" s="531">
        <f t="shared" si="141"/>
        <v>3267000</v>
      </c>
      <c r="K333" s="52"/>
      <c r="L333" s="53"/>
      <c r="M333" s="613"/>
      <c r="N333" s="52"/>
      <c r="O333" s="529">
        <v>26428000</v>
      </c>
      <c r="P333" s="530">
        <v>2998600</v>
      </c>
      <c r="Q333" s="529">
        <f t="shared" si="149"/>
        <v>23429400</v>
      </c>
      <c r="R333" s="529">
        <v>20966063.299999997</v>
      </c>
      <c r="S333" s="529"/>
      <c r="T333" s="505">
        <f t="shared" si="144"/>
        <v>0</v>
      </c>
      <c r="U333" s="29">
        <v>24211000</v>
      </c>
      <c r="V333" s="52"/>
      <c r="W333" s="52"/>
      <c r="X333" s="52"/>
      <c r="Y333" s="52"/>
      <c r="Z333" s="52"/>
      <c r="AA333" s="52"/>
      <c r="AB333" s="31"/>
      <c r="AC333" s="465"/>
      <c r="AD333" s="32"/>
      <c r="AE333" s="507"/>
      <c r="AF333" s="508"/>
      <c r="AG333" s="440"/>
      <c r="AH333" s="440"/>
    </row>
    <row r="334" spans="1:35" s="5" customFormat="1" x14ac:dyDescent="0.2">
      <c r="A334" s="33"/>
      <c r="B334" s="124" t="s">
        <v>35</v>
      </c>
      <c r="C334" s="103" t="s">
        <v>337</v>
      </c>
      <c r="D334" s="505"/>
      <c r="E334" s="511">
        <v>27710500</v>
      </c>
      <c r="F334" s="506">
        <v>27710500</v>
      </c>
      <c r="G334" s="506">
        <v>27710500</v>
      </c>
      <c r="H334" s="511"/>
      <c r="I334" s="511">
        <f t="shared" si="148"/>
        <v>27710500</v>
      </c>
      <c r="J334" s="511">
        <f t="shared" si="141"/>
        <v>0</v>
      </c>
      <c r="K334" s="52"/>
      <c r="L334" s="53"/>
      <c r="M334" s="613"/>
      <c r="N334" s="52"/>
      <c r="O334" s="505"/>
      <c r="P334" s="514"/>
      <c r="Q334" s="505">
        <f t="shared" si="149"/>
        <v>0</v>
      </c>
      <c r="R334" s="505"/>
      <c r="S334" s="505"/>
      <c r="T334" s="505">
        <f t="shared" si="144"/>
        <v>0</v>
      </c>
      <c r="U334" s="29">
        <v>6538400</v>
      </c>
      <c r="V334" s="52"/>
      <c r="W334" s="52"/>
      <c r="X334" s="52"/>
      <c r="Y334" s="52"/>
      <c r="Z334" s="52"/>
      <c r="AA334" s="52"/>
      <c r="AB334" s="31"/>
      <c r="AC334" s="465"/>
      <c r="AD334" s="32"/>
      <c r="AE334" s="507"/>
      <c r="AF334" s="508"/>
      <c r="AG334" s="440"/>
      <c r="AH334" s="440"/>
    </row>
    <row r="335" spans="1:35" s="5" customFormat="1" x14ac:dyDescent="0.2">
      <c r="A335" s="33"/>
      <c r="B335" s="124" t="s">
        <v>36</v>
      </c>
      <c r="C335" s="103" t="s">
        <v>336</v>
      </c>
      <c r="D335" s="505"/>
      <c r="E335" s="511">
        <v>5548000</v>
      </c>
      <c r="F335" s="506">
        <v>2281000</v>
      </c>
      <c r="G335" s="506">
        <v>2281000</v>
      </c>
      <c r="H335" s="511"/>
      <c r="I335" s="511">
        <f t="shared" si="148"/>
        <v>2281000</v>
      </c>
      <c r="J335" s="511">
        <f t="shared" si="141"/>
        <v>3267000</v>
      </c>
      <c r="K335" s="80" t="e">
        <f>K336+K350+K364+K378+K389+K394+K407</f>
        <v>#REF!</v>
      </c>
      <c r="L335" s="99">
        <f>SUM(L336,L350,L364,L378,L389,L394,L407)</f>
        <v>83414562.25999999</v>
      </c>
      <c r="M335" s="619" t="e">
        <f>SUM(M336,M350,M364,M378,M389,M394,M407)</f>
        <v>#REF!</v>
      </c>
      <c r="N335" s="130">
        <f>SUM(N336,N350,N364,N378,N389,N394,N407)</f>
        <v>82725600</v>
      </c>
      <c r="O335" s="505"/>
      <c r="P335" s="514"/>
      <c r="Q335" s="505">
        <f t="shared" si="149"/>
        <v>0</v>
      </c>
      <c r="R335" s="505"/>
      <c r="S335" s="505"/>
      <c r="T335" s="529">
        <f t="shared" si="144"/>
        <v>6482735.3300000019</v>
      </c>
      <c r="U335" s="529">
        <f>+U336+U350+U364+U378+U389+U394+U407</f>
        <v>780296940700</v>
      </c>
      <c r="V335" s="529">
        <f t="shared" ref="R335:AF336" si="151">+V336+V350+V364+V378+V389+V394+V407</f>
        <v>117134727000</v>
      </c>
      <c r="W335" s="529">
        <f t="shared" si="151"/>
        <v>117084500</v>
      </c>
      <c r="X335" s="529">
        <f t="shared" si="151"/>
        <v>122938900</v>
      </c>
      <c r="Y335" s="529">
        <f t="shared" si="151"/>
        <v>614694500</v>
      </c>
      <c r="Z335" s="529">
        <f t="shared" si="151"/>
        <v>614694500</v>
      </c>
      <c r="AA335" s="529">
        <f t="shared" si="151"/>
        <v>368816700</v>
      </c>
      <c r="AB335" s="529">
        <f t="shared" si="151"/>
        <v>85182800</v>
      </c>
      <c r="AC335" s="529">
        <f t="shared" si="151"/>
        <v>0</v>
      </c>
      <c r="AD335" s="529">
        <f t="shared" si="151"/>
        <v>85182800</v>
      </c>
      <c r="AE335" s="529">
        <f t="shared" si="151"/>
        <v>85182800</v>
      </c>
      <c r="AF335" s="529">
        <f t="shared" si="151"/>
        <v>0</v>
      </c>
      <c r="AG335" s="440"/>
      <c r="AH335" s="440"/>
    </row>
    <row r="336" spans="1:35" s="5" customFormat="1" x14ac:dyDescent="0.2">
      <c r="A336" s="33"/>
      <c r="B336" s="34" t="s">
        <v>156</v>
      </c>
      <c r="C336" s="35"/>
      <c r="D336" s="529">
        <f>+D337+D351+D365+D379+D390+D395+D408</f>
        <v>23851100</v>
      </c>
      <c r="E336" s="531">
        <f>+E337+E351+E365+E379+E390+E395+E408+E412</f>
        <v>35175700</v>
      </c>
      <c r="F336" s="532">
        <f>+F337+F351+F365+F379+F390+F395+F408+F412</f>
        <v>19751300</v>
      </c>
      <c r="G336" s="532">
        <f>+G337+G351+G365+G379+G390+G395+G408+G412</f>
        <v>19751300</v>
      </c>
      <c r="H336" s="531">
        <f t="shared" ref="H336" si="152">+H337+H351+H365+H379+H390+H395+H408+H412</f>
        <v>0</v>
      </c>
      <c r="I336" s="531">
        <f t="shared" si="148"/>
        <v>19751300</v>
      </c>
      <c r="J336" s="531">
        <f t="shared" si="141"/>
        <v>15424400</v>
      </c>
      <c r="K336" s="52" t="e">
        <f>SUM(K337:K476)</f>
        <v>#REF!</v>
      </c>
      <c r="L336" s="53">
        <v>29582330.41</v>
      </c>
      <c r="M336" s="613" t="e">
        <f>SUM(M337:M476)</f>
        <v>#REF!</v>
      </c>
      <c r="N336" s="52">
        <v>30293100</v>
      </c>
      <c r="O336" s="529">
        <f>+O337+O351+O365+O379+O390+O395+O408</f>
        <v>21569600</v>
      </c>
      <c r="P336" s="530"/>
      <c r="Q336" s="529">
        <f t="shared" si="149"/>
        <v>21569600</v>
      </c>
      <c r="R336" s="529">
        <f t="shared" si="151"/>
        <v>15086864.669999998</v>
      </c>
      <c r="S336" s="529">
        <f t="shared" si="151"/>
        <v>0</v>
      </c>
      <c r="T336" s="529">
        <f t="shared" si="144"/>
        <v>3440506.96</v>
      </c>
      <c r="U336" s="52">
        <f>SUM(U337:U476)</f>
        <v>445868951200</v>
      </c>
      <c r="V336" s="52">
        <v>40137500</v>
      </c>
      <c r="W336" s="52">
        <v>42144400</v>
      </c>
      <c r="X336" s="52">
        <v>44251700</v>
      </c>
      <c r="Y336" s="52">
        <f>SUM(X336*5)</f>
        <v>221258500</v>
      </c>
      <c r="Z336" s="52">
        <f>SUM(X336*5)</f>
        <v>221258500</v>
      </c>
      <c r="AA336" s="52">
        <f>SUM(X336*3)</f>
        <v>132755100</v>
      </c>
      <c r="AB336" s="54">
        <v>30293100</v>
      </c>
      <c r="AC336" s="494">
        <v>0</v>
      </c>
      <c r="AD336" s="55">
        <v>30293100</v>
      </c>
      <c r="AE336" s="499">
        <v>30293100</v>
      </c>
      <c r="AF336" s="602"/>
      <c r="AG336" s="532">
        <v>19751300</v>
      </c>
      <c r="AH336" s="440"/>
    </row>
    <row r="337" spans="1:34" s="5" customFormat="1" x14ac:dyDescent="0.2">
      <c r="A337" s="33"/>
      <c r="B337" s="72" t="s">
        <v>98</v>
      </c>
      <c r="C337" s="125"/>
      <c r="D337" s="529">
        <f>SUM(D338:D350)</f>
        <v>10293100</v>
      </c>
      <c r="E337" s="531">
        <f>SUM(E338:E350)</f>
        <v>14730200</v>
      </c>
      <c r="F337" s="532">
        <v>9714200</v>
      </c>
      <c r="G337" s="532">
        <f>SUM(G338:G350)</f>
        <v>9714200</v>
      </c>
      <c r="H337" s="531">
        <f t="shared" ref="H337" si="153">SUM(H338:H350)</f>
        <v>0</v>
      </c>
      <c r="I337" s="531">
        <f t="shared" si="148"/>
        <v>9714200</v>
      </c>
      <c r="J337" s="531">
        <f t="shared" si="141"/>
        <v>5016000</v>
      </c>
      <c r="K337" s="29">
        <v>441000</v>
      </c>
      <c r="L337" s="30"/>
      <c r="M337" s="611">
        <v>500000</v>
      </c>
      <c r="N337" s="29"/>
      <c r="O337" s="529">
        <f>30293100-20000000</f>
        <v>10293100</v>
      </c>
      <c r="P337" s="530"/>
      <c r="Q337" s="529">
        <f t="shared" si="149"/>
        <v>10293100</v>
      </c>
      <c r="R337" s="529">
        <f>299291.21+6553301.83</f>
        <v>6852593.04</v>
      </c>
      <c r="S337" s="529"/>
      <c r="T337" s="505">
        <f t="shared" si="144"/>
        <v>0</v>
      </c>
      <c r="U337" s="29">
        <v>849200</v>
      </c>
      <c r="V337" s="29"/>
      <c r="W337" s="29"/>
      <c r="X337" s="29"/>
      <c r="Y337" s="29"/>
      <c r="Z337" s="29"/>
      <c r="AA337" s="29"/>
      <c r="AB337" s="31"/>
      <c r="AC337" s="465"/>
      <c r="AD337" s="32"/>
      <c r="AE337" s="507"/>
      <c r="AF337" s="508"/>
      <c r="AG337" s="532">
        <v>9714200</v>
      </c>
      <c r="AH337" s="440"/>
    </row>
    <row r="338" spans="1:34" s="5" customFormat="1" x14ac:dyDescent="0.2">
      <c r="A338" s="33"/>
      <c r="B338" s="57"/>
      <c r="C338" s="58" t="s">
        <v>52</v>
      </c>
      <c r="D338" s="505">
        <v>441000</v>
      </c>
      <c r="E338" s="511">
        <v>480000</v>
      </c>
      <c r="F338" s="506"/>
      <c r="G338" s="506">
        <v>416200</v>
      </c>
      <c r="H338" s="511"/>
      <c r="I338" s="511">
        <f t="shared" si="148"/>
        <v>416200</v>
      </c>
      <c r="J338" s="511">
        <f t="shared" si="141"/>
        <v>63800</v>
      </c>
      <c r="K338" s="29">
        <v>441000</v>
      </c>
      <c r="L338" s="30"/>
      <c r="M338" s="611">
        <v>250000</v>
      </c>
      <c r="N338" s="29"/>
      <c r="O338" s="505"/>
      <c r="P338" s="514"/>
      <c r="Q338" s="505">
        <f t="shared" si="149"/>
        <v>0</v>
      </c>
      <c r="R338" s="505"/>
      <c r="S338" s="505"/>
      <c r="T338" s="505">
        <f t="shared" si="144"/>
        <v>0</v>
      </c>
      <c r="U338" s="29">
        <v>300000</v>
      </c>
      <c r="V338" s="29"/>
      <c r="W338" s="29"/>
      <c r="X338" s="29"/>
      <c r="Y338" s="29"/>
      <c r="Z338" s="29"/>
      <c r="AA338" s="29"/>
      <c r="AB338" s="31"/>
      <c r="AC338" s="465"/>
      <c r="AD338" s="32"/>
      <c r="AE338" s="507"/>
      <c r="AF338" s="508"/>
      <c r="AG338" s="440">
        <f>+G337-AG337</f>
        <v>0</v>
      </c>
      <c r="AH338" s="440"/>
    </row>
    <row r="339" spans="1:34" s="5" customFormat="1" x14ac:dyDescent="0.2">
      <c r="A339" s="33"/>
      <c r="B339" s="57"/>
      <c r="C339" s="58" t="s">
        <v>49</v>
      </c>
      <c r="D339" s="505">
        <v>441000</v>
      </c>
      <c r="E339" s="511">
        <v>500000</v>
      </c>
      <c r="F339" s="506"/>
      <c r="G339" s="506">
        <v>416200</v>
      </c>
      <c r="H339" s="511"/>
      <c r="I339" s="511">
        <f t="shared" si="148"/>
        <v>416200</v>
      </c>
      <c r="J339" s="511">
        <f t="shared" si="141"/>
        <v>83800</v>
      </c>
      <c r="K339" s="29">
        <v>441000</v>
      </c>
      <c r="L339" s="30"/>
      <c r="M339" s="611">
        <v>500000</v>
      </c>
      <c r="N339" s="29"/>
      <c r="O339" s="505"/>
      <c r="P339" s="514"/>
      <c r="Q339" s="505">
        <f t="shared" si="149"/>
        <v>0</v>
      </c>
      <c r="R339" s="505"/>
      <c r="S339" s="505"/>
      <c r="T339" s="505">
        <f t="shared" si="144"/>
        <v>0</v>
      </c>
      <c r="U339" s="29">
        <v>500000</v>
      </c>
      <c r="V339" s="29"/>
      <c r="W339" s="29"/>
      <c r="X339" s="29"/>
      <c r="Y339" s="29"/>
      <c r="Z339" s="29"/>
      <c r="AA339" s="29"/>
      <c r="AB339" s="31"/>
      <c r="AC339" s="465"/>
      <c r="AD339" s="32"/>
      <c r="AE339" s="507"/>
      <c r="AF339" s="508"/>
      <c r="AG339" s="440"/>
      <c r="AH339" s="440"/>
    </row>
    <row r="340" spans="1:34" s="5" customFormat="1" x14ac:dyDescent="0.2">
      <c r="A340" s="33"/>
      <c r="B340" s="57"/>
      <c r="C340" s="58" t="s">
        <v>54</v>
      </c>
      <c r="D340" s="505">
        <v>441000</v>
      </c>
      <c r="E340" s="511">
        <v>500000</v>
      </c>
      <c r="F340" s="506"/>
      <c r="G340" s="506">
        <v>416200</v>
      </c>
      <c r="H340" s="511"/>
      <c r="I340" s="511">
        <f t="shared" si="148"/>
        <v>416200</v>
      </c>
      <c r="J340" s="511">
        <f t="shared" ref="J340:J403" si="154">+E340-G340</f>
        <v>83800</v>
      </c>
      <c r="K340" s="29">
        <v>441000</v>
      </c>
      <c r="L340" s="30"/>
      <c r="M340" s="611">
        <v>450000</v>
      </c>
      <c r="N340" s="29"/>
      <c r="O340" s="505"/>
      <c r="P340" s="514"/>
      <c r="Q340" s="505">
        <f t="shared" si="149"/>
        <v>0</v>
      </c>
      <c r="R340" s="505"/>
      <c r="S340" s="505"/>
      <c r="T340" s="505">
        <f t="shared" si="144"/>
        <v>0</v>
      </c>
      <c r="U340" s="29">
        <v>507000</v>
      </c>
      <c r="V340" s="29"/>
      <c r="W340" s="29"/>
      <c r="X340" s="29"/>
      <c r="Y340" s="29"/>
      <c r="Z340" s="29"/>
      <c r="AA340" s="29"/>
      <c r="AB340" s="31"/>
      <c r="AC340" s="465"/>
      <c r="AD340" s="32"/>
      <c r="AE340" s="507"/>
      <c r="AF340" s="508"/>
      <c r="AG340" s="440"/>
      <c r="AH340" s="440"/>
    </row>
    <row r="341" spans="1:34" s="5" customFormat="1" x14ac:dyDescent="0.2">
      <c r="A341" s="33"/>
      <c r="B341" s="57"/>
      <c r="C341" s="58" t="s">
        <v>53</v>
      </c>
      <c r="D341" s="505">
        <v>441000</v>
      </c>
      <c r="E341" s="511">
        <v>530000</v>
      </c>
      <c r="F341" s="506"/>
      <c r="G341" s="506">
        <v>416200</v>
      </c>
      <c r="H341" s="511"/>
      <c r="I341" s="511">
        <f t="shared" si="148"/>
        <v>416200</v>
      </c>
      <c r="J341" s="511">
        <f t="shared" si="154"/>
        <v>113800</v>
      </c>
      <c r="K341" s="29">
        <v>441000</v>
      </c>
      <c r="L341" s="30"/>
      <c r="M341" s="611">
        <v>500000</v>
      </c>
      <c r="N341" s="29"/>
      <c r="O341" s="505"/>
      <c r="P341" s="514"/>
      <c r="Q341" s="505">
        <f t="shared" si="149"/>
        <v>0</v>
      </c>
      <c r="R341" s="505"/>
      <c r="S341" s="505"/>
      <c r="T341" s="505">
        <f t="shared" si="144"/>
        <v>0</v>
      </c>
      <c r="U341" s="29">
        <v>600000</v>
      </c>
      <c r="V341" s="29"/>
      <c r="W341" s="29"/>
      <c r="X341" s="29"/>
      <c r="Y341" s="29"/>
      <c r="Z341" s="29"/>
      <c r="AA341" s="29"/>
      <c r="AB341" s="31"/>
      <c r="AC341" s="465"/>
      <c r="AD341" s="32"/>
      <c r="AE341" s="507"/>
      <c r="AF341" s="508"/>
      <c r="AG341" s="440"/>
      <c r="AH341" s="440"/>
    </row>
    <row r="342" spans="1:34" s="5" customFormat="1" x14ac:dyDescent="0.2">
      <c r="A342" s="33"/>
      <c r="B342" s="57"/>
      <c r="C342" s="58" t="s">
        <v>80</v>
      </c>
      <c r="D342" s="505">
        <v>441000</v>
      </c>
      <c r="E342" s="511">
        <v>600000</v>
      </c>
      <c r="F342" s="506"/>
      <c r="G342" s="506">
        <v>416200</v>
      </c>
      <c r="H342" s="511"/>
      <c r="I342" s="511">
        <f t="shared" si="148"/>
        <v>416200</v>
      </c>
      <c r="J342" s="511">
        <f t="shared" si="154"/>
        <v>183800</v>
      </c>
      <c r="K342" s="29">
        <v>441000</v>
      </c>
      <c r="L342" s="30"/>
      <c r="M342" s="611">
        <v>500000</v>
      </c>
      <c r="N342" s="29"/>
      <c r="O342" s="505"/>
      <c r="P342" s="514"/>
      <c r="Q342" s="505">
        <f t="shared" si="149"/>
        <v>0</v>
      </c>
      <c r="R342" s="505"/>
      <c r="S342" s="505"/>
      <c r="T342" s="505">
        <f t="shared" si="144"/>
        <v>0</v>
      </c>
      <c r="U342" s="29">
        <v>500000</v>
      </c>
      <c r="V342" s="29"/>
      <c r="W342" s="29"/>
      <c r="X342" s="29"/>
      <c r="Y342" s="29"/>
      <c r="Z342" s="29"/>
      <c r="AA342" s="29"/>
      <c r="AB342" s="31"/>
      <c r="AC342" s="465"/>
      <c r="AD342" s="32"/>
      <c r="AE342" s="507"/>
      <c r="AF342" s="508"/>
      <c r="AG342" s="440"/>
      <c r="AH342" s="440"/>
    </row>
    <row r="343" spans="1:34" s="5" customFormat="1" x14ac:dyDescent="0.2">
      <c r="A343" s="33"/>
      <c r="B343" s="57"/>
      <c r="C343" s="58" t="s">
        <v>63</v>
      </c>
      <c r="D343" s="505">
        <v>441000</v>
      </c>
      <c r="E343" s="511">
        <v>500000</v>
      </c>
      <c r="F343" s="506"/>
      <c r="G343" s="506">
        <v>416200</v>
      </c>
      <c r="H343" s="511"/>
      <c r="I343" s="511">
        <f t="shared" si="148"/>
        <v>416200</v>
      </c>
      <c r="J343" s="511">
        <f t="shared" si="154"/>
        <v>83800</v>
      </c>
      <c r="K343" s="29">
        <v>441000</v>
      </c>
      <c r="L343" s="30"/>
      <c r="M343" s="611">
        <v>1000000</v>
      </c>
      <c r="N343" s="29"/>
      <c r="O343" s="505"/>
      <c r="P343" s="514"/>
      <c r="Q343" s="505">
        <f t="shared" si="149"/>
        <v>0</v>
      </c>
      <c r="R343" s="505"/>
      <c r="S343" s="505"/>
      <c r="T343" s="505">
        <f t="shared" si="144"/>
        <v>0</v>
      </c>
      <c r="U343" s="29">
        <v>500000</v>
      </c>
      <c r="V343" s="29"/>
      <c r="W343" s="29"/>
      <c r="X343" s="29"/>
      <c r="Y343" s="29"/>
      <c r="Z343" s="29"/>
      <c r="AA343" s="29"/>
      <c r="AB343" s="31"/>
      <c r="AC343" s="465"/>
      <c r="AD343" s="32"/>
      <c r="AE343" s="507"/>
      <c r="AF343" s="508"/>
      <c r="AG343" s="440"/>
      <c r="AH343" s="440"/>
    </row>
    <row r="344" spans="1:34" s="5" customFormat="1" x14ac:dyDescent="0.2">
      <c r="A344" s="33"/>
      <c r="B344" s="57"/>
      <c r="C344" s="58" t="s">
        <v>61</v>
      </c>
      <c r="D344" s="505">
        <v>441000</v>
      </c>
      <c r="E344" s="511">
        <v>500000</v>
      </c>
      <c r="F344" s="506"/>
      <c r="G344" s="506">
        <v>416200</v>
      </c>
      <c r="H344" s="511"/>
      <c r="I344" s="511">
        <f t="shared" si="148"/>
        <v>416200</v>
      </c>
      <c r="J344" s="511">
        <f t="shared" si="154"/>
        <v>83800</v>
      </c>
      <c r="K344" s="78">
        <v>441000</v>
      </c>
      <c r="L344" s="79"/>
      <c r="M344" s="633">
        <v>800000</v>
      </c>
      <c r="N344" s="78"/>
      <c r="O344" s="505"/>
      <c r="P344" s="514"/>
      <c r="Q344" s="505">
        <f t="shared" si="149"/>
        <v>0</v>
      </c>
      <c r="R344" s="505"/>
      <c r="S344" s="505"/>
      <c r="T344" s="634">
        <f t="shared" si="144"/>
        <v>0</v>
      </c>
      <c r="U344" s="78">
        <v>600000</v>
      </c>
      <c r="V344" s="78"/>
      <c r="W344" s="78"/>
      <c r="X344" s="78"/>
      <c r="Y344" s="78"/>
      <c r="Z344" s="78"/>
      <c r="AA344" s="78"/>
      <c r="AB344" s="92"/>
      <c r="AC344" s="538"/>
      <c r="AD344" s="93"/>
      <c r="AE344" s="541"/>
      <c r="AF344" s="542"/>
      <c r="AG344" s="440"/>
      <c r="AH344" s="440"/>
    </row>
    <row r="345" spans="1:34" s="5" customFormat="1" x14ac:dyDescent="0.2">
      <c r="A345" s="33"/>
      <c r="B345" s="57"/>
      <c r="C345" s="58" t="s">
        <v>51</v>
      </c>
      <c r="D345" s="505">
        <v>441000</v>
      </c>
      <c r="E345" s="511">
        <v>600000</v>
      </c>
      <c r="F345" s="506"/>
      <c r="G345" s="506">
        <v>416200</v>
      </c>
      <c r="H345" s="511"/>
      <c r="I345" s="511">
        <f t="shared" si="148"/>
        <v>416200</v>
      </c>
      <c r="J345" s="511">
        <f t="shared" si="154"/>
        <v>183800</v>
      </c>
      <c r="K345" s="29">
        <v>441000</v>
      </c>
      <c r="L345" s="30"/>
      <c r="M345" s="611">
        <v>1520000</v>
      </c>
      <c r="N345" s="29"/>
      <c r="O345" s="634"/>
      <c r="P345" s="635"/>
      <c r="Q345" s="634">
        <f t="shared" si="149"/>
        <v>0</v>
      </c>
      <c r="R345" s="634"/>
      <c r="S345" s="634"/>
      <c r="T345" s="505">
        <f t="shared" si="144"/>
        <v>0</v>
      </c>
      <c r="U345" s="29">
        <v>1500000</v>
      </c>
      <c r="V345" s="29"/>
      <c r="W345" s="29"/>
      <c r="X345" s="29"/>
      <c r="Y345" s="29"/>
      <c r="Z345" s="29"/>
      <c r="AA345" s="29"/>
      <c r="AB345" s="31"/>
      <c r="AC345" s="465"/>
      <c r="AD345" s="32"/>
      <c r="AE345" s="507"/>
      <c r="AF345" s="508"/>
      <c r="AG345" s="440"/>
      <c r="AH345" s="440"/>
    </row>
    <row r="346" spans="1:34" s="5" customFormat="1" x14ac:dyDescent="0.2">
      <c r="A346" s="33"/>
      <c r="B346" s="57"/>
      <c r="C346" s="58" t="s">
        <v>42</v>
      </c>
      <c r="D346" s="505">
        <v>441000</v>
      </c>
      <c r="E346" s="511">
        <v>1500000</v>
      </c>
      <c r="F346" s="506"/>
      <c r="G346" s="506">
        <v>416200</v>
      </c>
      <c r="H346" s="511"/>
      <c r="I346" s="511">
        <f t="shared" si="148"/>
        <v>416200</v>
      </c>
      <c r="J346" s="511">
        <f t="shared" si="154"/>
        <v>1083800</v>
      </c>
      <c r="K346" s="29">
        <v>441000</v>
      </c>
      <c r="L346" s="30"/>
      <c r="M346" s="611">
        <v>450000</v>
      </c>
      <c r="N346" s="29"/>
      <c r="O346" s="505"/>
      <c r="P346" s="514"/>
      <c r="Q346" s="505">
        <f t="shared" si="149"/>
        <v>0</v>
      </c>
      <c r="R346" s="505"/>
      <c r="S346" s="505"/>
      <c r="T346" s="505">
        <f t="shared" si="144"/>
        <v>0</v>
      </c>
      <c r="U346" s="29">
        <v>450000</v>
      </c>
      <c r="V346" s="29"/>
      <c r="W346" s="29"/>
      <c r="X346" s="29"/>
      <c r="Y346" s="29"/>
      <c r="Z346" s="29"/>
      <c r="AA346" s="29"/>
      <c r="AB346" s="31"/>
      <c r="AC346" s="465"/>
      <c r="AD346" s="32"/>
      <c r="AE346" s="507"/>
      <c r="AF346" s="508"/>
      <c r="AG346" s="440"/>
      <c r="AH346" s="440"/>
    </row>
    <row r="347" spans="1:34" s="5" customFormat="1" x14ac:dyDescent="0.2">
      <c r="A347" s="33"/>
      <c r="B347" s="57"/>
      <c r="C347" s="58" t="s">
        <v>43</v>
      </c>
      <c r="D347" s="505">
        <v>441000</v>
      </c>
      <c r="E347" s="511">
        <v>500000</v>
      </c>
      <c r="F347" s="506"/>
      <c r="G347" s="506">
        <v>416200</v>
      </c>
      <c r="H347" s="511"/>
      <c r="I347" s="511">
        <f t="shared" si="148"/>
        <v>416200</v>
      </c>
      <c r="J347" s="511">
        <f t="shared" si="154"/>
        <v>83800</v>
      </c>
      <c r="K347" s="29">
        <v>441000</v>
      </c>
      <c r="L347" s="30"/>
      <c r="M347" s="611">
        <v>1000000</v>
      </c>
      <c r="N347" s="29"/>
      <c r="O347" s="505"/>
      <c r="P347" s="514"/>
      <c r="Q347" s="505">
        <f t="shared" si="149"/>
        <v>0</v>
      </c>
      <c r="R347" s="505"/>
      <c r="S347" s="505"/>
      <c r="T347" s="505">
        <f t="shared" si="144"/>
        <v>0</v>
      </c>
      <c r="U347" s="29">
        <v>1000000</v>
      </c>
      <c r="V347" s="29"/>
      <c r="W347" s="29"/>
      <c r="X347" s="29"/>
      <c r="Y347" s="29"/>
      <c r="Z347" s="29"/>
      <c r="AA347" s="29"/>
      <c r="AB347" s="31"/>
      <c r="AC347" s="465"/>
      <c r="AD347" s="32"/>
      <c r="AE347" s="507"/>
      <c r="AF347" s="508"/>
      <c r="AG347" s="440"/>
      <c r="AH347" s="440"/>
    </row>
    <row r="348" spans="1:34" s="5" customFormat="1" x14ac:dyDescent="0.2">
      <c r="A348" s="33"/>
      <c r="B348" s="57"/>
      <c r="C348" s="58" t="s">
        <v>50</v>
      </c>
      <c r="D348" s="505">
        <v>441000</v>
      </c>
      <c r="E348" s="511">
        <v>1000000</v>
      </c>
      <c r="F348" s="506"/>
      <c r="G348" s="506">
        <v>416200</v>
      </c>
      <c r="H348" s="511"/>
      <c r="I348" s="511">
        <f t="shared" si="148"/>
        <v>416200</v>
      </c>
      <c r="J348" s="511">
        <f t="shared" si="154"/>
        <v>583800</v>
      </c>
      <c r="K348" s="29">
        <v>441000</v>
      </c>
      <c r="L348" s="30"/>
      <c r="M348" s="611">
        <v>300000</v>
      </c>
      <c r="N348" s="29"/>
      <c r="O348" s="505"/>
      <c r="P348" s="514"/>
      <c r="Q348" s="505">
        <f t="shared" si="149"/>
        <v>0</v>
      </c>
      <c r="R348" s="505"/>
      <c r="S348" s="505"/>
      <c r="T348" s="505">
        <f t="shared" si="144"/>
        <v>0</v>
      </c>
      <c r="U348" s="29">
        <v>360000</v>
      </c>
      <c r="V348" s="29"/>
      <c r="W348" s="29"/>
      <c r="X348" s="29"/>
      <c r="Y348" s="29"/>
      <c r="Z348" s="29"/>
      <c r="AA348" s="29"/>
      <c r="AB348" s="31"/>
      <c r="AC348" s="465"/>
      <c r="AD348" s="32"/>
      <c r="AE348" s="507"/>
      <c r="AF348" s="508"/>
      <c r="AG348" s="440"/>
      <c r="AH348" s="440"/>
    </row>
    <row r="349" spans="1:34" s="5" customFormat="1" x14ac:dyDescent="0.2">
      <c r="A349" s="33"/>
      <c r="B349" s="57"/>
      <c r="C349" s="58" t="s">
        <v>62</v>
      </c>
      <c r="D349" s="505">
        <v>441000</v>
      </c>
      <c r="E349" s="511">
        <v>432000</v>
      </c>
      <c r="F349" s="506"/>
      <c r="G349" s="506">
        <v>416200</v>
      </c>
      <c r="H349" s="511"/>
      <c r="I349" s="511">
        <f t="shared" si="148"/>
        <v>416200</v>
      </c>
      <c r="J349" s="511">
        <f t="shared" si="154"/>
        <v>15800</v>
      </c>
      <c r="K349" s="29">
        <v>5001100</v>
      </c>
      <c r="L349" s="30"/>
      <c r="M349" s="611">
        <v>7094000</v>
      </c>
      <c r="N349" s="29"/>
      <c r="O349" s="505"/>
      <c r="P349" s="514"/>
      <c r="Q349" s="505">
        <f t="shared" si="149"/>
        <v>0</v>
      </c>
      <c r="R349" s="505"/>
      <c r="S349" s="505"/>
      <c r="T349" s="505">
        <f t="shared" si="144"/>
        <v>0</v>
      </c>
      <c r="U349" s="29">
        <v>5060000</v>
      </c>
      <c r="V349" s="29"/>
      <c r="W349" s="29"/>
      <c r="X349" s="29"/>
      <c r="Y349" s="29"/>
      <c r="Z349" s="29"/>
      <c r="AA349" s="29"/>
      <c r="AB349" s="31"/>
      <c r="AC349" s="465"/>
      <c r="AD349" s="32"/>
      <c r="AE349" s="507"/>
      <c r="AF349" s="508"/>
      <c r="AG349" s="440"/>
      <c r="AH349" s="440"/>
    </row>
    <row r="350" spans="1:34" s="5" customFormat="1" x14ac:dyDescent="0.2">
      <c r="A350" s="33"/>
      <c r="B350" s="57"/>
      <c r="C350" s="58" t="s">
        <v>81</v>
      </c>
      <c r="D350" s="505">
        <v>5001100</v>
      </c>
      <c r="E350" s="511">
        <v>7088200</v>
      </c>
      <c r="F350" s="506"/>
      <c r="G350" s="506">
        <v>4719800</v>
      </c>
      <c r="H350" s="511"/>
      <c r="I350" s="511">
        <f t="shared" si="148"/>
        <v>4719800</v>
      </c>
      <c r="J350" s="511">
        <f t="shared" si="154"/>
        <v>2368400</v>
      </c>
      <c r="K350" s="52" t="e">
        <f>SUM(K351:K477)</f>
        <v>#REF!</v>
      </c>
      <c r="L350" s="53">
        <v>20717955</v>
      </c>
      <c r="M350" s="613" t="e">
        <f>SUM(M351:M477)</f>
        <v>#REF!</v>
      </c>
      <c r="N350" s="52">
        <v>20838500</v>
      </c>
      <c r="O350" s="505"/>
      <c r="P350" s="514"/>
      <c r="Q350" s="505">
        <f t="shared" si="149"/>
        <v>0</v>
      </c>
      <c r="R350" s="505"/>
      <c r="S350" s="505"/>
      <c r="T350" s="529">
        <f t="shared" si="144"/>
        <v>2085658.37</v>
      </c>
      <c r="U350" s="52">
        <f>SUM(U351:U477)</f>
        <v>222939112500</v>
      </c>
      <c r="V350" s="52">
        <v>28035600</v>
      </c>
      <c r="W350" s="52">
        <v>29437400</v>
      </c>
      <c r="X350" s="52">
        <v>30909300</v>
      </c>
      <c r="Y350" s="52">
        <f>SUM(X350*5)</f>
        <v>154546500</v>
      </c>
      <c r="Z350" s="52">
        <f>SUM(X350*5)</f>
        <v>154546500</v>
      </c>
      <c r="AA350" s="52">
        <f>SUM(X350*3)</f>
        <v>92727900</v>
      </c>
      <c r="AB350" s="54">
        <v>20838500</v>
      </c>
      <c r="AC350" s="494">
        <v>0</v>
      </c>
      <c r="AD350" s="55">
        <v>20838500</v>
      </c>
      <c r="AE350" s="499">
        <v>20838500</v>
      </c>
      <c r="AF350" s="602"/>
      <c r="AG350" s="440"/>
      <c r="AH350" s="440"/>
    </row>
    <row r="351" spans="1:34" s="5" customFormat="1" x14ac:dyDescent="0.2">
      <c r="A351" s="33"/>
      <c r="B351" s="72" t="s">
        <v>99</v>
      </c>
      <c r="C351" s="125"/>
      <c r="D351" s="529">
        <f>SUM(D352:D364)</f>
        <v>3838500</v>
      </c>
      <c r="E351" s="531">
        <f>SUM(E352:E364)</f>
        <v>5055200</v>
      </c>
      <c r="F351" s="532">
        <v>3432200</v>
      </c>
      <c r="G351" s="532">
        <f>SUM(G352:G364)</f>
        <v>3432200</v>
      </c>
      <c r="H351" s="531">
        <f t="shared" ref="H351" si="155">SUM(H352:H364)</f>
        <v>0</v>
      </c>
      <c r="I351" s="531">
        <f t="shared" si="148"/>
        <v>3432200</v>
      </c>
      <c r="J351" s="531">
        <f t="shared" si="154"/>
        <v>1623000</v>
      </c>
      <c r="K351" s="29">
        <v>180000</v>
      </c>
      <c r="L351" s="30"/>
      <c r="M351" s="611">
        <v>150000</v>
      </c>
      <c r="N351" s="29"/>
      <c r="O351" s="529">
        <f>20838500-17000000</f>
        <v>3838500</v>
      </c>
      <c r="P351" s="530"/>
      <c r="Q351" s="529">
        <f t="shared" si="149"/>
        <v>3838500</v>
      </c>
      <c r="R351" s="529">
        <f>12000+1740841.63</f>
        <v>1752841.63</v>
      </c>
      <c r="S351" s="529"/>
      <c r="T351" s="505">
        <f t="shared" si="144"/>
        <v>0</v>
      </c>
      <c r="U351" s="29">
        <v>246000</v>
      </c>
      <c r="V351" s="29"/>
      <c r="W351" s="29"/>
      <c r="X351" s="29"/>
      <c r="Y351" s="29"/>
      <c r="Z351" s="29"/>
      <c r="AA351" s="29"/>
      <c r="AB351" s="31"/>
      <c r="AC351" s="465"/>
      <c r="AD351" s="32"/>
      <c r="AE351" s="507"/>
      <c r="AF351" s="508"/>
      <c r="AG351" s="532">
        <v>3432200</v>
      </c>
      <c r="AH351" s="440"/>
    </row>
    <row r="352" spans="1:34" s="5" customFormat="1" x14ac:dyDescent="0.2">
      <c r="A352" s="33"/>
      <c r="B352" s="57"/>
      <c r="C352" s="58" t="s">
        <v>52</v>
      </c>
      <c r="D352" s="505">
        <v>180000</v>
      </c>
      <c r="E352" s="511">
        <v>180000</v>
      </c>
      <c r="F352" s="506"/>
      <c r="G352" s="506">
        <v>95000</v>
      </c>
      <c r="H352" s="511"/>
      <c r="I352" s="511">
        <f t="shared" si="148"/>
        <v>95000</v>
      </c>
      <c r="J352" s="511">
        <f t="shared" si="154"/>
        <v>85000</v>
      </c>
      <c r="K352" s="29">
        <v>200000</v>
      </c>
      <c r="L352" s="30"/>
      <c r="M352" s="611">
        <v>250000</v>
      </c>
      <c r="N352" s="29"/>
      <c r="O352" s="505"/>
      <c r="P352" s="514"/>
      <c r="Q352" s="505">
        <f t="shared" si="149"/>
        <v>0</v>
      </c>
      <c r="R352" s="505"/>
      <c r="S352" s="505"/>
      <c r="T352" s="505">
        <f t="shared" si="144"/>
        <v>0</v>
      </c>
      <c r="U352" s="29">
        <v>250000</v>
      </c>
      <c r="V352" s="29"/>
      <c r="W352" s="29"/>
      <c r="X352" s="29"/>
      <c r="Y352" s="29"/>
      <c r="Z352" s="29"/>
      <c r="AA352" s="29"/>
      <c r="AB352" s="31"/>
      <c r="AC352" s="465"/>
      <c r="AD352" s="32"/>
      <c r="AE352" s="507"/>
      <c r="AF352" s="508"/>
      <c r="AG352" s="440">
        <f>+AG351-G351</f>
        <v>0</v>
      </c>
      <c r="AH352" s="440"/>
    </row>
    <row r="353" spans="1:34" s="5" customFormat="1" x14ac:dyDescent="0.2">
      <c r="A353" s="33"/>
      <c r="B353" s="57"/>
      <c r="C353" s="58" t="s">
        <v>49</v>
      </c>
      <c r="D353" s="505">
        <v>200000</v>
      </c>
      <c r="E353" s="511">
        <v>250000</v>
      </c>
      <c r="F353" s="506"/>
      <c r="G353" s="506">
        <v>95000</v>
      </c>
      <c r="H353" s="511"/>
      <c r="I353" s="511">
        <f t="shared" si="148"/>
        <v>95000</v>
      </c>
      <c r="J353" s="511">
        <f t="shared" si="154"/>
        <v>155000</v>
      </c>
      <c r="K353" s="29">
        <v>110000</v>
      </c>
      <c r="L353" s="30"/>
      <c r="M353" s="611">
        <v>180000</v>
      </c>
      <c r="N353" s="29"/>
      <c r="O353" s="505"/>
      <c r="P353" s="514"/>
      <c r="Q353" s="505">
        <f t="shared" si="149"/>
        <v>0</v>
      </c>
      <c r="R353" s="505"/>
      <c r="S353" s="505"/>
      <c r="T353" s="505">
        <f t="shared" si="144"/>
        <v>0</v>
      </c>
      <c r="U353" s="29">
        <v>120000</v>
      </c>
      <c r="V353" s="29"/>
      <c r="W353" s="29"/>
      <c r="X353" s="29"/>
      <c r="Y353" s="29"/>
      <c r="Z353" s="29"/>
      <c r="AA353" s="29"/>
      <c r="AB353" s="31"/>
      <c r="AC353" s="465"/>
      <c r="AD353" s="32"/>
      <c r="AE353" s="507"/>
      <c r="AF353" s="508"/>
      <c r="AG353" s="440"/>
      <c r="AH353" s="440"/>
    </row>
    <row r="354" spans="1:34" s="5" customFormat="1" x14ac:dyDescent="0.2">
      <c r="A354" s="33"/>
      <c r="B354" s="57"/>
      <c r="C354" s="58" t="s">
        <v>54</v>
      </c>
      <c r="D354" s="505">
        <v>110000</v>
      </c>
      <c r="E354" s="511">
        <v>120000</v>
      </c>
      <c r="F354" s="506"/>
      <c r="G354" s="506">
        <v>95000</v>
      </c>
      <c r="H354" s="511"/>
      <c r="I354" s="511">
        <f t="shared" si="148"/>
        <v>95000</v>
      </c>
      <c r="J354" s="511">
        <f t="shared" si="154"/>
        <v>25000</v>
      </c>
      <c r="K354" s="29">
        <v>70000</v>
      </c>
      <c r="L354" s="30"/>
      <c r="M354" s="611">
        <v>75000</v>
      </c>
      <c r="N354" s="29"/>
      <c r="O354" s="505"/>
      <c r="P354" s="514"/>
      <c r="Q354" s="505">
        <f t="shared" si="149"/>
        <v>0</v>
      </c>
      <c r="R354" s="505"/>
      <c r="S354" s="505"/>
      <c r="T354" s="505">
        <f t="shared" si="144"/>
        <v>0</v>
      </c>
      <c r="U354" s="29">
        <v>80500</v>
      </c>
      <c r="V354" s="29"/>
      <c r="W354" s="29"/>
      <c r="X354" s="29"/>
      <c r="Y354" s="29"/>
      <c r="Z354" s="29"/>
      <c r="AA354" s="29"/>
      <c r="AB354" s="31"/>
      <c r="AC354" s="465"/>
      <c r="AD354" s="32"/>
      <c r="AE354" s="507"/>
      <c r="AF354" s="508"/>
      <c r="AG354" s="440"/>
      <c r="AH354" s="440"/>
    </row>
    <row r="355" spans="1:34" s="5" customFormat="1" x14ac:dyDescent="0.2">
      <c r="A355" s="33"/>
      <c r="B355" s="57"/>
      <c r="C355" s="58" t="s">
        <v>53</v>
      </c>
      <c r="D355" s="505">
        <v>70000</v>
      </c>
      <c r="E355" s="511">
        <v>84000</v>
      </c>
      <c r="F355" s="506"/>
      <c r="G355" s="506">
        <v>95000</v>
      </c>
      <c r="H355" s="511"/>
      <c r="I355" s="511">
        <f t="shared" si="148"/>
        <v>95000</v>
      </c>
      <c r="J355" s="511">
        <f t="shared" si="154"/>
        <v>-11000</v>
      </c>
      <c r="K355" s="29">
        <v>242500</v>
      </c>
      <c r="L355" s="30"/>
      <c r="M355" s="611">
        <v>250000</v>
      </c>
      <c r="N355" s="29"/>
      <c r="O355" s="505"/>
      <c r="P355" s="514"/>
      <c r="Q355" s="505">
        <f t="shared" si="149"/>
        <v>0</v>
      </c>
      <c r="R355" s="505"/>
      <c r="S355" s="505"/>
      <c r="T355" s="505">
        <f t="shared" si="144"/>
        <v>0</v>
      </c>
      <c r="U355" s="29">
        <v>250000</v>
      </c>
      <c r="V355" s="29"/>
      <c r="W355" s="29"/>
      <c r="X355" s="29"/>
      <c r="Y355" s="29"/>
      <c r="Z355" s="29"/>
      <c r="AA355" s="29"/>
      <c r="AB355" s="31"/>
      <c r="AC355" s="465"/>
      <c r="AD355" s="32"/>
      <c r="AE355" s="507"/>
      <c r="AF355" s="508"/>
      <c r="AG355" s="440"/>
      <c r="AH355" s="440"/>
    </row>
    <row r="356" spans="1:34" s="5" customFormat="1" x14ac:dyDescent="0.2">
      <c r="A356" s="33"/>
      <c r="B356" s="57"/>
      <c r="C356" s="58" t="s">
        <v>80</v>
      </c>
      <c r="D356" s="505">
        <v>242500</v>
      </c>
      <c r="E356" s="511">
        <v>250000</v>
      </c>
      <c r="F356" s="506"/>
      <c r="G356" s="506">
        <v>95000</v>
      </c>
      <c r="H356" s="511"/>
      <c r="I356" s="511">
        <f t="shared" si="148"/>
        <v>95000</v>
      </c>
      <c r="J356" s="511">
        <f t="shared" si="154"/>
        <v>155000</v>
      </c>
      <c r="K356" s="29">
        <v>54100</v>
      </c>
      <c r="L356" s="30"/>
      <c r="M356" s="611">
        <v>70000</v>
      </c>
      <c r="N356" s="29"/>
      <c r="O356" s="505"/>
      <c r="P356" s="514"/>
      <c r="Q356" s="505">
        <f t="shared" si="149"/>
        <v>0</v>
      </c>
      <c r="R356" s="505"/>
      <c r="S356" s="505"/>
      <c r="T356" s="505">
        <f t="shared" si="144"/>
        <v>0</v>
      </c>
      <c r="U356" s="29">
        <v>70000</v>
      </c>
      <c r="V356" s="29"/>
      <c r="W356" s="29"/>
      <c r="X356" s="29"/>
      <c r="Y356" s="29"/>
      <c r="Z356" s="29"/>
      <c r="AA356" s="29"/>
      <c r="AB356" s="31"/>
      <c r="AC356" s="465"/>
      <c r="AD356" s="32"/>
      <c r="AE356" s="507"/>
      <c r="AF356" s="508"/>
      <c r="AG356" s="440"/>
      <c r="AH356" s="440"/>
    </row>
    <row r="357" spans="1:34" s="5" customFormat="1" x14ac:dyDescent="0.2">
      <c r="A357" s="33"/>
      <c r="B357" s="57"/>
      <c r="C357" s="58" t="s">
        <v>63</v>
      </c>
      <c r="D357" s="505">
        <v>54100</v>
      </c>
      <c r="E357" s="511">
        <v>60000</v>
      </c>
      <c r="F357" s="506"/>
      <c r="G357" s="506">
        <v>95000</v>
      </c>
      <c r="H357" s="511"/>
      <c r="I357" s="511">
        <f t="shared" si="148"/>
        <v>95000</v>
      </c>
      <c r="J357" s="511">
        <f t="shared" si="154"/>
        <v>-35000</v>
      </c>
      <c r="K357" s="29">
        <v>104100</v>
      </c>
      <c r="L357" s="30"/>
      <c r="M357" s="611">
        <v>150000</v>
      </c>
      <c r="N357" s="29"/>
      <c r="O357" s="505"/>
      <c r="P357" s="514"/>
      <c r="Q357" s="505">
        <f t="shared" si="149"/>
        <v>0</v>
      </c>
      <c r="R357" s="505"/>
      <c r="S357" s="505"/>
      <c r="T357" s="505">
        <f t="shared" si="144"/>
        <v>0</v>
      </c>
      <c r="U357" s="29">
        <v>150000</v>
      </c>
      <c r="V357" s="29"/>
      <c r="W357" s="29"/>
      <c r="X357" s="29"/>
      <c r="Y357" s="29"/>
      <c r="Z357" s="29"/>
      <c r="AA357" s="29"/>
      <c r="AB357" s="31"/>
      <c r="AC357" s="465"/>
      <c r="AD357" s="32"/>
      <c r="AE357" s="507"/>
      <c r="AF357" s="508"/>
      <c r="AG357" s="440"/>
      <c r="AH357" s="440"/>
    </row>
    <row r="358" spans="1:34" s="5" customFormat="1" x14ac:dyDescent="0.2">
      <c r="A358" s="33"/>
      <c r="B358" s="57"/>
      <c r="C358" s="58" t="s">
        <v>61</v>
      </c>
      <c r="D358" s="505">
        <v>104100</v>
      </c>
      <c r="E358" s="511">
        <v>130000</v>
      </c>
      <c r="F358" s="506"/>
      <c r="G358" s="506">
        <v>95000</v>
      </c>
      <c r="H358" s="511"/>
      <c r="I358" s="511">
        <f t="shared" si="148"/>
        <v>95000</v>
      </c>
      <c r="J358" s="511">
        <f t="shared" si="154"/>
        <v>35000</v>
      </c>
      <c r="K358" s="29">
        <v>54200</v>
      </c>
      <c r="L358" s="30"/>
      <c r="M358" s="611">
        <v>60000</v>
      </c>
      <c r="N358" s="29"/>
      <c r="O358" s="505"/>
      <c r="P358" s="514"/>
      <c r="Q358" s="505">
        <f t="shared" si="149"/>
        <v>0</v>
      </c>
      <c r="R358" s="505"/>
      <c r="S358" s="505"/>
      <c r="T358" s="505">
        <f t="shared" si="144"/>
        <v>0</v>
      </c>
      <c r="U358" s="29">
        <v>120000</v>
      </c>
      <c r="V358" s="29"/>
      <c r="W358" s="29"/>
      <c r="X358" s="29"/>
      <c r="Y358" s="29"/>
      <c r="Z358" s="29"/>
      <c r="AA358" s="29"/>
      <c r="AB358" s="31"/>
      <c r="AC358" s="465"/>
      <c r="AD358" s="32"/>
      <c r="AE358" s="507"/>
      <c r="AF358" s="508"/>
      <c r="AG358" s="440"/>
      <c r="AH358" s="440"/>
    </row>
    <row r="359" spans="1:34" s="5" customFormat="1" x14ac:dyDescent="0.2">
      <c r="A359" s="33"/>
      <c r="B359" s="57"/>
      <c r="C359" s="58" t="s">
        <v>51</v>
      </c>
      <c r="D359" s="505">
        <v>54200</v>
      </c>
      <c r="E359" s="511">
        <v>120000</v>
      </c>
      <c r="F359" s="506"/>
      <c r="G359" s="506">
        <v>95000</v>
      </c>
      <c r="H359" s="511"/>
      <c r="I359" s="511">
        <f t="shared" si="148"/>
        <v>95000</v>
      </c>
      <c r="J359" s="511">
        <f t="shared" si="154"/>
        <v>25000</v>
      </c>
      <c r="K359" s="29">
        <v>277100</v>
      </c>
      <c r="L359" s="30"/>
      <c r="M359" s="611">
        <v>450000</v>
      </c>
      <c r="N359" s="29"/>
      <c r="O359" s="505"/>
      <c r="P359" s="514"/>
      <c r="Q359" s="505">
        <f t="shared" si="149"/>
        <v>0</v>
      </c>
      <c r="R359" s="505"/>
      <c r="S359" s="505"/>
      <c r="T359" s="505">
        <f t="shared" si="144"/>
        <v>0</v>
      </c>
      <c r="U359" s="29">
        <v>500000</v>
      </c>
      <c r="V359" s="29"/>
      <c r="W359" s="29"/>
      <c r="X359" s="29"/>
      <c r="Y359" s="29"/>
      <c r="Z359" s="29"/>
      <c r="AA359" s="29"/>
      <c r="AB359" s="31"/>
      <c r="AC359" s="465"/>
      <c r="AD359" s="32"/>
      <c r="AE359" s="507"/>
      <c r="AF359" s="508"/>
      <c r="AG359" s="440"/>
      <c r="AH359" s="440"/>
    </row>
    <row r="360" spans="1:34" s="5" customFormat="1" x14ac:dyDescent="0.2">
      <c r="A360" s="33"/>
      <c r="B360" s="57"/>
      <c r="C360" s="58" t="s">
        <v>42</v>
      </c>
      <c r="D360" s="505">
        <v>277100</v>
      </c>
      <c r="E360" s="511">
        <v>500000</v>
      </c>
      <c r="F360" s="506"/>
      <c r="G360" s="506">
        <v>95000</v>
      </c>
      <c r="H360" s="511"/>
      <c r="I360" s="511">
        <f t="shared" si="148"/>
        <v>95000</v>
      </c>
      <c r="J360" s="511">
        <f t="shared" si="154"/>
        <v>405000</v>
      </c>
      <c r="K360" s="29">
        <v>101300</v>
      </c>
      <c r="L360" s="30"/>
      <c r="M360" s="611">
        <v>100000</v>
      </c>
      <c r="N360" s="29"/>
      <c r="O360" s="505"/>
      <c r="P360" s="514"/>
      <c r="Q360" s="505">
        <f t="shared" si="149"/>
        <v>0</v>
      </c>
      <c r="R360" s="505"/>
      <c r="S360" s="505"/>
      <c r="T360" s="505">
        <f t="shared" si="144"/>
        <v>0</v>
      </c>
      <c r="U360" s="29">
        <v>120000</v>
      </c>
      <c r="V360" s="29"/>
      <c r="W360" s="29"/>
      <c r="X360" s="29"/>
      <c r="Y360" s="29"/>
      <c r="Z360" s="29"/>
      <c r="AA360" s="29"/>
      <c r="AB360" s="31"/>
      <c r="AC360" s="465"/>
      <c r="AD360" s="32"/>
      <c r="AE360" s="507"/>
      <c r="AF360" s="508"/>
      <c r="AG360" s="440"/>
      <c r="AH360" s="440"/>
    </row>
    <row r="361" spans="1:34" s="5" customFormat="1" x14ac:dyDescent="0.2">
      <c r="A361" s="33"/>
      <c r="B361" s="57"/>
      <c r="C361" s="58" t="s">
        <v>43</v>
      </c>
      <c r="D361" s="505">
        <v>101300</v>
      </c>
      <c r="E361" s="511">
        <v>150000</v>
      </c>
      <c r="F361" s="506"/>
      <c r="G361" s="506">
        <v>95000</v>
      </c>
      <c r="H361" s="511"/>
      <c r="I361" s="511">
        <f t="shared" si="148"/>
        <v>95000</v>
      </c>
      <c r="J361" s="511">
        <f t="shared" si="154"/>
        <v>55000</v>
      </c>
      <c r="K361" s="29">
        <v>57000</v>
      </c>
      <c r="L361" s="30"/>
      <c r="M361" s="611">
        <v>150000</v>
      </c>
      <c r="N361" s="29"/>
      <c r="O361" s="505"/>
      <c r="P361" s="514"/>
      <c r="Q361" s="505">
        <f t="shared" si="149"/>
        <v>0</v>
      </c>
      <c r="R361" s="505"/>
      <c r="S361" s="505"/>
      <c r="T361" s="505">
        <f t="shared" si="144"/>
        <v>0</v>
      </c>
      <c r="U361" s="29">
        <v>150000</v>
      </c>
      <c r="V361" s="29"/>
      <c r="W361" s="29"/>
      <c r="X361" s="29"/>
      <c r="Y361" s="29"/>
      <c r="Z361" s="29"/>
      <c r="AA361" s="29"/>
      <c r="AB361" s="31"/>
      <c r="AC361" s="465"/>
      <c r="AD361" s="32"/>
      <c r="AE361" s="507"/>
      <c r="AF361" s="508"/>
      <c r="AG361" s="440"/>
      <c r="AH361" s="440"/>
    </row>
    <row r="362" spans="1:34" s="5" customFormat="1" x14ac:dyDescent="0.2">
      <c r="A362" s="33"/>
      <c r="B362" s="57"/>
      <c r="C362" s="58" t="s">
        <v>50</v>
      </c>
      <c r="D362" s="505">
        <v>57000</v>
      </c>
      <c r="E362" s="511">
        <v>150000</v>
      </c>
      <c r="F362" s="506"/>
      <c r="G362" s="506">
        <v>95000</v>
      </c>
      <c r="H362" s="511"/>
      <c r="I362" s="511">
        <f t="shared" si="148"/>
        <v>95000</v>
      </c>
      <c r="J362" s="511">
        <f t="shared" si="154"/>
        <v>55000</v>
      </c>
      <c r="K362" s="29">
        <v>50000</v>
      </c>
      <c r="L362" s="30"/>
      <c r="M362" s="611">
        <v>120000</v>
      </c>
      <c r="N362" s="29"/>
      <c r="O362" s="505"/>
      <c r="P362" s="514"/>
      <c r="Q362" s="505">
        <f t="shared" si="149"/>
        <v>0</v>
      </c>
      <c r="R362" s="505"/>
      <c r="S362" s="505"/>
      <c r="T362" s="505">
        <f t="shared" ref="T362:T378" si="156">Q363-R363-S363</f>
        <v>0</v>
      </c>
      <c r="U362" s="29">
        <v>144000</v>
      </c>
      <c r="V362" s="29"/>
      <c r="W362" s="29"/>
      <c r="X362" s="29"/>
      <c r="Y362" s="29"/>
      <c r="Z362" s="29"/>
      <c r="AA362" s="29"/>
      <c r="AB362" s="31"/>
      <c r="AC362" s="465"/>
      <c r="AD362" s="32"/>
      <c r="AE362" s="507"/>
      <c r="AF362" s="508"/>
      <c r="AG362" s="440"/>
      <c r="AH362" s="440"/>
    </row>
    <row r="363" spans="1:34" s="5" customFormat="1" x14ac:dyDescent="0.2">
      <c r="A363" s="33"/>
      <c r="B363" s="57"/>
      <c r="C363" s="58" t="s">
        <v>62</v>
      </c>
      <c r="D363" s="505">
        <v>50000</v>
      </c>
      <c r="E363" s="511">
        <v>173000</v>
      </c>
      <c r="F363" s="506"/>
      <c r="G363" s="506">
        <v>95000</v>
      </c>
      <c r="H363" s="511"/>
      <c r="I363" s="511">
        <f t="shared" si="148"/>
        <v>95000</v>
      </c>
      <c r="J363" s="511">
        <f t="shared" si="154"/>
        <v>78000</v>
      </c>
      <c r="K363" s="29">
        <v>2338200</v>
      </c>
      <c r="L363" s="30"/>
      <c r="M363" s="611">
        <v>3272200</v>
      </c>
      <c r="N363" s="29"/>
      <c r="O363" s="505"/>
      <c r="P363" s="514"/>
      <c r="Q363" s="505">
        <f t="shared" si="149"/>
        <v>0</v>
      </c>
      <c r="R363" s="505"/>
      <c r="S363" s="505"/>
      <c r="T363" s="505">
        <f t="shared" si="156"/>
        <v>0</v>
      </c>
      <c r="U363" s="29">
        <v>2500000</v>
      </c>
      <c r="V363" s="29"/>
      <c r="W363" s="29"/>
      <c r="X363" s="29"/>
      <c r="Y363" s="29"/>
      <c r="Z363" s="29"/>
      <c r="AA363" s="29"/>
      <c r="AB363" s="31"/>
      <c r="AC363" s="465"/>
      <c r="AD363" s="32"/>
      <c r="AE363" s="507"/>
      <c r="AF363" s="508"/>
      <c r="AG363" s="440"/>
      <c r="AH363" s="440"/>
    </row>
    <row r="364" spans="1:34" s="5" customFormat="1" x14ac:dyDescent="0.2">
      <c r="A364" s="101"/>
      <c r="B364" s="117"/>
      <c r="C364" s="118" t="s">
        <v>81</v>
      </c>
      <c r="D364" s="615">
        <v>2338200</v>
      </c>
      <c r="E364" s="623">
        <v>2888200</v>
      </c>
      <c r="F364" s="624"/>
      <c r="G364" s="624">
        <v>2292200</v>
      </c>
      <c r="H364" s="623"/>
      <c r="I364" s="623">
        <f t="shared" si="148"/>
        <v>2292200</v>
      </c>
      <c r="J364" s="623">
        <f t="shared" si="154"/>
        <v>596000</v>
      </c>
      <c r="K364" s="52" t="e">
        <f>SUM(K365:K478)</f>
        <v>#REF!</v>
      </c>
      <c r="L364" s="53">
        <v>25541736.289999999</v>
      </c>
      <c r="M364" s="613" t="e">
        <f>SUM(M365:M478)</f>
        <v>#REF!</v>
      </c>
      <c r="N364" s="52">
        <v>25366000</v>
      </c>
      <c r="O364" s="505"/>
      <c r="P364" s="514"/>
      <c r="Q364" s="505">
        <f t="shared" si="149"/>
        <v>0</v>
      </c>
      <c r="R364" s="505"/>
      <c r="S364" s="505"/>
      <c r="T364" s="529">
        <f t="shared" si="156"/>
        <v>214159.04000000004</v>
      </c>
      <c r="U364" s="52">
        <f>SUM(U365:U478)</f>
        <v>111482206000</v>
      </c>
      <c r="V364" s="52">
        <f>SUM(U364*105/100)</f>
        <v>117056316300</v>
      </c>
      <c r="W364" s="52">
        <v>34753000</v>
      </c>
      <c r="X364" s="52">
        <v>36490700</v>
      </c>
      <c r="Y364" s="52">
        <f>SUM(X364*5)</f>
        <v>182453500</v>
      </c>
      <c r="Z364" s="52">
        <f>SUM(X364*5)</f>
        <v>182453500</v>
      </c>
      <c r="AA364" s="52">
        <f>SUM(X364*3)</f>
        <v>109472100</v>
      </c>
      <c r="AB364" s="54">
        <v>25541700</v>
      </c>
      <c r="AC364" s="494">
        <v>0</v>
      </c>
      <c r="AD364" s="55">
        <v>25541700</v>
      </c>
      <c r="AE364" s="499">
        <v>25541700</v>
      </c>
      <c r="AF364" s="602"/>
      <c r="AG364" s="440"/>
      <c r="AH364" s="440"/>
    </row>
    <row r="365" spans="1:34" s="5" customFormat="1" x14ac:dyDescent="0.2">
      <c r="A365" s="276"/>
      <c r="B365" s="291" t="s">
        <v>100</v>
      </c>
      <c r="C365" s="292"/>
      <c r="D365" s="625">
        <f>SUM(D366:D378)</f>
        <v>1210000</v>
      </c>
      <c r="E365" s="626">
        <f>SUM(E366:E378)</f>
        <v>2170300</v>
      </c>
      <c r="F365" s="627">
        <v>1689200</v>
      </c>
      <c r="G365" s="627">
        <f>SUM(G366:G378)</f>
        <v>1689200</v>
      </c>
      <c r="H365" s="626">
        <f t="shared" ref="H365" si="157">SUM(H366:H378)</f>
        <v>0</v>
      </c>
      <c r="I365" s="626">
        <f t="shared" si="148"/>
        <v>1689200</v>
      </c>
      <c r="J365" s="626">
        <f t="shared" si="154"/>
        <v>481100</v>
      </c>
      <c r="K365" s="29">
        <v>60000</v>
      </c>
      <c r="L365" s="30"/>
      <c r="M365" s="611">
        <v>100000</v>
      </c>
      <c r="N365" s="29"/>
      <c r="O365" s="529">
        <f>25366000-24156000</f>
        <v>1210000</v>
      </c>
      <c r="P365" s="530"/>
      <c r="Q365" s="529">
        <f t="shared" si="149"/>
        <v>1210000</v>
      </c>
      <c r="R365" s="529">
        <f>8300+987540.96</f>
        <v>995840.96</v>
      </c>
      <c r="S365" s="529"/>
      <c r="T365" s="505">
        <f t="shared" si="156"/>
        <v>0</v>
      </c>
      <c r="U365" s="29">
        <v>100000</v>
      </c>
      <c r="V365" s="29"/>
      <c r="W365" s="29"/>
      <c r="X365" s="29"/>
      <c r="Y365" s="29"/>
      <c r="Z365" s="29"/>
      <c r="AA365" s="29"/>
      <c r="AB365" s="31"/>
      <c r="AC365" s="465"/>
      <c r="AD365" s="32"/>
      <c r="AE365" s="507"/>
      <c r="AF365" s="508"/>
      <c r="AG365" s="627">
        <v>1689200</v>
      </c>
      <c r="AH365" s="440"/>
    </row>
    <row r="366" spans="1:34" s="5" customFormat="1" x14ac:dyDescent="0.2">
      <c r="A366" s="33"/>
      <c r="B366" s="57"/>
      <c r="C366" s="58" t="s">
        <v>52</v>
      </c>
      <c r="D366" s="505">
        <v>60000</v>
      </c>
      <c r="E366" s="511">
        <v>100000</v>
      </c>
      <c r="F366" s="506"/>
      <c r="G366" s="506">
        <v>90700</v>
      </c>
      <c r="H366" s="511"/>
      <c r="I366" s="511">
        <f t="shared" si="148"/>
        <v>90700</v>
      </c>
      <c r="J366" s="511">
        <f t="shared" si="154"/>
        <v>9300</v>
      </c>
      <c r="K366" s="29">
        <v>50000</v>
      </c>
      <c r="L366" s="30"/>
      <c r="M366" s="611">
        <v>70000</v>
      </c>
      <c r="N366" s="29"/>
      <c r="O366" s="505"/>
      <c r="P366" s="514"/>
      <c r="Q366" s="505">
        <f t="shared" si="149"/>
        <v>0</v>
      </c>
      <c r="R366" s="505"/>
      <c r="S366" s="505"/>
      <c r="T366" s="505">
        <f t="shared" si="156"/>
        <v>0</v>
      </c>
      <c r="U366" s="29">
        <v>60000</v>
      </c>
      <c r="V366" s="29"/>
      <c r="W366" s="29"/>
      <c r="X366" s="29"/>
      <c r="Y366" s="29"/>
      <c r="Z366" s="29"/>
      <c r="AA366" s="29"/>
      <c r="AB366" s="31"/>
      <c r="AC366" s="465"/>
      <c r="AD366" s="32"/>
      <c r="AE366" s="507"/>
      <c r="AF366" s="508"/>
      <c r="AG366" s="440">
        <f>+AG365-G365</f>
        <v>0</v>
      </c>
      <c r="AH366" s="440"/>
    </row>
    <row r="367" spans="1:34" s="5" customFormat="1" x14ac:dyDescent="0.2">
      <c r="A367" s="33"/>
      <c r="B367" s="57"/>
      <c r="C367" s="58" t="s">
        <v>49</v>
      </c>
      <c r="D367" s="505">
        <v>50000</v>
      </c>
      <c r="E367" s="511">
        <v>60000</v>
      </c>
      <c r="F367" s="506"/>
      <c r="G367" s="506">
        <v>90700</v>
      </c>
      <c r="H367" s="511"/>
      <c r="I367" s="511">
        <f t="shared" si="148"/>
        <v>90700</v>
      </c>
      <c r="J367" s="511">
        <f t="shared" si="154"/>
        <v>-30700</v>
      </c>
      <c r="K367" s="29">
        <v>72000</v>
      </c>
      <c r="L367" s="30"/>
      <c r="M367" s="611">
        <v>85000</v>
      </c>
      <c r="N367" s="29"/>
      <c r="O367" s="505"/>
      <c r="P367" s="514"/>
      <c r="Q367" s="505">
        <f t="shared" si="149"/>
        <v>0</v>
      </c>
      <c r="R367" s="505"/>
      <c r="S367" s="505"/>
      <c r="T367" s="505">
        <f t="shared" si="156"/>
        <v>0</v>
      </c>
      <c r="U367" s="29">
        <v>90000</v>
      </c>
      <c r="V367" s="29"/>
      <c r="W367" s="29"/>
      <c r="X367" s="29"/>
      <c r="Y367" s="29"/>
      <c r="Z367" s="29"/>
      <c r="AA367" s="29"/>
      <c r="AB367" s="31"/>
      <c r="AC367" s="465"/>
      <c r="AD367" s="32"/>
      <c r="AE367" s="507"/>
      <c r="AF367" s="508"/>
      <c r="AG367" s="440"/>
      <c r="AH367" s="440"/>
    </row>
    <row r="368" spans="1:34" s="5" customFormat="1" x14ac:dyDescent="0.2">
      <c r="A368" s="33"/>
      <c r="B368" s="57"/>
      <c r="C368" s="58" t="s">
        <v>54</v>
      </c>
      <c r="D368" s="505">
        <v>72000</v>
      </c>
      <c r="E368" s="511">
        <v>90000</v>
      </c>
      <c r="F368" s="506"/>
      <c r="G368" s="506">
        <v>90700</v>
      </c>
      <c r="H368" s="511"/>
      <c r="I368" s="511">
        <f t="shared" si="148"/>
        <v>90700</v>
      </c>
      <c r="J368" s="511">
        <f t="shared" si="154"/>
        <v>-700</v>
      </c>
      <c r="K368" s="29">
        <v>54000</v>
      </c>
      <c r="L368" s="30"/>
      <c r="M368" s="611">
        <v>60000</v>
      </c>
      <c r="N368" s="29"/>
      <c r="O368" s="505"/>
      <c r="P368" s="514"/>
      <c r="Q368" s="505">
        <f t="shared" si="149"/>
        <v>0</v>
      </c>
      <c r="R368" s="505"/>
      <c r="S368" s="505"/>
      <c r="T368" s="505">
        <f t="shared" si="156"/>
        <v>0</v>
      </c>
      <c r="U368" s="29">
        <v>62000</v>
      </c>
      <c r="V368" s="29"/>
      <c r="W368" s="29"/>
      <c r="X368" s="29"/>
      <c r="Y368" s="29"/>
      <c r="Z368" s="29"/>
      <c r="AA368" s="29"/>
      <c r="AB368" s="31"/>
      <c r="AC368" s="465"/>
      <c r="AD368" s="32"/>
      <c r="AE368" s="507"/>
      <c r="AF368" s="508"/>
      <c r="AG368" s="440"/>
      <c r="AH368" s="440"/>
    </row>
    <row r="369" spans="1:34" s="5" customFormat="1" x14ac:dyDescent="0.2">
      <c r="A369" s="33"/>
      <c r="B369" s="57"/>
      <c r="C369" s="58" t="s">
        <v>53</v>
      </c>
      <c r="D369" s="505">
        <v>54000</v>
      </c>
      <c r="E369" s="511">
        <v>65000</v>
      </c>
      <c r="F369" s="506"/>
      <c r="G369" s="506">
        <v>90700</v>
      </c>
      <c r="H369" s="511"/>
      <c r="I369" s="511">
        <f t="shared" si="148"/>
        <v>90700</v>
      </c>
      <c r="J369" s="511">
        <f t="shared" si="154"/>
        <v>-25700</v>
      </c>
      <c r="K369" s="29">
        <v>12000</v>
      </c>
      <c r="L369" s="30"/>
      <c r="M369" s="611">
        <v>80000</v>
      </c>
      <c r="N369" s="29"/>
      <c r="O369" s="505"/>
      <c r="P369" s="514"/>
      <c r="Q369" s="505">
        <f t="shared" si="149"/>
        <v>0</v>
      </c>
      <c r="R369" s="505"/>
      <c r="S369" s="505"/>
      <c r="T369" s="505">
        <f t="shared" si="156"/>
        <v>0</v>
      </c>
      <c r="U369" s="29">
        <v>50000</v>
      </c>
      <c r="V369" s="29"/>
      <c r="W369" s="29"/>
      <c r="X369" s="29"/>
      <c r="Y369" s="29"/>
      <c r="Z369" s="29"/>
      <c r="AA369" s="29"/>
      <c r="AB369" s="31"/>
      <c r="AC369" s="465"/>
      <c r="AD369" s="32"/>
      <c r="AE369" s="507"/>
      <c r="AF369" s="508"/>
      <c r="AG369" s="440"/>
      <c r="AH369" s="440"/>
    </row>
    <row r="370" spans="1:34" s="5" customFormat="1" x14ac:dyDescent="0.2">
      <c r="A370" s="33"/>
      <c r="B370" s="57"/>
      <c r="C370" s="58" t="s">
        <v>80</v>
      </c>
      <c r="D370" s="505">
        <v>12000</v>
      </c>
      <c r="E370" s="511">
        <v>50800</v>
      </c>
      <c r="F370" s="506"/>
      <c r="G370" s="506">
        <v>90700</v>
      </c>
      <c r="H370" s="511"/>
      <c r="I370" s="511">
        <f t="shared" si="148"/>
        <v>90700</v>
      </c>
      <c r="J370" s="511">
        <f t="shared" si="154"/>
        <v>-39900</v>
      </c>
      <c r="K370" s="29">
        <v>30000</v>
      </c>
      <c r="L370" s="30"/>
      <c r="M370" s="611">
        <v>40000</v>
      </c>
      <c r="N370" s="29"/>
      <c r="O370" s="505"/>
      <c r="P370" s="514"/>
      <c r="Q370" s="505">
        <f t="shared" si="149"/>
        <v>0</v>
      </c>
      <c r="R370" s="505"/>
      <c r="S370" s="505"/>
      <c r="T370" s="505">
        <f t="shared" si="156"/>
        <v>0</v>
      </c>
      <c r="U370" s="29">
        <v>40000</v>
      </c>
      <c r="V370" s="29"/>
      <c r="W370" s="29"/>
      <c r="X370" s="29"/>
      <c r="Y370" s="29"/>
      <c r="Z370" s="29"/>
      <c r="AA370" s="29"/>
      <c r="AB370" s="31"/>
      <c r="AC370" s="465"/>
      <c r="AD370" s="32"/>
      <c r="AE370" s="507"/>
      <c r="AF370" s="508"/>
      <c r="AG370" s="440"/>
      <c r="AH370" s="440"/>
    </row>
    <row r="371" spans="1:34" s="5" customFormat="1" x14ac:dyDescent="0.2">
      <c r="A371" s="33"/>
      <c r="B371" s="57"/>
      <c r="C371" s="58" t="s">
        <v>63</v>
      </c>
      <c r="D371" s="505">
        <v>30000</v>
      </c>
      <c r="E371" s="511">
        <v>40000</v>
      </c>
      <c r="F371" s="506"/>
      <c r="G371" s="506">
        <v>90700</v>
      </c>
      <c r="H371" s="511"/>
      <c r="I371" s="511">
        <f t="shared" si="148"/>
        <v>90700</v>
      </c>
      <c r="J371" s="511">
        <f t="shared" si="154"/>
        <v>-50700</v>
      </c>
      <c r="K371" s="29">
        <v>30000</v>
      </c>
      <c r="L371" s="30"/>
      <c r="M371" s="611">
        <v>100000</v>
      </c>
      <c r="N371" s="29"/>
      <c r="O371" s="505"/>
      <c r="P371" s="514"/>
      <c r="Q371" s="505">
        <f t="shared" si="149"/>
        <v>0</v>
      </c>
      <c r="R371" s="505"/>
      <c r="S371" s="505"/>
      <c r="T371" s="505">
        <f t="shared" si="156"/>
        <v>0</v>
      </c>
      <c r="U371" s="29">
        <v>100000</v>
      </c>
      <c r="V371" s="29"/>
      <c r="W371" s="29"/>
      <c r="X371" s="29"/>
      <c r="Y371" s="29"/>
      <c r="Z371" s="29"/>
      <c r="AA371" s="29"/>
      <c r="AB371" s="31"/>
      <c r="AC371" s="465"/>
      <c r="AD371" s="32"/>
      <c r="AE371" s="507"/>
      <c r="AF371" s="508"/>
      <c r="AG371" s="440"/>
      <c r="AH371" s="440"/>
    </row>
    <row r="372" spans="1:34" s="5" customFormat="1" x14ac:dyDescent="0.2">
      <c r="A372" s="33"/>
      <c r="B372" s="57"/>
      <c r="C372" s="58" t="s">
        <v>61</v>
      </c>
      <c r="D372" s="505">
        <v>30000</v>
      </c>
      <c r="E372" s="511">
        <v>60000</v>
      </c>
      <c r="F372" s="506"/>
      <c r="G372" s="506">
        <v>90700</v>
      </c>
      <c r="H372" s="511"/>
      <c r="I372" s="511">
        <f t="shared" si="148"/>
        <v>90700</v>
      </c>
      <c r="J372" s="511">
        <f t="shared" si="154"/>
        <v>-30700</v>
      </c>
      <c r="K372" s="29">
        <v>12000</v>
      </c>
      <c r="L372" s="30"/>
      <c r="M372" s="611">
        <v>50000</v>
      </c>
      <c r="N372" s="29"/>
      <c r="O372" s="505"/>
      <c r="P372" s="514"/>
      <c r="Q372" s="505">
        <f t="shared" si="149"/>
        <v>0</v>
      </c>
      <c r="R372" s="505"/>
      <c r="S372" s="505"/>
      <c r="T372" s="505">
        <f t="shared" si="156"/>
        <v>0</v>
      </c>
      <c r="U372" s="29">
        <v>50000</v>
      </c>
      <c r="V372" s="29"/>
      <c r="W372" s="29"/>
      <c r="X372" s="29"/>
      <c r="Y372" s="29"/>
      <c r="Z372" s="29"/>
      <c r="AA372" s="29"/>
      <c r="AB372" s="31"/>
      <c r="AC372" s="465"/>
      <c r="AD372" s="32"/>
      <c r="AE372" s="507"/>
      <c r="AF372" s="508"/>
      <c r="AG372" s="440"/>
      <c r="AH372" s="440"/>
    </row>
    <row r="373" spans="1:34" s="5" customFormat="1" x14ac:dyDescent="0.2">
      <c r="A373" s="33"/>
      <c r="B373" s="57"/>
      <c r="C373" s="58" t="s">
        <v>51</v>
      </c>
      <c r="D373" s="505">
        <v>12000</v>
      </c>
      <c r="E373" s="511">
        <v>50000</v>
      </c>
      <c r="F373" s="506"/>
      <c r="G373" s="506">
        <v>90700</v>
      </c>
      <c r="H373" s="511"/>
      <c r="I373" s="511">
        <f t="shared" si="148"/>
        <v>90700</v>
      </c>
      <c r="J373" s="511">
        <f t="shared" si="154"/>
        <v>-40700</v>
      </c>
      <c r="K373" s="29">
        <v>108000</v>
      </c>
      <c r="L373" s="30"/>
      <c r="M373" s="611">
        <v>150000</v>
      </c>
      <c r="N373" s="29"/>
      <c r="O373" s="505"/>
      <c r="P373" s="514"/>
      <c r="Q373" s="505">
        <f t="shared" si="149"/>
        <v>0</v>
      </c>
      <c r="R373" s="505"/>
      <c r="S373" s="505"/>
      <c r="T373" s="505">
        <f t="shared" si="156"/>
        <v>0</v>
      </c>
      <c r="U373" s="29">
        <v>100000</v>
      </c>
      <c r="V373" s="29"/>
      <c r="W373" s="29"/>
      <c r="X373" s="29"/>
      <c r="Y373" s="29"/>
      <c r="Z373" s="29"/>
      <c r="AA373" s="29"/>
      <c r="AB373" s="31"/>
      <c r="AC373" s="465"/>
      <c r="AD373" s="32"/>
      <c r="AE373" s="507"/>
      <c r="AF373" s="508"/>
      <c r="AG373" s="440"/>
      <c r="AH373" s="440"/>
    </row>
    <row r="374" spans="1:34" s="5" customFormat="1" x14ac:dyDescent="0.2">
      <c r="A374" s="33"/>
      <c r="B374" s="57"/>
      <c r="C374" s="58" t="s">
        <v>42</v>
      </c>
      <c r="D374" s="505">
        <v>108000</v>
      </c>
      <c r="E374" s="511">
        <v>100000</v>
      </c>
      <c r="F374" s="506"/>
      <c r="G374" s="506">
        <v>90700</v>
      </c>
      <c r="H374" s="511"/>
      <c r="I374" s="511">
        <f t="shared" si="148"/>
        <v>90700</v>
      </c>
      <c r="J374" s="511">
        <f t="shared" si="154"/>
        <v>9300</v>
      </c>
      <c r="K374" s="29">
        <v>36000</v>
      </c>
      <c r="L374" s="30"/>
      <c r="M374" s="611">
        <v>40000</v>
      </c>
      <c r="N374" s="29"/>
      <c r="O374" s="505"/>
      <c r="P374" s="514"/>
      <c r="Q374" s="505">
        <f t="shared" si="149"/>
        <v>0</v>
      </c>
      <c r="R374" s="505"/>
      <c r="S374" s="505"/>
      <c r="T374" s="505">
        <f t="shared" si="156"/>
        <v>0</v>
      </c>
      <c r="U374" s="29">
        <v>36000</v>
      </c>
      <c r="V374" s="29"/>
      <c r="W374" s="29"/>
      <c r="X374" s="29"/>
      <c r="Y374" s="29"/>
      <c r="Z374" s="29"/>
      <c r="AA374" s="29"/>
      <c r="AB374" s="31"/>
      <c r="AC374" s="465"/>
      <c r="AD374" s="32"/>
      <c r="AE374" s="507"/>
      <c r="AF374" s="508"/>
      <c r="AG374" s="440"/>
      <c r="AH374" s="440"/>
    </row>
    <row r="375" spans="1:34" s="5" customFormat="1" x14ac:dyDescent="0.2">
      <c r="A375" s="33"/>
      <c r="B375" s="57"/>
      <c r="C375" s="58" t="s">
        <v>43</v>
      </c>
      <c r="D375" s="505">
        <v>36000</v>
      </c>
      <c r="E375" s="511">
        <v>40000</v>
      </c>
      <c r="F375" s="506"/>
      <c r="G375" s="506">
        <v>90700</v>
      </c>
      <c r="H375" s="511"/>
      <c r="I375" s="511">
        <f t="shared" si="148"/>
        <v>90700</v>
      </c>
      <c r="J375" s="511">
        <f t="shared" si="154"/>
        <v>-50700</v>
      </c>
      <c r="K375" s="29">
        <v>96000</v>
      </c>
      <c r="L375" s="30"/>
      <c r="M375" s="611">
        <v>150000</v>
      </c>
      <c r="N375" s="29"/>
      <c r="O375" s="505"/>
      <c r="P375" s="514"/>
      <c r="Q375" s="505">
        <f t="shared" si="149"/>
        <v>0</v>
      </c>
      <c r="R375" s="505"/>
      <c r="S375" s="505"/>
      <c r="T375" s="505">
        <f t="shared" si="156"/>
        <v>0</v>
      </c>
      <c r="U375" s="29">
        <v>150000</v>
      </c>
      <c r="V375" s="29"/>
      <c r="W375" s="29"/>
      <c r="X375" s="29"/>
      <c r="Y375" s="29"/>
      <c r="Z375" s="29"/>
      <c r="AA375" s="29"/>
      <c r="AB375" s="31"/>
      <c r="AC375" s="465"/>
      <c r="AD375" s="32"/>
      <c r="AE375" s="507"/>
      <c r="AF375" s="508"/>
      <c r="AG375" s="440"/>
      <c r="AH375" s="440"/>
    </row>
    <row r="376" spans="1:34" s="5" customFormat="1" x14ac:dyDescent="0.2">
      <c r="A376" s="33"/>
      <c r="B376" s="57"/>
      <c r="C376" s="58" t="s">
        <v>50</v>
      </c>
      <c r="D376" s="505">
        <v>96000</v>
      </c>
      <c r="E376" s="511">
        <v>150000</v>
      </c>
      <c r="F376" s="506"/>
      <c r="G376" s="506">
        <v>90700</v>
      </c>
      <c r="H376" s="511"/>
      <c r="I376" s="511">
        <f t="shared" si="148"/>
        <v>90700</v>
      </c>
      <c r="J376" s="511">
        <f t="shared" si="154"/>
        <v>59300</v>
      </c>
      <c r="K376" s="29">
        <v>50000</v>
      </c>
      <c r="L376" s="30"/>
      <c r="M376" s="611">
        <v>70000</v>
      </c>
      <c r="N376" s="29"/>
      <c r="O376" s="505"/>
      <c r="P376" s="514"/>
      <c r="Q376" s="505">
        <f t="shared" si="149"/>
        <v>0</v>
      </c>
      <c r="R376" s="505"/>
      <c r="S376" s="505"/>
      <c r="T376" s="505">
        <f t="shared" si="156"/>
        <v>0</v>
      </c>
      <c r="U376" s="29">
        <v>84000</v>
      </c>
      <c r="V376" s="29"/>
      <c r="W376" s="29"/>
      <c r="X376" s="29"/>
      <c r="Y376" s="29"/>
      <c r="Z376" s="29"/>
      <c r="AA376" s="29"/>
      <c r="AB376" s="31"/>
      <c r="AC376" s="465"/>
      <c r="AD376" s="32"/>
      <c r="AE376" s="507"/>
      <c r="AF376" s="508"/>
      <c r="AG376" s="440"/>
      <c r="AH376" s="440"/>
    </row>
    <row r="377" spans="1:34" s="5" customFormat="1" x14ac:dyDescent="0.2">
      <c r="A377" s="33"/>
      <c r="B377" s="57"/>
      <c r="C377" s="58" t="s">
        <v>62</v>
      </c>
      <c r="D377" s="505">
        <v>50000</v>
      </c>
      <c r="E377" s="511">
        <v>110000</v>
      </c>
      <c r="F377" s="506"/>
      <c r="G377" s="506">
        <v>90700</v>
      </c>
      <c r="H377" s="511"/>
      <c r="I377" s="511">
        <f t="shared" si="148"/>
        <v>90700</v>
      </c>
      <c r="J377" s="511">
        <f t="shared" si="154"/>
        <v>19300</v>
      </c>
      <c r="K377" s="29">
        <v>600000</v>
      </c>
      <c r="L377" s="30"/>
      <c r="M377" s="611">
        <v>6015000</v>
      </c>
      <c r="N377" s="29"/>
      <c r="O377" s="505"/>
      <c r="P377" s="514"/>
      <c r="Q377" s="505">
        <f t="shared" si="149"/>
        <v>0</v>
      </c>
      <c r="R377" s="505"/>
      <c r="S377" s="505"/>
      <c r="T377" s="505">
        <f t="shared" si="156"/>
        <v>0</v>
      </c>
      <c r="U377" s="29">
        <v>600000</v>
      </c>
      <c r="V377" s="29"/>
      <c r="W377" s="29"/>
      <c r="X377" s="29"/>
      <c r="Y377" s="29"/>
      <c r="Z377" s="29"/>
      <c r="AA377" s="29"/>
      <c r="AB377" s="31"/>
      <c r="AC377" s="465"/>
      <c r="AD377" s="32"/>
      <c r="AE377" s="507"/>
      <c r="AF377" s="508"/>
      <c r="AG377" s="440"/>
      <c r="AH377" s="440"/>
    </row>
    <row r="378" spans="1:34" s="5" customFormat="1" x14ac:dyDescent="0.2">
      <c r="A378" s="33"/>
      <c r="B378" s="57"/>
      <c r="C378" s="58" t="s">
        <v>81</v>
      </c>
      <c r="D378" s="505">
        <v>600000</v>
      </c>
      <c r="E378" s="511">
        <v>1254500</v>
      </c>
      <c r="F378" s="506"/>
      <c r="G378" s="506">
        <v>600800</v>
      </c>
      <c r="H378" s="511"/>
      <c r="I378" s="511">
        <f t="shared" si="148"/>
        <v>600800</v>
      </c>
      <c r="J378" s="511">
        <f t="shared" si="154"/>
        <v>653700</v>
      </c>
      <c r="K378" s="80">
        <f>SUM(K381:K388)</f>
        <v>657500</v>
      </c>
      <c r="L378" s="99">
        <v>363352.3</v>
      </c>
      <c r="M378" s="619">
        <f>SUM(M381:M388)</f>
        <v>3355000</v>
      </c>
      <c r="N378" s="80">
        <v>657500</v>
      </c>
      <c r="O378" s="505"/>
      <c r="P378" s="514"/>
      <c r="Q378" s="505">
        <f t="shared" si="149"/>
        <v>0</v>
      </c>
      <c r="R378" s="505"/>
      <c r="S378" s="505"/>
      <c r="T378" s="529">
        <f t="shared" si="156"/>
        <v>365515.15</v>
      </c>
      <c r="U378" s="80">
        <f>SUM(U381:U388)</f>
        <v>823000</v>
      </c>
      <c r="V378" s="80">
        <v>912500</v>
      </c>
      <c r="W378" s="80">
        <v>958200</v>
      </c>
      <c r="X378" s="80">
        <v>1006100</v>
      </c>
      <c r="Y378" s="80">
        <f>SUM(X378*5)</f>
        <v>5030500</v>
      </c>
      <c r="Z378" s="80">
        <f>SUM(X378*5)</f>
        <v>5030500</v>
      </c>
      <c r="AA378" s="80">
        <f>SUM(X378*3)</f>
        <v>3018300</v>
      </c>
      <c r="AB378" s="81">
        <v>657500</v>
      </c>
      <c r="AC378" s="516">
        <v>0</v>
      </c>
      <c r="AD378" s="82">
        <v>657500</v>
      </c>
      <c r="AE378" s="641">
        <v>657500</v>
      </c>
      <c r="AF378" s="642"/>
      <c r="AG378" s="440"/>
      <c r="AH378" s="440"/>
    </row>
    <row r="379" spans="1:34" s="5" customFormat="1" x14ac:dyDescent="0.2">
      <c r="A379" s="33"/>
      <c r="B379" s="72" t="s">
        <v>101</v>
      </c>
      <c r="C379" s="125"/>
      <c r="D379" s="529">
        <f>SUM(D382:D389)</f>
        <v>657500</v>
      </c>
      <c r="E379" s="531">
        <f>SUM(E380:E389)</f>
        <v>3913000</v>
      </c>
      <c r="F379" s="532">
        <v>292000</v>
      </c>
      <c r="G379" s="532">
        <f>SUM(G380:G389)</f>
        <v>292000</v>
      </c>
      <c r="H379" s="531">
        <f t="shared" ref="H379" si="158">SUM(H380:H389)</f>
        <v>0</v>
      </c>
      <c r="I379" s="531">
        <f t="shared" si="148"/>
        <v>292000</v>
      </c>
      <c r="J379" s="531">
        <f t="shared" si="154"/>
        <v>3621000</v>
      </c>
      <c r="K379" s="80"/>
      <c r="L379" s="99"/>
      <c r="M379" s="619"/>
      <c r="N379" s="80"/>
      <c r="O379" s="529">
        <v>657500</v>
      </c>
      <c r="P379" s="530"/>
      <c r="Q379" s="529">
        <f t="shared" si="149"/>
        <v>657500</v>
      </c>
      <c r="R379" s="529">
        <v>291984.84999999998</v>
      </c>
      <c r="S379" s="529"/>
      <c r="T379" s="529"/>
      <c r="U379" s="80"/>
      <c r="V379" s="80"/>
      <c r="W379" s="80"/>
      <c r="X379" s="80"/>
      <c r="Y379" s="80"/>
      <c r="Z379" s="80"/>
      <c r="AA379" s="80"/>
      <c r="AB379" s="81"/>
      <c r="AC379" s="516"/>
      <c r="AD379" s="82"/>
      <c r="AE379" s="641"/>
      <c r="AF379" s="642"/>
      <c r="AG379" s="532">
        <v>292000</v>
      </c>
      <c r="AH379" s="440"/>
    </row>
    <row r="380" spans="1:34" s="5" customFormat="1" x14ac:dyDescent="0.2">
      <c r="A380" s="33"/>
      <c r="B380" s="72"/>
      <c r="C380" s="58" t="s">
        <v>52</v>
      </c>
      <c r="D380" s="529"/>
      <c r="E380" s="511">
        <v>20000</v>
      </c>
      <c r="F380" s="506"/>
      <c r="G380" s="506">
        <v>20000</v>
      </c>
      <c r="H380" s="511"/>
      <c r="I380" s="511">
        <f t="shared" si="148"/>
        <v>20000</v>
      </c>
      <c r="J380" s="511">
        <f t="shared" si="154"/>
        <v>0</v>
      </c>
      <c r="K380" s="80"/>
      <c r="L380" s="99"/>
      <c r="M380" s="619"/>
      <c r="N380" s="80"/>
      <c r="O380" s="529"/>
      <c r="P380" s="530"/>
      <c r="Q380" s="529">
        <f t="shared" si="149"/>
        <v>0</v>
      </c>
      <c r="R380" s="529"/>
      <c r="S380" s="529"/>
      <c r="T380" s="529"/>
      <c r="U380" s="80"/>
      <c r="V380" s="80"/>
      <c r="W380" s="80"/>
      <c r="X380" s="80"/>
      <c r="Y380" s="80"/>
      <c r="Z380" s="80"/>
      <c r="AA380" s="80"/>
      <c r="AB380" s="81"/>
      <c r="AC380" s="516"/>
      <c r="AD380" s="82"/>
      <c r="AE380" s="641"/>
      <c r="AF380" s="642"/>
      <c r="AG380" s="440"/>
      <c r="AH380" s="440"/>
    </row>
    <row r="381" spans="1:34" s="5" customFormat="1" x14ac:dyDescent="0.2">
      <c r="A381" s="33"/>
      <c r="B381" s="72"/>
      <c r="C381" s="58" t="s">
        <v>49</v>
      </c>
      <c r="D381" s="529"/>
      <c r="E381" s="511">
        <v>10000</v>
      </c>
      <c r="F381" s="506"/>
      <c r="G381" s="506">
        <v>20000</v>
      </c>
      <c r="H381" s="511"/>
      <c r="I381" s="511">
        <f t="shared" si="148"/>
        <v>20000</v>
      </c>
      <c r="J381" s="511">
        <f t="shared" si="154"/>
        <v>-10000</v>
      </c>
      <c r="K381" s="29">
        <v>166000</v>
      </c>
      <c r="L381" s="30"/>
      <c r="M381" s="611">
        <v>100000</v>
      </c>
      <c r="N381" s="29"/>
      <c r="O381" s="529"/>
      <c r="P381" s="530"/>
      <c r="Q381" s="529">
        <f t="shared" si="149"/>
        <v>0</v>
      </c>
      <c r="R381" s="529"/>
      <c r="S381" s="529"/>
      <c r="T381" s="505">
        <f>Q382-R382-S382</f>
        <v>0</v>
      </c>
      <c r="U381" s="29">
        <v>200000</v>
      </c>
      <c r="V381" s="29"/>
      <c r="W381" s="29"/>
      <c r="X381" s="29"/>
      <c r="Y381" s="29"/>
      <c r="Z381" s="29"/>
      <c r="AA381" s="29"/>
      <c r="AB381" s="31"/>
      <c r="AC381" s="465"/>
      <c r="AD381" s="32"/>
      <c r="AE381" s="507"/>
      <c r="AF381" s="508"/>
      <c r="AG381" s="440"/>
      <c r="AH381" s="440">
        <v>34271.699999999997</v>
      </c>
    </row>
    <row r="382" spans="1:34" s="5" customFormat="1" x14ac:dyDescent="0.2">
      <c r="A382" s="33"/>
      <c r="B382" s="57"/>
      <c r="C382" s="58" t="s">
        <v>80</v>
      </c>
      <c r="D382" s="505">
        <v>166000</v>
      </c>
      <c r="E382" s="511">
        <v>200000</v>
      </c>
      <c r="F382" s="506"/>
      <c r="G382" s="506">
        <v>20000</v>
      </c>
      <c r="H382" s="511"/>
      <c r="I382" s="511">
        <f t="shared" si="148"/>
        <v>20000</v>
      </c>
      <c r="J382" s="511">
        <f t="shared" si="154"/>
        <v>180000</v>
      </c>
      <c r="K382" s="29"/>
      <c r="L382" s="30"/>
      <c r="M382" s="611"/>
      <c r="N382" s="29"/>
      <c r="O382" s="505"/>
      <c r="P382" s="514"/>
      <c r="Q382" s="505">
        <f t="shared" si="149"/>
        <v>0</v>
      </c>
      <c r="R382" s="505"/>
      <c r="S382" s="505"/>
      <c r="T382" s="505"/>
      <c r="U382" s="29"/>
      <c r="V382" s="29"/>
      <c r="W382" s="29"/>
      <c r="X382" s="29"/>
      <c r="Y382" s="29"/>
      <c r="Z382" s="29"/>
      <c r="AA382" s="29"/>
      <c r="AB382" s="31"/>
      <c r="AC382" s="465"/>
      <c r="AD382" s="32"/>
      <c r="AE382" s="507"/>
      <c r="AF382" s="508"/>
      <c r="AG382" s="440"/>
    </row>
    <row r="383" spans="1:34" s="5" customFormat="1" x14ac:dyDescent="0.2">
      <c r="A383" s="33"/>
      <c r="B383" s="57"/>
      <c r="C383" s="58" t="s">
        <v>61</v>
      </c>
      <c r="D383" s="505"/>
      <c r="E383" s="511">
        <v>10000</v>
      </c>
      <c r="F383" s="506"/>
      <c r="G383" s="506">
        <v>20000</v>
      </c>
      <c r="H383" s="511"/>
      <c r="I383" s="511">
        <f t="shared" si="148"/>
        <v>20000</v>
      </c>
      <c r="J383" s="511">
        <f t="shared" si="154"/>
        <v>-10000</v>
      </c>
      <c r="K383" s="29"/>
      <c r="L383" s="30"/>
      <c r="M383" s="611"/>
      <c r="N383" s="29"/>
      <c r="O383" s="505"/>
      <c r="P383" s="514"/>
      <c r="Q383" s="505">
        <f t="shared" si="149"/>
        <v>0</v>
      </c>
      <c r="R383" s="505"/>
      <c r="S383" s="505"/>
      <c r="T383" s="505"/>
      <c r="U383" s="29"/>
      <c r="V383" s="29"/>
      <c r="W383" s="29"/>
      <c r="X383" s="29"/>
      <c r="Y383" s="29"/>
      <c r="Z383" s="29"/>
      <c r="AA383" s="29"/>
      <c r="AB383" s="31"/>
      <c r="AC383" s="465"/>
      <c r="AD383" s="32"/>
      <c r="AE383" s="507"/>
      <c r="AF383" s="508"/>
      <c r="AG383" s="440"/>
      <c r="AH383" s="440">
        <v>0</v>
      </c>
    </row>
    <row r="384" spans="1:34" s="5" customFormat="1" x14ac:dyDescent="0.2">
      <c r="A384" s="33"/>
      <c r="B384" s="57"/>
      <c r="C384" s="58" t="s">
        <v>51</v>
      </c>
      <c r="D384" s="505"/>
      <c r="E384" s="511">
        <v>10000</v>
      </c>
      <c r="F384" s="506"/>
      <c r="G384" s="506">
        <v>20000</v>
      </c>
      <c r="H384" s="511"/>
      <c r="I384" s="511">
        <f t="shared" si="148"/>
        <v>20000</v>
      </c>
      <c r="J384" s="511">
        <f t="shared" si="154"/>
        <v>-10000</v>
      </c>
      <c r="K384" s="29"/>
      <c r="L384" s="30"/>
      <c r="M384" s="611"/>
      <c r="N384" s="29"/>
      <c r="O384" s="505"/>
      <c r="P384" s="514"/>
      <c r="Q384" s="505">
        <f t="shared" si="149"/>
        <v>0</v>
      </c>
      <c r="R384" s="505"/>
      <c r="S384" s="505"/>
      <c r="T384" s="505"/>
      <c r="U384" s="29"/>
      <c r="V384" s="29"/>
      <c r="W384" s="29"/>
      <c r="X384" s="29"/>
      <c r="Y384" s="29"/>
      <c r="Z384" s="29"/>
      <c r="AA384" s="29"/>
      <c r="AB384" s="31"/>
      <c r="AC384" s="465"/>
      <c r="AD384" s="32"/>
      <c r="AE384" s="507"/>
      <c r="AF384" s="508"/>
      <c r="AG384" s="440"/>
    </row>
    <row r="385" spans="1:35" s="5" customFormat="1" x14ac:dyDescent="0.2">
      <c r="A385" s="33"/>
      <c r="B385" s="57"/>
      <c r="C385" s="58" t="s">
        <v>62</v>
      </c>
      <c r="D385" s="505"/>
      <c r="E385" s="511">
        <v>8000</v>
      </c>
      <c r="F385" s="506"/>
      <c r="G385" s="506">
        <v>20000</v>
      </c>
      <c r="H385" s="511"/>
      <c r="I385" s="511">
        <f t="shared" si="148"/>
        <v>20000</v>
      </c>
      <c r="J385" s="511">
        <f t="shared" si="154"/>
        <v>-12000</v>
      </c>
      <c r="K385" s="29">
        <v>68000</v>
      </c>
      <c r="L385" s="30"/>
      <c r="M385" s="611">
        <v>150000</v>
      </c>
      <c r="N385" s="29"/>
      <c r="O385" s="505"/>
      <c r="P385" s="514"/>
      <c r="Q385" s="505">
        <f t="shared" si="149"/>
        <v>0</v>
      </c>
      <c r="R385" s="505"/>
      <c r="S385" s="505"/>
      <c r="T385" s="505">
        <f>Q386-R386-S386</f>
        <v>0</v>
      </c>
      <c r="U385" s="29">
        <v>100000</v>
      </c>
      <c r="V385" s="29"/>
      <c r="W385" s="29"/>
      <c r="X385" s="29"/>
      <c r="Y385" s="29"/>
      <c r="Z385" s="29"/>
      <c r="AA385" s="29"/>
      <c r="AB385" s="31"/>
      <c r="AC385" s="465"/>
      <c r="AD385" s="32"/>
      <c r="AE385" s="507"/>
      <c r="AF385" s="508"/>
      <c r="AG385" s="440"/>
      <c r="AH385" s="440"/>
    </row>
    <row r="386" spans="1:35" s="5" customFormat="1" x14ac:dyDescent="0.2">
      <c r="A386" s="33"/>
      <c r="B386" s="57"/>
      <c r="C386" s="58" t="s">
        <v>42</v>
      </c>
      <c r="D386" s="505">
        <v>68000</v>
      </c>
      <c r="E386" s="511">
        <v>100000</v>
      </c>
      <c r="F386" s="506"/>
      <c r="G386" s="506">
        <v>20000</v>
      </c>
      <c r="H386" s="511"/>
      <c r="I386" s="511">
        <f t="shared" si="148"/>
        <v>20000</v>
      </c>
      <c r="J386" s="511">
        <f t="shared" si="154"/>
        <v>80000</v>
      </c>
      <c r="K386" s="29">
        <v>3000</v>
      </c>
      <c r="L386" s="30"/>
      <c r="M386" s="611">
        <v>5000</v>
      </c>
      <c r="N386" s="29"/>
      <c r="O386" s="505"/>
      <c r="P386" s="514"/>
      <c r="Q386" s="505">
        <f t="shared" si="149"/>
        <v>0</v>
      </c>
      <c r="R386" s="505"/>
      <c r="S386" s="505"/>
      <c r="T386" s="505">
        <f>Q387-R387-S387</f>
        <v>0</v>
      </c>
      <c r="U386" s="29">
        <v>3000</v>
      </c>
      <c r="V386" s="29"/>
      <c r="W386" s="29"/>
      <c r="X386" s="29"/>
      <c r="Y386" s="29"/>
      <c r="Z386" s="29"/>
      <c r="AA386" s="29"/>
      <c r="AB386" s="31"/>
      <c r="AC386" s="465"/>
      <c r="AD386" s="32"/>
      <c r="AE386" s="507"/>
      <c r="AF386" s="508"/>
      <c r="AG386" s="440"/>
      <c r="AH386" s="440">
        <v>10000</v>
      </c>
    </row>
    <row r="387" spans="1:35" s="5" customFormat="1" x14ac:dyDescent="0.2">
      <c r="A387" s="33"/>
      <c r="B387" s="57"/>
      <c r="C387" s="58" t="s">
        <v>43</v>
      </c>
      <c r="D387" s="505">
        <v>3000</v>
      </c>
      <c r="E387" s="511">
        <v>3000</v>
      </c>
      <c r="F387" s="506"/>
      <c r="G387" s="506">
        <v>20000</v>
      </c>
      <c r="H387" s="511"/>
      <c r="I387" s="511">
        <f t="shared" si="148"/>
        <v>20000</v>
      </c>
      <c r="J387" s="511">
        <f t="shared" si="154"/>
        <v>-17000</v>
      </c>
      <c r="K387" s="29">
        <v>17000</v>
      </c>
      <c r="L387" s="30"/>
      <c r="M387" s="611">
        <v>20000</v>
      </c>
      <c r="N387" s="29"/>
      <c r="O387" s="505"/>
      <c r="P387" s="514"/>
      <c r="Q387" s="505">
        <f t="shared" si="149"/>
        <v>0</v>
      </c>
      <c r="R387" s="505"/>
      <c r="S387" s="505"/>
      <c r="T387" s="505">
        <f>Q388-R388-S388</f>
        <v>0</v>
      </c>
      <c r="U387" s="29">
        <v>20000</v>
      </c>
      <c r="V387" s="29"/>
      <c r="W387" s="29"/>
      <c r="X387" s="29"/>
      <c r="Y387" s="29"/>
      <c r="Z387" s="29"/>
      <c r="AA387" s="29"/>
      <c r="AB387" s="31"/>
      <c r="AC387" s="465"/>
      <c r="AD387" s="32"/>
      <c r="AE387" s="507"/>
      <c r="AF387" s="508"/>
      <c r="AG387" s="440"/>
      <c r="AH387" s="440">
        <v>5114.6000000000004</v>
      </c>
    </row>
    <row r="388" spans="1:35" s="5" customFormat="1" x14ac:dyDescent="0.2">
      <c r="A388" s="33"/>
      <c r="B388" s="57"/>
      <c r="C388" s="58" t="s">
        <v>50</v>
      </c>
      <c r="D388" s="505">
        <v>17000</v>
      </c>
      <c r="E388" s="511">
        <v>20000</v>
      </c>
      <c r="F388" s="506"/>
      <c r="G388" s="506">
        <v>20000</v>
      </c>
      <c r="H388" s="511"/>
      <c r="I388" s="511">
        <f t="shared" si="148"/>
        <v>20000</v>
      </c>
      <c r="J388" s="511">
        <f t="shared" si="154"/>
        <v>0</v>
      </c>
      <c r="K388" s="29">
        <v>403500</v>
      </c>
      <c r="L388" s="30"/>
      <c r="M388" s="611">
        <v>3080000</v>
      </c>
      <c r="N388" s="29"/>
      <c r="O388" s="505"/>
      <c r="P388" s="514"/>
      <c r="Q388" s="505">
        <f t="shared" si="149"/>
        <v>0</v>
      </c>
      <c r="R388" s="505"/>
      <c r="S388" s="505"/>
      <c r="T388" s="505">
        <f>Q389-R389-S389</f>
        <v>0</v>
      </c>
      <c r="U388" s="29">
        <v>500000</v>
      </c>
      <c r="V388" s="29"/>
      <c r="W388" s="29"/>
      <c r="X388" s="29"/>
      <c r="Y388" s="29"/>
      <c r="Z388" s="29"/>
      <c r="AA388" s="29"/>
      <c r="AB388" s="31"/>
      <c r="AC388" s="465"/>
      <c r="AD388" s="32"/>
      <c r="AE388" s="507"/>
      <c r="AF388" s="508"/>
      <c r="AG388" s="440"/>
      <c r="AH388" s="440"/>
    </row>
    <row r="389" spans="1:35" s="5" customFormat="1" x14ac:dyDescent="0.2">
      <c r="A389" s="33"/>
      <c r="B389" s="57"/>
      <c r="C389" s="58" t="s">
        <v>81</v>
      </c>
      <c r="D389" s="505">
        <v>403500</v>
      </c>
      <c r="E389" s="511">
        <v>3532000</v>
      </c>
      <c r="F389" s="506"/>
      <c r="G389" s="506">
        <v>112000</v>
      </c>
      <c r="H389" s="511"/>
      <c r="I389" s="511">
        <f t="shared" si="148"/>
        <v>112000</v>
      </c>
      <c r="J389" s="511">
        <f t="shared" si="154"/>
        <v>3420000</v>
      </c>
      <c r="K389" s="80">
        <f>SUM(K393:K393)</f>
        <v>2169000</v>
      </c>
      <c r="L389" s="99">
        <v>5000</v>
      </c>
      <c r="M389" s="619">
        <f>SUM(M393:M393)</f>
        <v>500000</v>
      </c>
      <c r="N389" s="80">
        <v>2169000</v>
      </c>
      <c r="O389" s="505"/>
      <c r="P389" s="514"/>
      <c r="Q389" s="505">
        <f t="shared" si="149"/>
        <v>0</v>
      </c>
      <c r="R389" s="505"/>
      <c r="S389" s="505"/>
      <c r="T389" s="621">
        <f>Q390-R390-S390</f>
        <v>2145724.4</v>
      </c>
      <c r="U389" s="80">
        <f>SUM(U393:U393)</f>
        <v>100000</v>
      </c>
      <c r="V389" s="80">
        <v>3289700</v>
      </c>
      <c r="W389" s="80">
        <v>3454200</v>
      </c>
      <c r="X389" s="80">
        <v>3626900</v>
      </c>
      <c r="Y389" s="80">
        <f>SUM(X389*5)</f>
        <v>18134500</v>
      </c>
      <c r="Z389" s="80">
        <f>SUM(X389*5)</f>
        <v>18134500</v>
      </c>
      <c r="AA389" s="80">
        <f>SUM(X389*3)</f>
        <v>10880700</v>
      </c>
      <c r="AB389" s="81">
        <v>2169000</v>
      </c>
      <c r="AC389" s="516">
        <v>0</v>
      </c>
      <c r="AD389" s="82">
        <v>2169000</v>
      </c>
      <c r="AE389" s="641">
        <v>2169000</v>
      </c>
      <c r="AF389" s="642"/>
      <c r="AG389" s="440"/>
      <c r="AH389" s="440">
        <v>242598.55</v>
      </c>
    </row>
    <row r="390" spans="1:35" s="5" customFormat="1" x14ac:dyDescent="0.2">
      <c r="A390" s="33"/>
      <c r="B390" s="72" t="s">
        <v>102</v>
      </c>
      <c r="C390" s="125"/>
      <c r="D390" s="529">
        <f>SUM(D394)</f>
        <v>2169000</v>
      </c>
      <c r="E390" s="531">
        <f>SUM(E391:E394)</f>
        <v>2169000</v>
      </c>
      <c r="F390" s="532">
        <v>23300</v>
      </c>
      <c r="G390" s="532">
        <f>SUM(G391:G394)</f>
        <v>23300</v>
      </c>
      <c r="H390" s="531">
        <f t="shared" ref="H390" si="159">SUM(H391:H394)</f>
        <v>0</v>
      </c>
      <c r="I390" s="531">
        <f t="shared" si="148"/>
        <v>23300</v>
      </c>
      <c r="J390" s="531">
        <f t="shared" si="154"/>
        <v>2145700</v>
      </c>
      <c r="K390" s="80"/>
      <c r="L390" s="99"/>
      <c r="M390" s="619"/>
      <c r="N390" s="80"/>
      <c r="O390" s="621">
        <v>2169000</v>
      </c>
      <c r="P390" s="622"/>
      <c r="Q390" s="621">
        <f t="shared" si="149"/>
        <v>2169000</v>
      </c>
      <c r="R390" s="621">
        <v>23275.599999999999</v>
      </c>
      <c r="S390" s="621"/>
      <c r="T390" s="529"/>
      <c r="U390" s="80"/>
      <c r="V390" s="80"/>
      <c r="W390" s="80"/>
      <c r="X390" s="80"/>
      <c r="Y390" s="80"/>
      <c r="Z390" s="80"/>
      <c r="AA390" s="80"/>
      <c r="AB390" s="81"/>
      <c r="AC390" s="516"/>
      <c r="AD390" s="82"/>
      <c r="AE390" s="641"/>
      <c r="AF390" s="642"/>
      <c r="AG390" s="532">
        <v>23300</v>
      </c>
      <c r="AH390" s="440"/>
    </row>
    <row r="391" spans="1:35" s="5" customFormat="1" x14ac:dyDescent="0.2">
      <c r="A391" s="33"/>
      <c r="B391" s="72"/>
      <c r="C391" s="58" t="s">
        <v>52</v>
      </c>
      <c r="D391" s="529"/>
      <c r="E391" s="511">
        <v>20000</v>
      </c>
      <c r="F391" s="506"/>
      <c r="G391" s="506">
        <v>0</v>
      </c>
      <c r="H391" s="511"/>
      <c r="I391" s="511">
        <f t="shared" si="148"/>
        <v>0</v>
      </c>
      <c r="J391" s="511">
        <f t="shared" si="154"/>
        <v>20000</v>
      </c>
      <c r="K391" s="80"/>
      <c r="L391" s="99"/>
      <c r="M391" s="619"/>
      <c r="N391" s="80"/>
      <c r="O391" s="529"/>
      <c r="P391" s="530"/>
      <c r="Q391" s="529">
        <f t="shared" si="149"/>
        <v>0</v>
      </c>
      <c r="R391" s="529"/>
      <c r="S391" s="529"/>
      <c r="T391" s="621"/>
      <c r="U391" s="80"/>
      <c r="V391" s="80"/>
      <c r="W391" s="80"/>
      <c r="X391" s="80"/>
      <c r="Y391" s="80"/>
      <c r="Z391" s="80"/>
      <c r="AA391" s="80"/>
      <c r="AB391" s="81"/>
      <c r="AC391" s="516"/>
      <c r="AD391" s="82"/>
      <c r="AE391" s="641"/>
      <c r="AF391" s="642"/>
      <c r="AG391" s="440"/>
      <c r="AH391" s="440"/>
    </row>
    <row r="392" spans="1:35" s="5" customFormat="1" x14ac:dyDescent="0.2">
      <c r="A392" s="33"/>
      <c r="B392" s="72"/>
      <c r="C392" s="58" t="s">
        <v>49</v>
      </c>
      <c r="D392" s="529"/>
      <c r="E392" s="511">
        <v>120000</v>
      </c>
      <c r="F392" s="506"/>
      <c r="G392" s="506">
        <v>0</v>
      </c>
      <c r="H392" s="511"/>
      <c r="I392" s="511">
        <f t="shared" ref="I392:I455" si="160">+G392-H392</f>
        <v>0</v>
      </c>
      <c r="J392" s="511">
        <f t="shared" si="154"/>
        <v>120000</v>
      </c>
      <c r="K392" s="80"/>
      <c r="L392" s="99"/>
      <c r="M392" s="619"/>
      <c r="N392" s="80"/>
      <c r="O392" s="621"/>
      <c r="P392" s="622"/>
      <c r="Q392" s="621">
        <f t="shared" ref="Q392:Q455" si="161">+O392-P392</f>
        <v>0</v>
      </c>
      <c r="R392" s="621"/>
      <c r="S392" s="621"/>
      <c r="T392" s="621"/>
      <c r="U392" s="80"/>
      <c r="V392" s="80"/>
      <c r="W392" s="80"/>
      <c r="X392" s="80"/>
      <c r="Y392" s="80"/>
      <c r="Z392" s="80"/>
      <c r="AA392" s="80"/>
      <c r="AB392" s="81"/>
      <c r="AC392" s="516"/>
      <c r="AD392" s="82"/>
      <c r="AE392" s="641"/>
      <c r="AF392" s="642"/>
      <c r="AG392" s="440"/>
      <c r="AH392" s="440"/>
    </row>
    <row r="393" spans="1:35" s="5" customFormat="1" x14ac:dyDescent="0.2">
      <c r="A393" s="33"/>
      <c r="B393" s="72"/>
      <c r="C393" s="58" t="s">
        <v>80</v>
      </c>
      <c r="D393" s="529"/>
      <c r="E393" s="511">
        <v>1145300</v>
      </c>
      <c r="F393" s="506"/>
      <c r="G393" s="506">
        <v>0</v>
      </c>
      <c r="H393" s="511"/>
      <c r="I393" s="511">
        <f t="shared" si="160"/>
        <v>0</v>
      </c>
      <c r="J393" s="511">
        <f t="shared" si="154"/>
        <v>1145300</v>
      </c>
      <c r="K393" s="29">
        <v>2169000</v>
      </c>
      <c r="L393" s="30"/>
      <c r="M393" s="611">
        <v>500000</v>
      </c>
      <c r="N393" s="29"/>
      <c r="O393" s="621"/>
      <c r="P393" s="622"/>
      <c r="Q393" s="621">
        <f t="shared" si="161"/>
        <v>0</v>
      </c>
      <c r="R393" s="621"/>
      <c r="S393" s="621"/>
      <c r="T393" s="505">
        <f t="shared" ref="T393:T411" si="162">Q394-R394-S394</f>
        <v>0</v>
      </c>
      <c r="U393" s="29">
        <v>100000</v>
      </c>
      <c r="V393" s="29"/>
      <c r="W393" s="29"/>
      <c r="X393" s="29"/>
      <c r="Y393" s="29"/>
      <c r="Z393" s="29"/>
      <c r="AA393" s="29"/>
      <c r="AB393" s="31"/>
      <c r="AC393" s="465"/>
      <c r="AD393" s="32"/>
      <c r="AE393" s="507"/>
      <c r="AF393" s="508"/>
      <c r="AG393" s="440"/>
      <c r="AH393" s="440"/>
    </row>
    <row r="394" spans="1:35" s="5" customFormat="1" x14ac:dyDescent="0.2">
      <c r="A394" s="33"/>
      <c r="B394" s="57"/>
      <c r="C394" s="58" t="s">
        <v>81</v>
      </c>
      <c r="D394" s="505">
        <v>2169000</v>
      </c>
      <c r="E394" s="511">
        <v>883700</v>
      </c>
      <c r="F394" s="506"/>
      <c r="G394" s="506">
        <v>23300</v>
      </c>
      <c r="H394" s="511"/>
      <c r="I394" s="511">
        <f t="shared" si="160"/>
        <v>23300</v>
      </c>
      <c r="J394" s="511">
        <f t="shared" si="154"/>
        <v>860400</v>
      </c>
      <c r="K394" s="52">
        <f>SUM(K395:K406)</f>
        <v>3256500</v>
      </c>
      <c r="L394" s="53">
        <v>7144472.2599999998</v>
      </c>
      <c r="M394" s="613">
        <f>SUM(M395:M406)</f>
        <v>9108000</v>
      </c>
      <c r="N394" s="52">
        <v>3256500</v>
      </c>
      <c r="O394" s="505"/>
      <c r="P394" s="514"/>
      <c r="Q394" s="505">
        <f t="shared" si="161"/>
        <v>0</v>
      </c>
      <c r="R394" s="505"/>
      <c r="S394" s="505"/>
      <c r="T394" s="529">
        <f t="shared" si="162"/>
        <v>-1870988.5899999999</v>
      </c>
      <c r="U394" s="52">
        <f>SUM(U395:U406)</f>
        <v>5538000</v>
      </c>
      <c r="V394" s="52">
        <f>SUM(U394*105/100)</f>
        <v>5814900</v>
      </c>
      <c r="W394" s="52">
        <v>6105700</v>
      </c>
      <c r="X394" s="52">
        <v>6411000</v>
      </c>
      <c r="Y394" s="52">
        <f>SUM(X394*5)</f>
        <v>32055000</v>
      </c>
      <c r="Z394" s="52">
        <f>SUM(X394*5)</f>
        <v>32055000</v>
      </c>
      <c r="AA394" s="52">
        <f>SUM(X394*3)</f>
        <v>19233000</v>
      </c>
      <c r="AB394" s="54">
        <v>5538000</v>
      </c>
      <c r="AC394" s="494">
        <v>0</v>
      </c>
      <c r="AD394" s="55">
        <v>5538000</v>
      </c>
      <c r="AE394" s="499">
        <v>5538000</v>
      </c>
      <c r="AF394" s="602"/>
      <c r="AG394" s="440"/>
      <c r="AH394" s="440"/>
    </row>
    <row r="395" spans="1:35" s="5" customFormat="1" x14ac:dyDescent="0.2">
      <c r="A395" s="33"/>
      <c r="B395" s="72" t="s">
        <v>103</v>
      </c>
      <c r="C395" s="125"/>
      <c r="D395" s="529">
        <f>SUM(D396:D407)</f>
        <v>5538000</v>
      </c>
      <c r="E395" s="531">
        <f>SUM(E396:E407)</f>
        <v>5538000</v>
      </c>
      <c r="F395" s="532">
        <v>4557600</v>
      </c>
      <c r="G395" s="532">
        <f>SUM(G396:G407)</f>
        <v>4557600</v>
      </c>
      <c r="H395" s="531">
        <f t="shared" ref="H395" si="163">SUM(H396:H407)</f>
        <v>0</v>
      </c>
      <c r="I395" s="531">
        <f t="shared" si="160"/>
        <v>4557600</v>
      </c>
      <c r="J395" s="531">
        <f t="shared" si="154"/>
        <v>980400</v>
      </c>
      <c r="K395" s="29">
        <v>45000</v>
      </c>
      <c r="L395" s="30"/>
      <c r="M395" s="611">
        <v>50000</v>
      </c>
      <c r="N395" s="29"/>
      <c r="O395" s="529">
        <v>3256500</v>
      </c>
      <c r="P395" s="530"/>
      <c r="Q395" s="529">
        <f t="shared" si="161"/>
        <v>3256500</v>
      </c>
      <c r="R395" s="529">
        <f>569909.82+4557578.77</f>
        <v>5127488.59</v>
      </c>
      <c r="S395" s="529"/>
      <c r="T395" s="505">
        <f t="shared" si="162"/>
        <v>0</v>
      </c>
      <c r="U395" s="29">
        <v>80000</v>
      </c>
      <c r="V395" s="29"/>
      <c r="W395" s="29"/>
      <c r="X395" s="29"/>
      <c r="Y395" s="29"/>
      <c r="Z395" s="29"/>
      <c r="AA395" s="29"/>
      <c r="AB395" s="31"/>
      <c r="AC395" s="465"/>
      <c r="AD395" s="32"/>
      <c r="AE395" s="507"/>
      <c r="AF395" s="508"/>
      <c r="AG395" s="532">
        <v>4557600</v>
      </c>
      <c r="AH395" s="440"/>
      <c r="AI395" s="5" t="s">
        <v>739</v>
      </c>
    </row>
    <row r="396" spans="1:35" s="5" customFormat="1" x14ac:dyDescent="0.2">
      <c r="A396" s="33"/>
      <c r="B396" s="647"/>
      <c r="C396" s="315" t="s">
        <v>52</v>
      </c>
      <c r="D396" s="511">
        <v>45000</v>
      </c>
      <c r="E396" s="511">
        <v>300000</v>
      </c>
      <c r="F396" s="648"/>
      <c r="G396" s="648">
        <v>45000</v>
      </c>
      <c r="H396" s="511"/>
      <c r="I396" s="511">
        <f t="shared" si="160"/>
        <v>45000</v>
      </c>
      <c r="J396" s="511">
        <f t="shared" si="154"/>
        <v>255000</v>
      </c>
      <c r="K396" s="29">
        <v>45000</v>
      </c>
      <c r="L396" s="30"/>
      <c r="M396" s="611">
        <v>300000</v>
      </c>
      <c r="N396" s="29"/>
      <c r="O396" s="505"/>
      <c r="P396" s="514"/>
      <c r="Q396" s="505">
        <f t="shared" si="161"/>
        <v>0</v>
      </c>
      <c r="R396" s="505"/>
      <c r="S396" s="505"/>
      <c r="T396" s="505">
        <f t="shared" si="162"/>
        <v>0</v>
      </c>
      <c r="U396" s="29">
        <v>400000</v>
      </c>
      <c r="V396" s="29"/>
      <c r="W396" s="29"/>
      <c r="X396" s="29"/>
      <c r="Y396" s="29"/>
      <c r="Z396" s="29"/>
      <c r="AA396" s="29"/>
      <c r="AB396" s="31"/>
      <c r="AC396" s="465"/>
      <c r="AD396" s="32"/>
      <c r="AE396" s="507"/>
      <c r="AF396" s="508"/>
      <c r="AG396" s="440">
        <f>+AG395-G395</f>
        <v>0</v>
      </c>
      <c r="AH396" s="440"/>
    </row>
    <row r="397" spans="1:35" s="5" customFormat="1" x14ac:dyDescent="0.2">
      <c r="A397" s="33"/>
      <c r="B397" s="647"/>
      <c r="C397" s="315" t="s">
        <v>49</v>
      </c>
      <c r="D397" s="511">
        <v>45000</v>
      </c>
      <c r="E397" s="511">
        <v>200000</v>
      </c>
      <c r="F397" s="648"/>
      <c r="G397" s="648">
        <v>45000</v>
      </c>
      <c r="H397" s="511"/>
      <c r="I397" s="511">
        <f t="shared" si="160"/>
        <v>45000</v>
      </c>
      <c r="J397" s="511">
        <f t="shared" si="154"/>
        <v>155000</v>
      </c>
      <c r="K397" s="29">
        <v>45000</v>
      </c>
      <c r="L397" s="30"/>
      <c r="M397" s="611">
        <v>50000</v>
      </c>
      <c r="N397" s="29"/>
      <c r="O397" s="505"/>
      <c r="P397" s="514"/>
      <c r="Q397" s="505">
        <f t="shared" si="161"/>
        <v>0</v>
      </c>
      <c r="R397" s="505"/>
      <c r="S397" s="505"/>
      <c r="T397" s="505">
        <f t="shared" si="162"/>
        <v>0</v>
      </c>
      <c r="U397" s="29">
        <v>50000</v>
      </c>
      <c r="V397" s="29"/>
      <c r="W397" s="29"/>
      <c r="X397" s="29"/>
      <c r="Y397" s="29"/>
      <c r="Z397" s="29"/>
      <c r="AA397" s="29"/>
      <c r="AB397" s="31"/>
      <c r="AC397" s="465"/>
      <c r="AD397" s="32"/>
      <c r="AE397" s="507"/>
      <c r="AF397" s="508"/>
      <c r="AG397" s="440"/>
      <c r="AH397" s="440"/>
    </row>
    <row r="398" spans="1:35" s="5" customFormat="1" x14ac:dyDescent="0.2">
      <c r="A398" s="33"/>
      <c r="B398" s="647"/>
      <c r="C398" s="315" t="s">
        <v>54</v>
      </c>
      <c r="D398" s="511">
        <v>45000</v>
      </c>
      <c r="E398" s="511">
        <v>50000</v>
      </c>
      <c r="F398" s="648"/>
      <c r="G398" s="648">
        <v>45000</v>
      </c>
      <c r="H398" s="511"/>
      <c r="I398" s="511">
        <f t="shared" si="160"/>
        <v>45000</v>
      </c>
      <c r="J398" s="511">
        <f t="shared" si="154"/>
        <v>5000</v>
      </c>
      <c r="K398" s="29">
        <v>45000</v>
      </c>
      <c r="L398" s="30"/>
      <c r="M398" s="611">
        <v>50000</v>
      </c>
      <c r="N398" s="29"/>
      <c r="O398" s="505"/>
      <c r="P398" s="514"/>
      <c r="Q398" s="505">
        <f t="shared" si="161"/>
        <v>0</v>
      </c>
      <c r="R398" s="505"/>
      <c r="S398" s="505"/>
      <c r="T398" s="505">
        <f t="shared" si="162"/>
        <v>0</v>
      </c>
      <c r="U398" s="29">
        <v>54000</v>
      </c>
      <c r="V398" s="29"/>
      <c r="W398" s="29"/>
      <c r="X398" s="29"/>
      <c r="Y398" s="29"/>
      <c r="Z398" s="29"/>
      <c r="AA398" s="29"/>
      <c r="AB398" s="31"/>
      <c r="AC398" s="465"/>
      <c r="AD398" s="32"/>
      <c r="AE398" s="507"/>
      <c r="AF398" s="508"/>
      <c r="AG398" s="440"/>
      <c r="AH398" s="440"/>
    </row>
    <row r="399" spans="1:35" s="5" customFormat="1" x14ac:dyDescent="0.2">
      <c r="A399" s="33"/>
      <c r="B399" s="647"/>
      <c r="C399" s="315" t="s">
        <v>53</v>
      </c>
      <c r="D399" s="511">
        <v>45000</v>
      </c>
      <c r="E399" s="511">
        <v>60000</v>
      </c>
      <c r="F399" s="648"/>
      <c r="G399" s="648">
        <v>45000</v>
      </c>
      <c r="H399" s="511"/>
      <c r="I399" s="511">
        <f t="shared" si="160"/>
        <v>45000</v>
      </c>
      <c r="J399" s="511">
        <f t="shared" si="154"/>
        <v>15000</v>
      </c>
      <c r="K399" s="29">
        <v>100000</v>
      </c>
      <c r="L399" s="30"/>
      <c r="M399" s="611">
        <v>510000</v>
      </c>
      <c r="N399" s="29"/>
      <c r="O399" s="505"/>
      <c r="P399" s="514"/>
      <c r="Q399" s="505">
        <f t="shared" si="161"/>
        <v>0</v>
      </c>
      <c r="R399" s="505"/>
      <c r="S399" s="505"/>
      <c r="T399" s="505">
        <f t="shared" si="162"/>
        <v>0</v>
      </c>
      <c r="U399" s="29">
        <v>850000</v>
      </c>
      <c r="V399" s="29"/>
      <c r="W399" s="29"/>
      <c r="X399" s="29"/>
      <c r="Y399" s="29"/>
      <c r="Z399" s="29"/>
      <c r="AA399" s="29"/>
      <c r="AB399" s="31"/>
      <c r="AC399" s="465"/>
      <c r="AD399" s="32"/>
      <c r="AE399" s="507"/>
      <c r="AF399" s="508"/>
      <c r="AG399" s="440"/>
      <c r="AH399" s="440"/>
    </row>
    <row r="400" spans="1:35" s="5" customFormat="1" hidden="1" x14ac:dyDescent="0.2">
      <c r="A400" s="33"/>
      <c r="B400" s="647"/>
      <c r="C400" s="315" t="s">
        <v>807</v>
      </c>
      <c r="D400" s="511">
        <v>100000</v>
      </c>
      <c r="E400" s="511">
        <v>0</v>
      </c>
      <c r="F400" s="648"/>
      <c r="G400" s="648">
        <v>0</v>
      </c>
      <c r="H400" s="511"/>
      <c r="I400" s="511">
        <f t="shared" si="160"/>
        <v>0</v>
      </c>
      <c r="J400" s="511">
        <f t="shared" si="154"/>
        <v>0</v>
      </c>
      <c r="K400" s="29">
        <v>45000</v>
      </c>
      <c r="L400" s="30"/>
      <c r="M400" s="611">
        <v>200000</v>
      </c>
      <c r="N400" s="29"/>
      <c r="O400" s="505"/>
      <c r="P400" s="514"/>
      <c r="Q400" s="505">
        <f t="shared" si="161"/>
        <v>0</v>
      </c>
      <c r="R400" s="505"/>
      <c r="S400" s="505"/>
      <c r="T400" s="505">
        <f t="shared" si="162"/>
        <v>0</v>
      </c>
      <c r="U400" s="29">
        <v>200000</v>
      </c>
      <c r="V400" s="29"/>
      <c r="W400" s="29"/>
      <c r="X400" s="29"/>
      <c r="Y400" s="29"/>
      <c r="Z400" s="29"/>
      <c r="AA400" s="29"/>
      <c r="AB400" s="31"/>
      <c r="AC400" s="465"/>
      <c r="AD400" s="32"/>
      <c r="AE400" s="507"/>
      <c r="AF400" s="508"/>
      <c r="AG400" s="440"/>
      <c r="AH400" s="440"/>
    </row>
    <row r="401" spans="1:35" s="5" customFormat="1" x14ac:dyDescent="0.2">
      <c r="A401" s="33"/>
      <c r="B401" s="647"/>
      <c r="C401" s="315" t="s">
        <v>61</v>
      </c>
      <c r="D401" s="511">
        <v>45000</v>
      </c>
      <c r="E401" s="511">
        <v>150000</v>
      </c>
      <c r="F401" s="648"/>
      <c r="G401" s="648">
        <v>45000</v>
      </c>
      <c r="H401" s="511"/>
      <c r="I401" s="511">
        <f t="shared" si="160"/>
        <v>45000</v>
      </c>
      <c r="J401" s="511">
        <f t="shared" si="154"/>
        <v>105000</v>
      </c>
      <c r="K401" s="29">
        <v>490000</v>
      </c>
      <c r="L401" s="30"/>
      <c r="M401" s="611">
        <v>500000</v>
      </c>
      <c r="N401" s="29"/>
      <c r="O401" s="505"/>
      <c r="P401" s="514"/>
      <c r="Q401" s="505">
        <f t="shared" si="161"/>
        <v>0</v>
      </c>
      <c r="R401" s="505"/>
      <c r="S401" s="505"/>
      <c r="T401" s="505">
        <f t="shared" si="162"/>
        <v>0</v>
      </c>
      <c r="U401" s="29">
        <v>500000</v>
      </c>
      <c r="V401" s="29"/>
      <c r="W401" s="29"/>
      <c r="X401" s="29"/>
      <c r="Y401" s="29"/>
      <c r="Z401" s="29"/>
      <c r="AA401" s="29"/>
      <c r="AB401" s="31"/>
      <c r="AC401" s="465"/>
      <c r="AD401" s="32"/>
      <c r="AE401" s="507"/>
      <c r="AF401" s="508"/>
      <c r="AG401" s="440"/>
    </row>
    <row r="402" spans="1:35" s="5" customFormat="1" x14ac:dyDescent="0.2">
      <c r="A402" s="33"/>
      <c r="B402" s="647"/>
      <c r="C402" s="315" t="s">
        <v>42</v>
      </c>
      <c r="D402" s="511">
        <v>490000</v>
      </c>
      <c r="E402" s="511">
        <v>500000</v>
      </c>
      <c r="F402" s="648"/>
      <c r="G402" s="648">
        <v>490000</v>
      </c>
      <c r="H402" s="511"/>
      <c r="I402" s="511">
        <f t="shared" si="160"/>
        <v>490000</v>
      </c>
      <c r="J402" s="511">
        <f t="shared" si="154"/>
        <v>10000</v>
      </c>
      <c r="K402" s="100">
        <v>45000</v>
      </c>
      <c r="L402" s="114"/>
      <c r="M402" s="611">
        <v>45000</v>
      </c>
      <c r="N402" s="100"/>
      <c r="O402" s="505"/>
      <c r="P402" s="514"/>
      <c r="Q402" s="505">
        <f t="shared" si="161"/>
        <v>0</v>
      </c>
      <c r="R402" s="505"/>
      <c r="S402" s="505"/>
      <c r="T402" s="505">
        <f t="shared" si="162"/>
        <v>0</v>
      </c>
      <c r="U402" s="100">
        <v>430000</v>
      </c>
      <c r="V402" s="100"/>
      <c r="W402" s="100"/>
      <c r="X402" s="100"/>
      <c r="Y402" s="100"/>
      <c r="Z402" s="100"/>
      <c r="AA402" s="100"/>
      <c r="AB402" s="31"/>
      <c r="AC402" s="513"/>
      <c r="AD402" s="32"/>
      <c r="AE402" s="507"/>
      <c r="AF402" s="508"/>
      <c r="AG402" s="515"/>
      <c r="AH402" s="515">
        <v>20000</v>
      </c>
    </row>
    <row r="403" spans="1:35" s="5" customFormat="1" x14ac:dyDescent="0.2">
      <c r="A403" s="33"/>
      <c r="B403" s="647"/>
      <c r="C403" s="315" t="s">
        <v>43</v>
      </c>
      <c r="D403" s="511">
        <v>45000</v>
      </c>
      <c r="E403" s="511">
        <v>300000</v>
      </c>
      <c r="F403" s="648"/>
      <c r="G403" s="648">
        <v>45000</v>
      </c>
      <c r="H403" s="511"/>
      <c r="I403" s="511">
        <f t="shared" si="160"/>
        <v>45000</v>
      </c>
      <c r="J403" s="511">
        <f t="shared" si="154"/>
        <v>255000</v>
      </c>
      <c r="K403" s="29">
        <v>45000</v>
      </c>
      <c r="L403" s="30"/>
      <c r="M403" s="611">
        <v>100000</v>
      </c>
      <c r="N403" s="29"/>
      <c r="O403" s="505"/>
      <c r="P403" s="514"/>
      <c r="Q403" s="505">
        <f t="shared" si="161"/>
        <v>0</v>
      </c>
      <c r="R403" s="505"/>
      <c r="S403" s="505"/>
      <c r="T403" s="505">
        <f t="shared" si="162"/>
        <v>0</v>
      </c>
      <c r="U403" s="29">
        <v>410000</v>
      </c>
      <c r="V403" s="29"/>
      <c r="W403" s="29"/>
      <c r="X403" s="29"/>
      <c r="Y403" s="29"/>
      <c r="Z403" s="29"/>
      <c r="AA403" s="29"/>
      <c r="AB403" s="31"/>
      <c r="AC403" s="465"/>
      <c r="AD403" s="32"/>
      <c r="AE403" s="507"/>
      <c r="AF403" s="508"/>
      <c r="AG403" s="440"/>
      <c r="AH403" s="440"/>
    </row>
    <row r="404" spans="1:35" s="5" customFormat="1" x14ac:dyDescent="0.2">
      <c r="A404" s="33"/>
      <c r="B404" s="647"/>
      <c r="C404" s="315" t="s">
        <v>50</v>
      </c>
      <c r="D404" s="511">
        <v>45000</v>
      </c>
      <c r="E404" s="511">
        <v>600000</v>
      </c>
      <c r="F404" s="648"/>
      <c r="G404" s="648">
        <v>45000</v>
      </c>
      <c r="H404" s="511"/>
      <c r="I404" s="511">
        <f t="shared" si="160"/>
        <v>45000</v>
      </c>
      <c r="J404" s="511">
        <f t="shared" ref="J404:J467" si="164">+E404-G404</f>
        <v>555000</v>
      </c>
      <c r="K404" s="29"/>
      <c r="L404" s="30"/>
      <c r="M404" s="611"/>
      <c r="N404" s="29"/>
      <c r="O404" s="505"/>
      <c r="P404" s="514"/>
      <c r="Q404" s="505">
        <f t="shared" si="161"/>
        <v>0</v>
      </c>
      <c r="R404" s="505"/>
      <c r="S404" s="505"/>
      <c r="T404" s="505">
        <f t="shared" si="162"/>
        <v>0</v>
      </c>
      <c r="U404" s="29">
        <v>10000</v>
      </c>
      <c r="V404" s="29"/>
      <c r="W404" s="29"/>
      <c r="X404" s="29"/>
      <c r="Y404" s="29"/>
      <c r="Z404" s="29"/>
      <c r="AA404" s="29"/>
      <c r="AB404" s="31"/>
      <c r="AC404" s="465"/>
      <c r="AD404" s="32"/>
      <c r="AE404" s="507"/>
      <c r="AF404" s="508"/>
      <c r="AG404" s="440"/>
      <c r="AH404" s="440"/>
    </row>
    <row r="405" spans="1:35" s="5" customFormat="1" x14ac:dyDescent="0.2">
      <c r="A405" s="33"/>
      <c r="B405" s="647"/>
      <c r="C405" s="315" t="s">
        <v>51</v>
      </c>
      <c r="D405" s="511">
        <v>10000</v>
      </c>
      <c r="E405" s="511">
        <v>20000</v>
      </c>
      <c r="F405" s="648"/>
      <c r="G405" s="648">
        <v>10000</v>
      </c>
      <c r="H405" s="511"/>
      <c r="I405" s="511">
        <f t="shared" si="160"/>
        <v>10000</v>
      </c>
      <c r="J405" s="511">
        <f t="shared" si="164"/>
        <v>10000</v>
      </c>
      <c r="K405" s="29">
        <v>45000</v>
      </c>
      <c r="L405" s="30"/>
      <c r="M405" s="611">
        <v>45000</v>
      </c>
      <c r="N405" s="29"/>
      <c r="O405" s="505"/>
      <c r="P405" s="514"/>
      <c r="Q405" s="505">
        <f t="shared" si="161"/>
        <v>0</v>
      </c>
      <c r="R405" s="505"/>
      <c r="S405" s="505"/>
      <c r="T405" s="505">
        <f t="shared" si="162"/>
        <v>0</v>
      </c>
      <c r="U405" s="29">
        <v>54000</v>
      </c>
      <c r="V405" s="29"/>
      <c r="W405" s="29"/>
      <c r="X405" s="29"/>
      <c r="Y405" s="29"/>
      <c r="Z405" s="29"/>
      <c r="AA405" s="29"/>
      <c r="AB405" s="31"/>
      <c r="AC405" s="465"/>
      <c r="AD405" s="32"/>
      <c r="AE405" s="507"/>
      <c r="AF405" s="508"/>
      <c r="AG405" s="440"/>
      <c r="AH405" s="440"/>
    </row>
    <row r="406" spans="1:35" s="5" customFormat="1" x14ac:dyDescent="0.2">
      <c r="A406" s="33"/>
      <c r="B406" s="647"/>
      <c r="C406" s="315" t="s">
        <v>62</v>
      </c>
      <c r="D406" s="511">
        <v>45000</v>
      </c>
      <c r="E406" s="511">
        <v>65000</v>
      </c>
      <c r="F406" s="648"/>
      <c r="G406" s="648">
        <v>45000</v>
      </c>
      <c r="H406" s="511"/>
      <c r="I406" s="511">
        <f t="shared" si="160"/>
        <v>45000</v>
      </c>
      <c r="J406" s="511">
        <f t="shared" si="164"/>
        <v>20000</v>
      </c>
      <c r="K406" s="29">
        <v>2306500</v>
      </c>
      <c r="L406" s="30"/>
      <c r="M406" s="611">
        <v>7258000</v>
      </c>
      <c r="N406" s="29"/>
      <c r="O406" s="505"/>
      <c r="P406" s="514"/>
      <c r="Q406" s="505">
        <f t="shared" si="161"/>
        <v>0</v>
      </c>
      <c r="R406" s="505"/>
      <c r="S406" s="505"/>
      <c r="T406" s="505">
        <f t="shared" si="162"/>
        <v>0</v>
      </c>
      <c r="U406" s="29">
        <v>2500000</v>
      </c>
      <c r="V406" s="29"/>
      <c r="W406" s="29"/>
      <c r="X406" s="29"/>
      <c r="Y406" s="29"/>
      <c r="Z406" s="29"/>
      <c r="AA406" s="29"/>
      <c r="AB406" s="31"/>
      <c r="AC406" s="465"/>
      <c r="AD406" s="32"/>
      <c r="AE406" s="507"/>
      <c r="AF406" s="508"/>
      <c r="AG406" s="440"/>
      <c r="AH406" s="440"/>
    </row>
    <row r="407" spans="1:35" s="112" customFormat="1" x14ac:dyDescent="0.2">
      <c r="A407" s="33"/>
      <c r="B407" s="647"/>
      <c r="C407" s="315" t="s">
        <v>81</v>
      </c>
      <c r="D407" s="511">
        <v>4578000</v>
      </c>
      <c r="E407" s="511">
        <v>3293000</v>
      </c>
      <c r="F407" s="648"/>
      <c r="G407" s="648">
        <f>3652600+45000</f>
        <v>3697600</v>
      </c>
      <c r="H407" s="511"/>
      <c r="I407" s="511">
        <f t="shared" si="160"/>
        <v>3697600</v>
      </c>
      <c r="J407" s="511">
        <f t="shared" si="164"/>
        <v>-404600</v>
      </c>
      <c r="K407" s="52">
        <f>SUM(K408:K410)</f>
        <v>145000</v>
      </c>
      <c r="L407" s="53">
        <v>59716</v>
      </c>
      <c r="M407" s="613">
        <f>SUM(M408:M410)</f>
        <v>247000</v>
      </c>
      <c r="N407" s="52">
        <v>145000</v>
      </c>
      <c r="O407" s="505"/>
      <c r="P407" s="514"/>
      <c r="Q407" s="505">
        <f t="shared" si="161"/>
        <v>0</v>
      </c>
      <c r="R407" s="505"/>
      <c r="S407" s="505"/>
      <c r="T407" s="529">
        <f t="shared" si="162"/>
        <v>102160</v>
      </c>
      <c r="U407" s="52">
        <f>SUM(U408:U410)</f>
        <v>210000</v>
      </c>
      <c r="V407" s="52">
        <f>SUM(U407*105/100)</f>
        <v>220500</v>
      </c>
      <c r="W407" s="52">
        <v>231600</v>
      </c>
      <c r="X407" s="52">
        <v>243200</v>
      </c>
      <c r="Y407" s="52">
        <f>SUM(X407*5)</f>
        <v>1216000</v>
      </c>
      <c r="Z407" s="52">
        <f>SUM(X407*5)</f>
        <v>1216000</v>
      </c>
      <c r="AA407" s="52">
        <f>SUM(X407*3)</f>
        <v>729600</v>
      </c>
      <c r="AB407" s="54">
        <v>145000</v>
      </c>
      <c r="AC407" s="494">
        <v>0</v>
      </c>
      <c r="AD407" s="55">
        <v>145000</v>
      </c>
      <c r="AE407" s="499">
        <v>145000</v>
      </c>
      <c r="AF407" s="602"/>
      <c r="AG407" s="564"/>
      <c r="AH407" s="440">
        <v>2283172.64</v>
      </c>
    </row>
    <row r="408" spans="1:35" s="5" customFormat="1" x14ac:dyDescent="0.2">
      <c r="A408" s="33"/>
      <c r="B408" s="72" t="s">
        <v>104</v>
      </c>
      <c r="C408" s="125"/>
      <c r="D408" s="529">
        <f>SUM(D409:D411)</f>
        <v>145000</v>
      </c>
      <c r="E408" s="531">
        <f>SUM(E409:E411)</f>
        <v>400000</v>
      </c>
      <c r="F408" s="532">
        <v>42800</v>
      </c>
      <c r="G408" s="532">
        <f>SUM(G409:G411)</f>
        <v>42800</v>
      </c>
      <c r="H408" s="531">
        <f t="shared" ref="H408" si="165">SUM(H409:H411)</f>
        <v>0</v>
      </c>
      <c r="I408" s="531">
        <f t="shared" si="160"/>
        <v>42800</v>
      </c>
      <c r="J408" s="531">
        <f t="shared" si="164"/>
        <v>357200</v>
      </c>
      <c r="K408" s="29">
        <v>50000</v>
      </c>
      <c r="L408" s="30"/>
      <c r="M408" s="611">
        <v>50000</v>
      </c>
      <c r="N408" s="29"/>
      <c r="O408" s="529">
        <v>145000</v>
      </c>
      <c r="P408" s="530"/>
      <c r="Q408" s="529">
        <f t="shared" si="161"/>
        <v>145000</v>
      </c>
      <c r="R408" s="529">
        <v>42840</v>
      </c>
      <c r="S408" s="529"/>
      <c r="T408" s="505">
        <f t="shared" si="162"/>
        <v>0</v>
      </c>
      <c r="U408" s="29">
        <v>60000</v>
      </c>
      <c r="V408" s="29"/>
      <c r="W408" s="29"/>
      <c r="X408" s="29"/>
      <c r="Y408" s="29"/>
      <c r="Z408" s="29"/>
      <c r="AA408" s="29"/>
      <c r="AB408" s="31"/>
      <c r="AC408" s="465"/>
      <c r="AD408" s="32"/>
      <c r="AE408" s="507"/>
      <c r="AF408" s="508"/>
      <c r="AG408" s="532">
        <v>42800</v>
      </c>
      <c r="AH408" s="440"/>
      <c r="AI408" s="608" t="s">
        <v>808</v>
      </c>
    </row>
    <row r="409" spans="1:35" s="5" customFormat="1" x14ac:dyDescent="0.2">
      <c r="A409" s="33"/>
      <c r="B409" s="57"/>
      <c r="C409" s="58" t="s">
        <v>43</v>
      </c>
      <c r="D409" s="505">
        <v>50000</v>
      </c>
      <c r="E409" s="511">
        <v>50000</v>
      </c>
      <c r="F409" s="506"/>
      <c r="G409" s="506">
        <v>14200</v>
      </c>
      <c r="H409" s="511"/>
      <c r="I409" s="511">
        <f t="shared" si="160"/>
        <v>14200</v>
      </c>
      <c r="J409" s="511">
        <f t="shared" si="164"/>
        <v>35800</v>
      </c>
      <c r="K409" s="29">
        <v>20000</v>
      </c>
      <c r="L409" s="30"/>
      <c r="M409" s="611">
        <v>50000</v>
      </c>
      <c r="N409" s="29"/>
      <c r="O409" s="505"/>
      <c r="P409" s="514"/>
      <c r="Q409" s="505">
        <f t="shared" si="161"/>
        <v>0</v>
      </c>
      <c r="R409" s="505"/>
      <c r="S409" s="505"/>
      <c r="T409" s="505">
        <f t="shared" si="162"/>
        <v>0</v>
      </c>
      <c r="U409" s="29">
        <v>50000</v>
      </c>
      <c r="V409" s="29"/>
      <c r="W409" s="29"/>
      <c r="X409" s="29"/>
      <c r="Y409" s="29"/>
      <c r="Z409" s="29"/>
      <c r="AA409" s="29"/>
      <c r="AB409" s="31"/>
      <c r="AC409" s="465"/>
      <c r="AD409" s="32"/>
      <c r="AE409" s="507"/>
      <c r="AF409" s="508"/>
      <c r="AG409" s="440">
        <f>+AG408-G408</f>
        <v>0</v>
      </c>
      <c r="AH409" s="440"/>
    </row>
    <row r="410" spans="1:35" s="5" customFormat="1" x14ac:dyDescent="0.2">
      <c r="A410" s="33"/>
      <c r="B410" s="57"/>
      <c r="C410" s="58" t="s">
        <v>50</v>
      </c>
      <c r="D410" s="505">
        <v>20000</v>
      </c>
      <c r="E410" s="511">
        <v>50000</v>
      </c>
      <c r="F410" s="506"/>
      <c r="G410" s="506">
        <v>14200</v>
      </c>
      <c r="H410" s="511"/>
      <c r="I410" s="511">
        <f t="shared" si="160"/>
        <v>14200</v>
      </c>
      <c r="J410" s="511">
        <f t="shared" si="164"/>
        <v>35800</v>
      </c>
      <c r="K410" s="29">
        <v>75000</v>
      </c>
      <c r="L410" s="30"/>
      <c r="M410" s="611">
        <v>147000</v>
      </c>
      <c r="N410" s="29"/>
      <c r="O410" s="505"/>
      <c r="P410" s="514"/>
      <c r="Q410" s="505">
        <f t="shared" si="161"/>
        <v>0</v>
      </c>
      <c r="R410" s="505"/>
      <c r="S410" s="505"/>
      <c r="T410" s="505">
        <f t="shared" si="162"/>
        <v>0</v>
      </c>
      <c r="U410" s="29">
        <v>100000</v>
      </c>
      <c r="V410" s="29"/>
      <c r="W410" s="29"/>
      <c r="X410" s="29"/>
      <c r="Y410" s="29"/>
      <c r="Z410" s="29"/>
      <c r="AA410" s="29"/>
      <c r="AB410" s="31"/>
      <c r="AC410" s="465"/>
      <c r="AD410" s="32"/>
      <c r="AE410" s="507"/>
      <c r="AF410" s="508"/>
      <c r="AG410" s="440"/>
      <c r="AH410" s="440"/>
    </row>
    <row r="411" spans="1:35" s="5" customFormat="1" ht="24" customHeight="1" x14ac:dyDescent="0.2">
      <c r="A411" s="33"/>
      <c r="B411" s="57"/>
      <c r="C411" s="58" t="s">
        <v>81</v>
      </c>
      <c r="D411" s="505">
        <v>75000</v>
      </c>
      <c r="E411" s="511">
        <v>300000</v>
      </c>
      <c r="F411" s="506"/>
      <c r="G411" s="506">
        <v>14400</v>
      </c>
      <c r="H411" s="511"/>
      <c r="I411" s="511">
        <f t="shared" si="160"/>
        <v>14400</v>
      </c>
      <c r="J411" s="511">
        <f t="shared" si="164"/>
        <v>285600</v>
      </c>
      <c r="K411" s="52" t="e">
        <f>K414+K418+K422+K426+K430</f>
        <v>#REF!</v>
      </c>
      <c r="L411" s="53">
        <f>SUM(L414,L418,L422,L426,L430)</f>
        <v>120183899.67</v>
      </c>
      <c r="M411" s="613" t="e">
        <f>SUM(M414,M418,M422,M426,M430)</f>
        <v>#REF!</v>
      </c>
      <c r="N411" s="115">
        <f>SUM(N414,N418,N422,N426,N430)</f>
        <v>115754100</v>
      </c>
      <c r="O411" s="505"/>
      <c r="P411" s="514"/>
      <c r="Q411" s="505">
        <f t="shared" si="161"/>
        <v>0</v>
      </c>
      <c r="R411" s="505"/>
      <c r="S411" s="505"/>
      <c r="T411" s="605">
        <f t="shared" si="162"/>
        <v>-2473130.549999997</v>
      </c>
      <c r="U411" s="605">
        <f>+U414+U418+U422+U426+U430</f>
        <v>52196382000</v>
      </c>
      <c r="V411" s="605">
        <f t="shared" ref="R411:AF412" si="166">+V414+V418+V422+V426+V430</f>
        <v>54806201150</v>
      </c>
      <c r="W411" s="605">
        <f t="shared" si="166"/>
        <v>8499604887.5</v>
      </c>
      <c r="X411" s="605">
        <f t="shared" si="166"/>
        <v>348278500</v>
      </c>
      <c r="Y411" s="605">
        <f t="shared" si="166"/>
        <v>1741392500</v>
      </c>
      <c r="Z411" s="605">
        <f t="shared" si="166"/>
        <v>1741392500</v>
      </c>
      <c r="AA411" s="605">
        <f t="shared" si="166"/>
        <v>1044835500</v>
      </c>
      <c r="AB411" s="605">
        <f t="shared" si="166"/>
        <v>238605000</v>
      </c>
      <c r="AC411" s="605">
        <f t="shared" si="166"/>
        <v>0</v>
      </c>
      <c r="AD411" s="605">
        <f t="shared" si="166"/>
        <v>238605000</v>
      </c>
      <c r="AE411" s="605">
        <f t="shared" si="166"/>
        <v>238605000</v>
      </c>
      <c r="AF411" s="605">
        <f t="shared" si="166"/>
        <v>0</v>
      </c>
      <c r="AG411" s="440"/>
      <c r="AH411" s="440"/>
    </row>
    <row r="412" spans="1:35" s="5" customFormat="1" ht="24" customHeight="1" x14ac:dyDescent="0.2">
      <c r="A412" s="33"/>
      <c r="B412" s="72" t="s">
        <v>315</v>
      </c>
      <c r="C412" s="58"/>
      <c r="D412" s="505">
        <v>0</v>
      </c>
      <c r="E412" s="531">
        <f>+E413</f>
        <v>1200000</v>
      </c>
      <c r="F412" s="532">
        <v>0</v>
      </c>
      <c r="G412" s="532">
        <v>0</v>
      </c>
      <c r="H412" s="531">
        <f t="shared" ref="H412" si="167">+H413</f>
        <v>0</v>
      </c>
      <c r="I412" s="531">
        <f t="shared" si="160"/>
        <v>0</v>
      </c>
      <c r="J412" s="531">
        <f t="shared" si="164"/>
        <v>1200000</v>
      </c>
      <c r="K412" s="52"/>
      <c r="L412" s="53"/>
      <c r="M412" s="613"/>
      <c r="N412" s="115"/>
      <c r="O412" s="605">
        <f>+O415+O419+O423+O427+O431</f>
        <v>81774000</v>
      </c>
      <c r="P412" s="612"/>
      <c r="Q412" s="605">
        <f t="shared" si="161"/>
        <v>81774000</v>
      </c>
      <c r="R412" s="605">
        <f t="shared" si="166"/>
        <v>84247130.549999997</v>
      </c>
      <c r="S412" s="605">
        <f t="shared" si="166"/>
        <v>0</v>
      </c>
      <c r="T412" s="605"/>
      <c r="U412" s="613"/>
      <c r="V412" s="613"/>
      <c r="W412" s="613"/>
      <c r="X412" s="613"/>
      <c r="Y412" s="613"/>
      <c r="Z412" s="613"/>
      <c r="AA412" s="613"/>
      <c r="AB412" s="613"/>
      <c r="AC412" s="613"/>
      <c r="AD412" s="605"/>
      <c r="AE412" s="605"/>
      <c r="AF412" s="613"/>
      <c r="AG412" s="440"/>
      <c r="AH412" s="440"/>
    </row>
    <row r="413" spans="1:35" s="5" customFormat="1" ht="24" customHeight="1" x14ac:dyDescent="0.2">
      <c r="A413" s="33"/>
      <c r="B413" s="72"/>
      <c r="C413" s="58" t="s">
        <v>81</v>
      </c>
      <c r="D413" s="505">
        <v>0</v>
      </c>
      <c r="E413" s="511">
        <v>1200000</v>
      </c>
      <c r="F413" s="506"/>
      <c r="G413" s="506"/>
      <c r="H413" s="511"/>
      <c r="I413" s="511">
        <f t="shared" si="160"/>
        <v>0</v>
      </c>
      <c r="J413" s="511">
        <f t="shared" si="164"/>
        <v>1200000</v>
      </c>
      <c r="K413" s="52"/>
      <c r="L413" s="53"/>
      <c r="M413" s="613"/>
      <c r="N413" s="115"/>
      <c r="O413" s="605"/>
      <c r="P413" s="612"/>
      <c r="Q413" s="605">
        <f t="shared" si="161"/>
        <v>0</v>
      </c>
      <c r="R413" s="605"/>
      <c r="S413" s="605"/>
      <c r="T413" s="605"/>
      <c r="U413" s="613"/>
      <c r="V413" s="613"/>
      <c r="W413" s="613"/>
      <c r="X413" s="613"/>
      <c r="Y413" s="613"/>
      <c r="Z413" s="613"/>
      <c r="AA413" s="613"/>
      <c r="AB413" s="613"/>
      <c r="AC413" s="613"/>
      <c r="AD413" s="605"/>
      <c r="AE413" s="605"/>
      <c r="AF413" s="613"/>
      <c r="AG413" s="440"/>
      <c r="AH413" s="440"/>
    </row>
    <row r="414" spans="1:35" s="112" customFormat="1" ht="24" customHeight="1" x14ac:dyDescent="0.2">
      <c r="A414" s="33"/>
      <c r="B414" s="72" t="s">
        <v>106</v>
      </c>
      <c r="C414" s="125"/>
      <c r="D414" s="605">
        <f>+D415+D419+D423+D427+D431</f>
        <v>73596900</v>
      </c>
      <c r="E414" s="609">
        <f>+E415+E419+E423+E427+E431</f>
        <v>112504000</v>
      </c>
      <c r="F414" s="610">
        <f>+F415+F419+F423+F427+F431</f>
        <v>77614100</v>
      </c>
      <c r="G414" s="610">
        <f>+G415+G419+G423+G427+G431</f>
        <v>77614100</v>
      </c>
      <c r="H414" s="609">
        <f t="shared" ref="H414" si="168">+H415+H419+H423+H427+H431</f>
        <v>0</v>
      </c>
      <c r="I414" s="609">
        <f t="shared" si="160"/>
        <v>77614100</v>
      </c>
      <c r="J414" s="609">
        <f t="shared" si="164"/>
        <v>34889900</v>
      </c>
      <c r="K414" s="609">
        <f t="shared" ref="K414:S414" si="169">+K415+K419+K423+K427+K431</f>
        <v>14566000</v>
      </c>
      <c r="L414" s="609">
        <f t="shared" si="169"/>
        <v>0</v>
      </c>
      <c r="M414" s="609">
        <f t="shared" si="169"/>
        <v>18555000</v>
      </c>
      <c r="N414" s="609">
        <f t="shared" si="169"/>
        <v>0</v>
      </c>
      <c r="O414" s="605">
        <f t="shared" si="169"/>
        <v>81774000</v>
      </c>
      <c r="P414" s="605">
        <f t="shared" si="169"/>
        <v>0</v>
      </c>
      <c r="Q414" s="605">
        <f t="shared" si="161"/>
        <v>81774000</v>
      </c>
      <c r="R414" s="605">
        <f t="shared" si="169"/>
        <v>84247130.549999997</v>
      </c>
      <c r="S414" s="605">
        <f t="shared" si="169"/>
        <v>0</v>
      </c>
      <c r="T414" s="605">
        <f t="shared" ref="T414:T436" si="170">Q415-R415-S415</f>
        <v>-7628091.7199999988</v>
      </c>
      <c r="U414" s="52">
        <v>158500000</v>
      </c>
      <c r="V414" s="52">
        <f>SUM(U414*105/100)</f>
        <v>166425000</v>
      </c>
      <c r="W414" s="52">
        <v>174746300</v>
      </c>
      <c r="X414" s="52">
        <v>183483700</v>
      </c>
      <c r="Y414" s="52">
        <f>SUM(X414*5)</f>
        <v>917418500</v>
      </c>
      <c r="Z414" s="52">
        <f>SUM(X414*5)</f>
        <v>917418500</v>
      </c>
      <c r="AA414" s="52">
        <f>SUM(X414*3)</f>
        <v>550451100</v>
      </c>
      <c r="AB414" s="54">
        <v>122850900</v>
      </c>
      <c r="AC414" s="494">
        <v>0</v>
      </c>
      <c r="AD414" s="116">
        <v>122850900</v>
      </c>
      <c r="AE414" s="606">
        <v>122850900</v>
      </c>
      <c r="AF414" s="607"/>
      <c r="AG414" s="564"/>
      <c r="AH414" s="440"/>
    </row>
    <row r="415" spans="1:35" s="5" customFormat="1" x14ac:dyDescent="0.2">
      <c r="A415" s="33"/>
      <c r="B415" s="72" t="s">
        <v>105</v>
      </c>
      <c r="C415" s="125"/>
      <c r="D415" s="605">
        <f>SUM(D416:D418)</f>
        <v>42650900</v>
      </c>
      <c r="E415" s="609">
        <f>SUM(E416:E418)</f>
        <v>74200000</v>
      </c>
      <c r="F415" s="610">
        <v>49706100</v>
      </c>
      <c r="G415" s="610">
        <f>SUM(G416:G418)</f>
        <v>49706100</v>
      </c>
      <c r="H415" s="609">
        <f t="shared" ref="H415" si="171">SUM(H416:H418)</f>
        <v>0</v>
      </c>
      <c r="I415" s="609">
        <f t="shared" si="160"/>
        <v>49706100</v>
      </c>
      <c r="J415" s="609">
        <f t="shared" si="164"/>
        <v>24493900</v>
      </c>
      <c r="K415" s="29">
        <v>7980000</v>
      </c>
      <c r="L415" s="30"/>
      <c r="M415" s="611">
        <v>9500000</v>
      </c>
      <c r="N415" s="29"/>
      <c r="O415" s="605">
        <f>131028000-80200000</f>
        <v>50828000</v>
      </c>
      <c r="P415" s="612"/>
      <c r="Q415" s="605">
        <f t="shared" si="161"/>
        <v>50828000</v>
      </c>
      <c r="R415" s="605">
        <f>1240000+57216091.72</f>
        <v>58456091.719999999</v>
      </c>
      <c r="S415" s="605"/>
      <c r="T415" s="505">
        <f t="shared" si="170"/>
        <v>0</v>
      </c>
      <c r="U415" s="29">
        <v>10000000</v>
      </c>
      <c r="V415" s="29"/>
      <c r="W415" s="29"/>
      <c r="X415" s="29"/>
      <c r="Y415" s="29"/>
      <c r="Z415" s="29"/>
      <c r="AA415" s="29"/>
      <c r="AB415" s="31"/>
      <c r="AC415" s="465"/>
      <c r="AD415" s="32"/>
      <c r="AE415" s="507"/>
      <c r="AF415" s="508"/>
      <c r="AG415" s="610">
        <v>49706100</v>
      </c>
      <c r="AH415" s="440"/>
      <c r="AI415" s="608" t="s">
        <v>809</v>
      </c>
    </row>
    <row r="416" spans="1:35" s="5" customFormat="1" x14ac:dyDescent="0.2">
      <c r="A416" s="33"/>
      <c r="B416" s="57"/>
      <c r="C416" s="58" t="s">
        <v>80</v>
      </c>
      <c r="D416" s="505">
        <v>7980000</v>
      </c>
      <c r="E416" s="511">
        <v>11000000</v>
      </c>
      <c r="F416" s="506"/>
      <c r="G416" s="506">
        <v>7980000</v>
      </c>
      <c r="H416" s="511"/>
      <c r="I416" s="511">
        <f t="shared" si="160"/>
        <v>7980000</v>
      </c>
      <c r="J416" s="511">
        <f t="shared" si="164"/>
        <v>3020000</v>
      </c>
      <c r="K416" s="29">
        <v>2967600</v>
      </c>
      <c r="L416" s="30"/>
      <c r="M416" s="611">
        <v>3500000</v>
      </c>
      <c r="N416" s="29"/>
      <c r="O416" s="505"/>
      <c r="P416" s="514"/>
      <c r="Q416" s="505">
        <f t="shared" si="161"/>
        <v>0</v>
      </c>
      <c r="R416" s="505"/>
      <c r="S416" s="505"/>
      <c r="T416" s="505">
        <f t="shared" si="170"/>
        <v>0</v>
      </c>
      <c r="U416" s="29">
        <v>3280000</v>
      </c>
      <c r="V416" s="29"/>
      <c r="W416" s="29"/>
      <c r="X416" s="29"/>
      <c r="Y416" s="29"/>
      <c r="Z416" s="29"/>
      <c r="AA416" s="29"/>
      <c r="AB416" s="31"/>
      <c r="AC416" s="465"/>
      <c r="AD416" s="32"/>
      <c r="AE416" s="507"/>
      <c r="AF416" s="508"/>
      <c r="AG416" s="440">
        <f>+G415-AG415</f>
        <v>0</v>
      </c>
      <c r="AH416" s="440">
        <v>9562811.6400000006</v>
      </c>
      <c r="AI416" s="5" t="s">
        <v>810</v>
      </c>
    </row>
    <row r="417" spans="1:35" s="5" customFormat="1" x14ac:dyDescent="0.2">
      <c r="A417" s="33"/>
      <c r="B417" s="57"/>
      <c r="C417" s="58" t="s">
        <v>42</v>
      </c>
      <c r="D417" s="505">
        <v>2967600</v>
      </c>
      <c r="E417" s="511">
        <v>3200000</v>
      </c>
      <c r="F417" s="506"/>
      <c r="G417" s="506">
        <v>4967600</v>
      </c>
      <c r="H417" s="511"/>
      <c r="I417" s="511">
        <f t="shared" si="160"/>
        <v>4967600</v>
      </c>
      <c r="J417" s="511">
        <f t="shared" si="164"/>
        <v>-1767600</v>
      </c>
      <c r="K417" s="29">
        <v>33998000</v>
      </c>
      <c r="L417" s="30"/>
      <c r="M417" s="611">
        <v>33998000</v>
      </c>
      <c r="N417" s="29"/>
      <c r="O417" s="505"/>
      <c r="P417" s="514"/>
      <c r="Q417" s="505">
        <f t="shared" si="161"/>
        <v>0</v>
      </c>
      <c r="R417" s="505"/>
      <c r="S417" s="505"/>
      <c r="T417" s="505">
        <f t="shared" si="170"/>
        <v>0</v>
      </c>
      <c r="U417" s="29">
        <v>35000000</v>
      </c>
      <c r="V417" s="29"/>
      <c r="W417" s="29"/>
      <c r="X417" s="29"/>
      <c r="Y417" s="29"/>
      <c r="Z417" s="29"/>
      <c r="AA417" s="29"/>
      <c r="AB417" s="31"/>
      <c r="AC417" s="465"/>
      <c r="AD417" s="32"/>
      <c r="AE417" s="507"/>
      <c r="AF417" s="508"/>
      <c r="AG417" s="440"/>
      <c r="AH417" s="440">
        <v>2668914.9499999997</v>
      </c>
      <c r="AI417" s="5" t="s">
        <v>811</v>
      </c>
    </row>
    <row r="418" spans="1:35" s="112" customFormat="1" x14ac:dyDescent="0.2">
      <c r="A418" s="33"/>
      <c r="B418" s="57"/>
      <c r="C418" s="58" t="s">
        <v>81</v>
      </c>
      <c r="D418" s="505">
        <f>39880400-8177100</f>
        <v>31703300</v>
      </c>
      <c r="E418" s="511">
        <v>60000000</v>
      </c>
      <c r="F418" s="506"/>
      <c r="G418" s="506">
        <v>36758500</v>
      </c>
      <c r="H418" s="511"/>
      <c r="I418" s="511">
        <f t="shared" si="160"/>
        <v>36758500</v>
      </c>
      <c r="J418" s="511">
        <f t="shared" si="164"/>
        <v>23241500</v>
      </c>
      <c r="K418" s="52" t="e">
        <f>SUM(K419:K481)</f>
        <v>#REF!</v>
      </c>
      <c r="L418" s="53">
        <f>1181237.92-16825.48+21542063.39</f>
        <v>22706475.830000002</v>
      </c>
      <c r="M418" s="613" t="e">
        <f>SUM(M419:M481)</f>
        <v>#REF!</v>
      </c>
      <c r="N418" s="52">
        <v>17600000</v>
      </c>
      <c r="O418" s="505"/>
      <c r="P418" s="514"/>
      <c r="Q418" s="505">
        <f t="shared" si="161"/>
        <v>0</v>
      </c>
      <c r="R418" s="505"/>
      <c r="S418" s="505"/>
      <c r="T418" s="529">
        <f t="shared" si="170"/>
        <v>-150920.90999999992</v>
      </c>
      <c r="U418" s="52">
        <f>SUM(U419:U481)</f>
        <v>29701090000</v>
      </c>
      <c r="V418" s="52">
        <f>SUM(U418*105/100)</f>
        <v>31186144500</v>
      </c>
      <c r="W418" s="52">
        <v>29028900</v>
      </c>
      <c r="X418" s="52">
        <v>30480400</v>
      </c>
      <c r="Y418" s="52">
        <f>SUM(X418*5)</f>
        <v>152402000</v>
      </c>
      <c r="Z418" s="52">
        <f>SUM(X418*5)</f>
        <v>152402000</v>
      </c>
      <c r="AA418" s="52">
        <f>SUM(X418*3)</f>
        <v>91441200</v>
      </c>
      <c r="AB418" s="54">
        <v>17600000</v>
      </c>
      <c r="AC418" s="494">
        <v>0</v>
      </c>
      <c r="AD418" s="55">
        <v>17600000</v>
      </c>
      <c r="AE418" s="499">
        <v>17600000</v>
      </c>
      <c r="AF418" s="602"/>
      <c r="AG418" s="564"/>
      <c r="AH418" s="440">
        <v>36058708.950000003</v>
      </c>
    </row>
    <row r="419" spans="1:35" s="5" customFormat="1" x14ac:dyDescent="0.2">
      <c r="A419" s="33"/>
      <c r="B419" s="72" t="s">
        <v>157</v>
      </c>
      <c r="C419" s="125"/>
      <c r="D419" s="529">
        <f>SUM(D420:D422)</f>
        <v>1270000</v>
      </c>
      <c r="E419" s="531">
        <f>SUM(E420:E422)</f>
        <v>1920000</v>
      </c>
      <c r="F419" s="532">
        <v>1401100</v>
      </c>
      <c r="G419" s="532">
        <f>SUM(G420:G422)</f>
        <v>1401100</v>
      </c>
      <c r="H419" s="531">
        <f t="shared" ref="H419" si="172">SUM(H420:H422)</f>
        <v>0</v>
      </c>
      <c r="I419" s="531">
        <f t="shared" si="160"/>
        <v>1401100</v>
      </c>
      <c r="J419" s="531">
        <f t="shared" si="164"/>
        <v>518900</v>
      </c>
      <c r="K419" s="29">
        <v>170000</v>
      </c>
      <c r="L419" s="30"/>
      <c r="M419" s="611">
        <v>30000</v>
      </c>
      <c r="N419" s="29"/>
      <c r="O419" s="529">
        <f>17600000-16330000</f>
        <v>1270000</v>
      </c>
      <c r="P419" s="530"/>
      <c r="Q419" s="529">
        <f t="shared" si="161"/>
        <v>1270000</v>
      </c>
      <c r="R419" s="529">
        <v>1420920.91</v>
      </c>
      <c r="S419" s="529"/>
      <c r="T419" s="505">
        <f t="shared" si="170"/>
        <v>0</v>
      </c>
      <c r="U419" s="29">
        <v>30000</v>
      </c>
      <c r="V419" s="29"/>
      <c r="W419" s="29"/>
      <c r="X419" s="29"/>
      <c r="Y419" s="29"/>
      <c r="Z419" s="29"/>
      <c r="AA419" s="29"/>
      <c r="AB419" s="31"/>
      <c r="AC419" s="465"/>
      <c r="AD419" s="32"/>
      <c r="AE419" s="507"/>
      <c r="AF419" s="508"/>
      <c r="AG419" s="532">
        <v>1401100</v>
      </c>
      <c r="AH419" s="440"/>
    </row>
    <row r="420" spans="1:35" s="5" customFormat="1" x14ac:dyDescent="0.2">
      <c r="A420" s="33"/>
      <c r="B420" s="57"/>
      <c r="C420" s="58" t="s">
        <v>80</v>
      </c>
      <c r="D420" s="505">
        <v>170000</v>
      </c>
      <c r="E420" s="511">
        <v>170000</v>
      </c>
      <c r="F420" s="506"/>
      <c r="G420" s="506">
        <v>170000</v>
      </c>
      <c r="H420" s="511"/>
      <c r="I420" s="511">
        <f t="shared" si="160"/>
        <v>170000</v>
      </c>
      <c r="J420" s="511">
        <f t="shared" si="164"/>
        <v>0</v>
      </c>
      <c r="K420" s="29">
        <v>200000</v>
      </c>
      <c r="L420" s="30"/>
      <c r="M420" s="611">
        <v>250000</v>
      </c>
      <c r="N420" s="29"/>
      <c r="O420" s="505"/>
      <c r="P420" s="514"/>
      <c r="Q420" s="505">
        <f t="shared" si="161"/>
        <v>0</v>
      </c>
      <c r="R420" s="505"/>
      <c r="S420" s="505"/>
      <c r="T420" s="505">
        <f t="shared" si="170"/>
        <v>0</v>
      </c>
      <c r="U420" s="29">
        <v>250000</v>
      </c>
      <c r="V420" s="29"/>
      <c r="W420" s="29"/>
      <c r="X420" s="29"/>
      <c r="Y420" s="29"/>
      <c r="Z420" s="29"/>
      <c r="AA420" s="29"/>
      <c r="AB420" s="31"/>
      <c r="AC420" s="465"/>
      <c r="AD420" s="32"/>
      <c r="AE420" s="507"/>
      <c r="AF420" s="508"/>
      <c r="AG420" s="440">
        <f>+AG419-G419</f>
        <v>0</v>
      </c>
      <c r="AH420" s="440">
        <v>14489.400000000001</v>
      </c>
    </row>
    <row r="421" spans="1:35" s="5" customFormat="1" x14ac:dyDescent="0.2">
      <c r="A421" s="33"/>
      <c r="B421" s="57"/>
      <c r="C421" s="58" t="s">
        <v>42</v>
      </c>
      <c r="D421" s="505">
        <v>200000</v>
      </c>
      <c r="E421" s="511">
        <v>250000</v>
      </c>
      <c r="F421" s="506"/>
      <c r="G421" s="506">
        <v>200000</v>
      </c>
      <c r="H421" s="511"/>
      <c r="I421" s="511">
        <f t="shared" si="160"/>
        <v>200000</v>
      </c>
      <c r="J421" s="511">
        <f t="shared" si="164"/>
        <v>50000</v>
      </c>
      <c r="K421" s="29">
        <v>900000</v>
      </c>
      <c r="L421" s="30"/>
      <c r="M421" s="611">
        <v>1110000</v>
      </c>
      <c r="N421" s="29"/>
      <c r="O421" s="505"/>
      <c r="P421" s="514"/>
      <c r="Q421" s="505">
        <f t="shared" si="161"/>
        <v>0</v>
      </c>
      <c r="R421" s="505"/>
      <c r="S421" s="505"/>
      <c r="T421" s="505">
        <f t="shared" si="170"/>
        <v>0</v>
      </c>
      <c r="U421" s="29">
        <v>1050000</v>
      </c>
      <c r="V421" s="29"/>
      <c r="W421" s="29"/>
      <c r="X421" s="29"/>
      <c r="Y421" s="29"/>
      <c r="Z421" s="29"/>
      <c r="AA421" s="29"/>
      <c r="AB421" s="31"/>
      <c r="AC421" s="465"/>
      <c r="AD421" s="32"/>
      <c r="AE421" s="507"/>
      <c r="AF421" s="508"/>
      <c r="AH421" s="440">
        <v>137106.19999999995</v>
      </c>
    </row>
    <row r="422" spans="1:35" s="112" customFormat="1" x14ac:dyDescent="0.2">
      <c r="A422" s="101"/>
      <c r="B422" s="117"/>
      <c r="C422" s="118" t="s">
        <v>81</v>
      </c>
      <c r="D422" s="615">
        <v>900000</v>
      </c>
      <c r="E422" s="623">
        <v>1500000</v>
      </c>
      <c r="F422" s="624"/>
      <c r="G422" s="624">
        <v>1031100</v>
      </c>
      <c r="H422" s="623"/>
      <c r="I422" s="623">
        <f t="shared" si="160"/>
        <v>1031100</v>
      </c>
      <c r="J422" s="623">
        <f t="shared" si="164"/>
        <v>468900</v>
      </c>
      <c r="K422" s="52" t="e">
        <f>SUM(K423:K482)</f>
        <v>#REF!</v>
      </c>
      <c r="L422" s="53">
        <f>4882641.78-3064.68+49123709.05</f>
        <v>54003286.149999999</v>
      </c>
      <c r="M422" s="613" t="e">
        <f>SUM(M423:M482)</f>
        <v>#REF!</v>
      </c>
      <c r="N422" s="52">
        <v>52991300</v>
      </c>
      <c r="O422" s="505"/>
      <c r="P422" s="514"/>
      <c r="Q422" s="505">
        <f t="shared" si="161"/>
        <v>0</v>
      </c>
      <c r="R422" s="505"/>
      <c r="S422" s="505"/>
      <c r="T422" s="529">
        <f t="shared" si="170"/>
        <v>4906180.58</v>
      </c>
      <c r="U422" s="52">
        <f>SUM(U423:U482)</f>
        <v>14878880000</v>
      </c>
      <c r="V422" s="52">
        <f>SUM(U422*105/100)</f>
        <v>15622824000</v>
      </c>
      <c r="W422" s="52">
        <v>73481600</v>
      </c>
      <c r="X422" s="52">
        <v>73439700</v>
      </c>
      <c r="Y422" s="52">
        <f>SUM(X422*5)</f>
        <v>367198500</v>
      </c>
      <c r="Z422" s="52">
        <f>SUM(X422*5)</f>
        <v>367198500</v>
      </c>
      <c r="AA422" s="52">
        <f>SUM(X422*3)</f>
        <v>220319100</v>
      </c>
      <c r="AB422" s="54">
        <v>52991300</v>
      </c>
      <c r="AC422" s="494">
        <v>0</v>
      </c>
      <c r="AD422" s="55">
        <v>52991300</v>
      </c>
      <c r="AE422" s="499">
        <v>52991300</v>
      </c>
      <c r="AF422" s="602"/>
      <c r="AG422" s="564"/>
      <c r="AH422" s="440">
        <v>731105.03</v>
      </c>
    </row>
    <row r="423" spans="1:35" s="5" customFormat="1" x14ac:dyDescent="0.2">
      <c r="A423" s="276"/>
      <c r="B423" s="291" t="s">
        <v>107</v>
      </c>
      <c r="C423" s="292"/>
      <c r="D423" s="625">
        <f>SUM(D424:D426)</f>
        <v>9066000</v>
      </c>
      <c r="E423" s="626">
        <f>SUM(E424:E426)</f>
        <v>10220000</v>
      </c>
      <c r="F423" s="627">
        <v>8009400</v>
      </c>
      <c r="G423" s="627">
        <f>SUM(G424:G426)</f>
        <v>8009400</v>
      </c>
      <c r="H423" s="626">
        <f t="shared" ref="H423" si="173">SUM(H424:H426)</f>
        <v>0</v>
      </c>
      <c r="I423" s="626">
        <f t="shared" si="160"/>
        <v>8009400</v>
      </c>
      <c r="J423" s="626">
        <f t="shared" si="164"/>
        <v>2210600</v>
      </c>
      <c r="K423" s="29">
        <v>816000</v>
      </c>
      <c r="L423" s="30"/>
      <c r="M423" s="611">
        <v>350000</v>
      </c>
      <c r="N423" s="29"/>
      <c r="O423" s="529">
        <f>52991300-43925300</f>
        <v>9066000</v>
      </c>
      <c r="P423" s="530"/>
      <c r="Q423" s="529">
        <f t="shared" si="161"/>
        <v>9066000</v>
      </c>
      <c r="R423" s="529">
        <v>4159819.42</v>
      </c>
      <c r="S423" s="529"/>
      <c r="T423" s="505">
        <f t="shared" si="170"/>
        <v>0</v>
      </c>
      <c r="U423" s="29">
        <v>350000</v>
      </c>
      <c r="V423" s="29"/>
      <c r="W423" s="29"/>
      <c r="X423" s="29"/>
      <c r="Y423" s="29"/>
      <c r="Z423" s="29"/>
      <c r="AA423" s="29"/>
      <c r="AB423" s="31"/>
      <c r="AC423" s="465"/>
      <c r="AD423" s="32"/>
      <c r="AE423" s="507"/>
      <c r="AF423" s="508"/>
      <c r="AG423" s="627">
        <v>8009400</v>
      </c>
      <c r="AH423" s="440"/>
    </row>
    <row r="424" spans="1:35" s="5" customFormat="1" x14ac:dyDescent="0.2">
      <c r="A424" s="33"/>
      <c r="B424" s="57"/>
      <c r="C424" s="58" t="s">
        <v>80</v>
      </c>
      <c r="D424" s="505">
        <v>816000</v>
      </c>
      <c r="E424" s="511">
        <v>820000</v>
      </c>
      <c r="F424" s="506"/>
      <c r="G424" s="506">
        <v>700000</v>
      </c>
      <c r="H424" s="511"/>
      <c r="I424" s="511">
        <f t="shared" si="160"/>
        <v>700000</v>
      </c>
      <c r="J424" s="511">
        <f t="shared" si="164"/>
        <v>120000</v>
      </c>
      <c r="K424" s="29">
        <v>350000</v>
      </c>
      <c r="L424" s="30"/>
      <c r="M424" s="611">
        <v>350000</v>
      </c>
      <c r="N424" s="29"/>
      <c r="O424" s="505"/>
      <c r="P424" s="514"/>
      <c r="Q424" s="505">
        <f t="shared" si="161"/>
        <v>0</v>
      </c>
      <c r="R424" s="505"/>
      <c r="S424" s="505"/>
      <c r="T424" s="505">
        <f t="shared" si="170"/>
        <v>0</v>
      </c>
      <c r="U424" s="29">
        <v>400000</v>
      </c>
      <c r="V424" s="29"/>
      <c r="W424" s="29"/>
      <c r="X424" s="29"/>
      <c r="Y424" s="29"/>
      <c r="Z424" s="29"/>
      <c r="AA424" s="29"/>
      <c r="AB424" s="31"/>
      <c r="AC424" s="465"/>
      <c r="AD424" s="32"/>
      <c r="AE424" s="507"/>
      <c r="AF424" s="508"/>
      <c r="AG424" s="649">
        <f>+AG423-G423</f>
        <v>0</v>
      </c>
      <c r="AH424" s="440">
        <v>166013.88</v>
      </c>
      <c r="AI424" s="650"/>
    </row>
    <row r="425" spans="1:35" s="5" customFormat="1" x14ac:dyDescent="0.2">
      <c r="A425" s="33"/>
      <c r="B425" s="57"/>
      <c r="C425" s="58" t="s">
        <v>42</v>
      </c>
      <c r="D425" s="505">
        <v>350000</v>
      </c>
      <c r="E425" s="511">
        <v>400000</v>
      </c>
      <c r="F425" s="506"/>
      <c r="G425" s="506">
        <v>300000</v>
      </c>
      <c r="H425" s="511"/>
      <c r="I425" s="511">
        <f t="shared" si="160"/>
        <v>300000</v>
      </c>
      <c r="J425" s="511">
        <f t="shared" si="164"/>
        <v>100000</v>
      </c>
      <c r="K425" s="29">
        <v>7900000</v>
      </c>
      <c r="L425" s="30"/>
      <c r="M425" s="611">
        <v>15334300</v>
      </c>
      <c r="N425" s="29"/>
      <c r="O425" s="505"/>
      <c r="P425" s="514"/>
      <c r="Q425" s="505">
        <f t="shared" si="161"/>
        <v>0</v>
      </c>
      <c r="R425" s="505"/>
      <c r="S425" s="505"/>
      <c r="T425" s="505">
        <f t="shared" si="170"/>
        <v>0</v>
      </c>
      <c r="U425" s="29">
        <v>7900000</v>
      </c>
      <c r="V425" s="29"/>
      <c r="W425" s="29"/>
      <c r="X425" s="29"/>
      <c r="Y425" s="29"/>
      <c r="Z425" s="29"/>
      <c r="AA425" s="29"/>
      <c r="AB425" s="31"/>
      <c r="AC425" s="465"/>
      <c r="AD425" s="32"/>
      <c r="AE425" s="507"/>
      <c r="AF425" s="508"/>
      <c r="AG425" s="440"/>
      <c r="AH425" s="440">
        <v>70922.53</v>
      </c>
      <c r="AI425" s="650"/>
    </row>
    <row r="426" spans="1:35" s="112" customFormat="1" x14ac:dyDescent="0.2">
      <c r="A426" s="33"/>
      <c r="B426" s="57"/>
      <c r="C426" s="58" t="s">
        <v>81</v>
      </c>
      <c r="D426" s="505">
        <v>7900000</v>
      </c>
      <c r="E426" s="511">
        <v>9000000</v>
      </c>
      <c r="F426" s="506"/>
      <c r="G426" s="506">
        <v>7009400</v>
      </c>
      <c r="H426" s="511"/>
      <c r="I426" s="511">
        <f t="shared" si="160"/>
        <v>7009400</v>
      </c>
      <c r="J426" s="511">
        <f t="shared" si="164"/>
        <v>1990600</v>
      </c>
      <c r="K426" s="52" t="e">
        <f>SUM(K427:K483)</f>
        <v>#REF!</v>
      </c>
      <c r="L426" s="53">
        <f>11992307.04+26192562.31</f>
        <v>38184869.349999994</v>
      </c>
      <c r="M426" s="613" t="e">
        <f>SUM(M427:M483)</f>
        <v>#REF!</v>
      </c>
      <c r="N426" s="52">
        <v>39662800</v>
      </c>
      <c r="O426" s="505"/>
      <c r="P426" s="514"/>
      <c r="Q426" s="505">
        <f t="shared" si="161"/>
        <v>0</v>
      </c>
      <c r="R426" s="505"/>
      <c r="S426" s="505"/>
      <c r="T426" s="529">
        <f t="shared" si="170"/>
        <v>209472.25999999978</v>
      </c>
      <c r="U426" s="52">
        <f>SUM(U427:U483)</f>
        <v>7450115000</v>
      </c>
      <c r="V426" s="52">
        <f>SUM(U426*105/100)</f>
        <v>7822620750</v>
      </c>
      <c r="W426" s="52">
        <f>SUM(V426*105/100)</f>
        <v>8213751787.5</v>
      </c>
      <c r="X426" s="52">
        <v>52278400</v>
      </c>
      <c r="Y426" s="52">
        <f>SUM(X426*5)</f>
        <v>261392000</v>
      </c>
      <c r="Z426" s="52">
        <f>SUM(X426*5)</f>
        <v>261392000</v>
      </c>
      <c r="AA426" s="52">
        <f>SUM(X426*3)</f>
        <v>156835200</v>
      </c>
      <c r="AB426" s="54">
        <v>39662800</v>
      </c>
      <c r="AC426" s="494">
        <v>0</v>
      </c>
      <c r="AD426" s="55">
        <v>39662800</v>
      </c>
      <c r="AE426" s="499">
        <v>39662800</v>
      </c>
      <c r="AF426" s="602"/>
      <c r="AG426" s="564"/>
      <c r="AH426" s="440">
        <v>3718971.14</v>
      </c>
      <c r="AI426" s="650"/>
    </row>
    <row r="427" spans="1:35" s="5" customFormat="1" x14ac:dyDescent="0.2">
      <c r="A427" s="33"/>
      <c r="B427" s="72" t="s">
        <v>108</v>
      </c>
      <c r="C427" s="125"/>
      <c r="D427" s="529">
        <f>SUM(D428:D430)</f>
        <v>15110000</v>
      </c>
      <c r="E427" s="531">
        <f>SUM(E428:E430)</f>
        <v>15110000</v>
      </c>
      <c r="F427" s="532">
        <v>12997500</v>
      </c>
      <c r="G427" s="532">
        <f>SUM(G428:G430)</f>
        <v>12997500</v>
      </c>
      <c r="H427" s="531">
        <f t="shared" ref="H427" si="174">SUM(H428:H430)</f>
        <v>0</v>
      </c>
      <c r="I427" s="531">
        <f t="shared" si="160"/>
        <v>12997500</v>
      </c>
      <c r="J427" s="531">
        <f t="shared" si="164"/>
        <v>2112500</v>
      </c>
      <c r="K427" s="29">
        <v>100000</v>
      </c>
      <c r="L427" s="30"/>
      <c r="M427" s="611">
        <v>150000</v>
      </c>
      <c r="N427" s="29"/>
      <c r="O427" s="529">
        <f>39662800-24552800</f>
        <v>15110000</v>
      </c>
      <c r="P427" s="530"/>
      <c r="Q427" s="529">
        <f t="shared" si="161"/>
        <v>15110000</v>
      </c>
      <c r="R427" s="529">
        <v>14900527.74</v>
      </c>
      <c r="S427" s="529"/>
      <c r="T427" s="505">
        <f t="shared" si="170"/>
        <v>0</v>
      </c>
      <c r="U427" s="29">
        <v>150000</v>
      </c>
      <c r="V427" s="29"/>
      <c r="W427" s="29"/>
      <c r="X427" s="29"/>
      <c r="Y427" s="29"/>
      <c r="Z427" s="29"/>
      <c r="AA427" s="29"/>
      <c r="AB427" s="31"/>
      <c r="AC427" s="465"/>
      <c r="AD427" s="32"/>
      <c r="AE427" s="507"/>
      <c r="AF427" s="508"/>
      <c r="AG427" s="414">
        <v>12997500</v>
      </c>
      <c r="AH427" s="440"/>
      <c r="AI427" s="650"/>
    </row>
    <row r="428" spans="1:35" s="5" customFormat="1" x14ac:dyDescent="0.35">
      <c r="A428" s="33"/>
      <c r="B428" s="57"/>
      <c r="C428" s="58" t="s">
        <v>80</v>
      </c>
      <c r="D428" s="505">
        <v>100000</v>
      </c>
      <c r="E428" s="511">
        <v>100000</v>
      </c>
      <c r="F428" s="506"/>
      <c r="G428" s="506">
        <v>86000</v>
      </c>
      <c r="H428" s="511"/>
      <c r="I428" s="511">
        <f t="shared" si="160"/>
        <v>86000</v>
      </c>
      <c r="J428" s="511">
        <f t="shared" si="164"/>
        <v>14000</v>
      </c>
      <c r="K428" s="29">
        <v>10000</v>
      </c>
      <c r="L428" s="30"/>
      <c r="M428" s="611">
        <v>0</v>
      </c>
      <c r="N428" s="29"/>
      <c r="O428" s="505"/>
      <c r="P428" s="514"/>
      <c r="Q428" s="505">
        <f t="shared" si="161"/>
        <v>0</v>
      </c>
      <c r="R428" s="505"/>
      <c r="S428" s="505"/>
      <c r="T428" s="505">
        <f t="shared" si="170"/>
        <v>0</v>
      </c>
      <c r="U428" s="29">
        <v>10000</v>
      </c>
      <c r="V428" s="29"/>
      <c r="W428" s="29"/>
      <c r="X428" s="29"/>
      <c r="Y428" s="29"/>
      <c r="Z428" s="29"/>
      <c r="AA428" s="29"/>
      <c r="AB428" s="31"/>
      <c r="AC428" s="465"/>
      <c r="AD428" s="32"/>
      <c r="AE428" s="507"/>
      <c r="AF428" s="508"/>
      <c r="AG428" s="440">
        <f>+G427-AG427</f>
        <v>0</v>
      </c>
      <c r="AH428" s="651">
        <v>86965</v>
      </c>
      <c r="AI428" s="650"/>
    </row>
    <row r="429" spans="1:35" s="5" customFormat="1" x14ac:dyDescent="0.2">
      <c r="A429" s="33"/>
      <c r="B429" s="57"/>
      <c r="C429" s="58" t="s">
        <v>42</v>
      </c>
      <c r="D429" s="505">
        <v>10000</v>
      </c>
      <c r="E429" s="511">
        <v>10000</v>
      </c>
      <c r="F429" s="506"/>
      <c r="G429" s="506">
        <v>8600</v>
      </c>
      <c r="H429" s="511"/>
      <c r="I429" s="511">
        <f t="shared" si="160"/>
        <v>8600</v>
      </c>
      <c r="J429" s="511">
        <f t="shared" si="164"/>
        <v>1400</v>
      </c>
      <c r="K429" s="29">
        <v>15000000</v>
      </c>
      <c r="L429" s="30"/>
      <c r="M429" s="611">
        <v>15000000</v>
      </c>
      <c r="N429" s="29"/>
      <c r="O429" s="505"/>
      <c r="P429" s="514"/>
      <c r="Q429" s="505">
        <f t="shared" si="161"/>
        <v>0</v>
      </c>
      <c r="R429" s="505"/>
      <c r="S429" s="505"/>
      <c r="T429" s="505">
        <f t="shared" si="170"/>
        <v>0</v>
      </c>
      <c r="U429" s="29">
        <v>15000000</v>
      </c>
      <c r="V429" s="29"/>
      <c r="W429" s="29"/>
      <c r="X429" s="29"/>
      <c r="Y429" s="29"/>
      <c r="Z429" s="29"/>
      <c r="AA429" s="29"/>
      <c r="AB429" s="31"/>
      <c r="AC429" s="465"/>
      <c r="AD429" s="32"/>
      <c r="AE429" s="507"/>
      <c r="AF429" s="508"/>
      <c r="AG429" s="440"/>
      <c r="AH429" s="440">
        <v>5000</v>
      </c>
      <c r="AI429" s="650"/>
    </row>
    <row r="430" spans="1:35" s="112" customFormat="1" x14ac:dyDescent="0.2">
      <c r="A430" s="33"/>
      <c r="B430" s="57"/>
      <c r="C430" s="58" t="s">
        <v>81</v>
      </c>
      <c r="D430" s="505">
        <v>15000000</v>
      </c>
      <c r="E430" s="511">
        <v>15000000</v>
      </c>
      <c r="F430" s="506"/>
      <c r="G430" s="506">
        <v>12902900</v>
      </c>
      <c r="H430" s="511"/>
      <c r="I430" s="511">
        <f t="shared" si="160"/>
        <v>12902900</v>
      </c>
      <c r="J430" s="511">
        <f t="shared" si="164"/>
        <v>2097100</v>
      </c>
      <c r="K430" s="80">
        <f>SUM(K431:K432)</f>
        <v>5500000</v>
      </c>
      <c r="L430" s="99">
        <f>5677119.79-387851.45</f>
        <v>5289268.34</v>
      </c>
      <c r="M430" s="619">
        <f>SUM(M431:M432)</f>
        <v>9197000</v>
      </c>
      <c r="N430" s="80">
        <v>5500000</v>
      </c>
      <c r="O430" s="505"/>
      <c r="P430" s="514"/>
      <c r="Q430" s="505">
        <f t="shared" si="161"/>
        <v>0</v>
      </c>
      <c r="R430" s="505"/>
      <c r="S430" s="505"/>
      <c r="T430" s="529">
        <f t="shared" si="170"/>
        <v>190229.24000000022</v>
      </c>
      <c r="U430" s="80">
        <f>SUM(U431:U432)</f>
        <v>7797000</v>
      </c>
      <c r="V430" s="80">
        <v>8186900</v>
      </c>
      <c r="W430" s="80">
        <v>8596300</v>
      </c>
      <c r="X430" s="80">
        <v>8596300</v>
      </c>
      <c r="Y430" s="80">
        <f>SUM(X430*5)</f>
        <v>42981500</v>
      </c>
      <c r="Z430" s="80">
        <f>SUM(X430*5)</f>
        <v>42981500</v>
      </c>
      <c r="AA430" s="80">
        <f>SUM(X430*3)</f>
        <v>25788900</v>
      </c>
      <c r="AB430" s="81">
        <v>5500000</v>
      </c>
      <c r="AC430" s="516">
        <v>0</v>
      </c>
      <c r="AD430" s="82">
        <v>5500000</v>
      </c>
      <c r="AE430" s="641">
        <v>5500000</v>
      </c>
      <c r="AF430" s="642"/>
      <c r="AG430" s="564"/>
      <c r="AH430" s="440">
        <v>14308562.739999998</v>
      </c>
      <c r="AI430" s="650"/>
    </row>
    <row r="431" spans="1:35" s="5" customFormat="1" x14ac:dyDescent="0.2">
      <c r="A431" s="33"/>
      <c r="B431" s="72" t="s">
        <v>109</v>
      </c>
      <c r="C431" s="125"/>
      <c r="D431" s="529">
        <f>SUM(D432:D433)</f>
        <v>5500000</v>
      </c>
      <c r="E431" s="531">
        <f>SUM(E432:E433)</f>
        <v>11054000</v>
      </c>
      <c r="F431" s="532">
        <v>5500000</v>
      </c>
      <c r="G431" s="532">
        <f>SUM(G432:G433)</f>
        <v>5500000</v>
      </c>
      <c r="H431" s="531">
        <f t="shared" ref="H431" si="175">SUM(H432:H433)</f>
        <v>0</v>
      </c>
      <c r="I431" s="531">
        <f t="shared" si="160"/>
        <v>5500000</v>
      </c>
      <c r="J431" s="531">
        <f t="shared" si="164"/>
        <v>5554000</v>
      </c>
      <c r="K431" s="29">
        <v>5500000</v>
      </c>
      <c r="L431" s="30"/>
      <c r="M431" s="611">
        <v>8525000</v>
      </c>
      <c r="N431" s="29"/>
      <c r="O431" s="529">
        <v>5500000</v>
      </c>
      <c r="P431" s="530"/>
      <c r="Q431" s="529">
        <f t="shared" si="161"/>
        <v>5500000</v>
      </c>
      <c r="R431" s="529">
        <v>5309770.76</v>
      </c>
      <c r="S431" s="529"/>
      <c r="T431" s="505">
        <f t="shared" si="170"/>
        <v>0</v>
      </c>
      <c r="U431" s="29">
        <v>7125000</v>
      </c>
      <c r="V431" s="29"/>
      <c r="W431" s="29"/>
      <c r="X431" s="29"/>
      <c r="Y431" s="29"/>
      <c r="Z431" s="29"/>
      <c r="AA431" s="29"/>
      <c r="AB431" s="31"/>
      <c r="AC431" s="465"/>
      <c r="AD431" s="32"/>
      <c r="AE431" s="507"/>
      <c r="AF431" s="508"/>
      <c r="AG431" s="532">
        <v>5500000</v>
      </c>
      <c r="AH431" s="440"/>
    </row>
    <row r="432" spans="1:35" s="111" customFormat="1" x14ac:dyDescent="0.2">
      <c r="A432" s="33"/>
      <c r="B432" s="57"/>
      <c r="C432" s="58" t="s">
        <v>81</v>
      </c>
      <c r="D432" s="505">
        <v>5000000</v>
      </c>
      <c r="E432" s="511">
        <v>10404000</v>
      </c>
      <c r="F432" s="506"/>
      <c r="G432" s="506">
        <v>5000000</v>
      </c>
      <c r="H432" s="511"/>
      <c r="I432" s="511">
        <f t="shared" si="160"/>
        <v>5000000</v>
      </c>
      <c r="J432" s="511">
        <f t="shared" si="164"/>
        <v>5404000</v>
      </c>
      <c r="K432" s="29">
        <v>0</v>
      </c>
      <c r="L432" s="30"/>
      <c r="M432" s="611">
        <v>672000</v>
      </c>
      <c r="N432" s="29"/>
      <c r="O432" s="505"/>
      <c r="P432" s="514"/>
      <c r="Q432" s="505">
        <f t="shared" si="161"/>
        <v>0</v>
      </c>
      <c r="R432" s="505"/>
      <c r="S432" s="505"/>
      <c r="T432" s="502">
        <f t="shared" si="170"/>
        <v>0</v>
      </c>
      <c r="U432" s="29">
        <v>672000</v>
      </c>
      <c r="V432" s="29"/>
      <c r="W432" s="29"/>
      <c r="X432" s="29"/>
      <c r="Y432" s="29"/>
      <c r="Z432" s="29"/>
      <c r="AA432" s="29"/>
      <c r="AB432" s="31"/>
      <c r="AC432" s="465"/>
      <c r="AD432" s="32"/>
      <c r="AE432" s="466"/>
      <c r="AF432" s="468"/>
      <c r="AG432" s="652">
        <f>+AG431-G431</f>
        <v>0</v>
      </c>
      <c r="AH432" s="652">
        <v>4245833.01</v>
      </c>
    </row>
    <row r="433" spans="1:34" x14ac:dyDescent="0.35">
      <c r="A433" s="33"/>
      <c r="B433" s="57"/>
      <c r="C433" s="58" t="s">
        <v>80</v>
      </c>
      <c r="D433" s="502">
        <v>500000</v>
      </c>
      <c r="E433" s="521">
        <v>650000</v>
      </c>
      <c r="F433" s="504"/>
      <c r="G433" s="504">
        <v>500000</v>
      </c>
      <c r="H433" s="521"/>
      <c r="I433" s="521">
        <f t="shared" si="160"/>
        <v>500000</v>
      </c>
      <c r="J433" s="521">
        <f t="shared" si="164"/>
        <v>150000</v>
      </c>
      <c r="K433" s="136">
        <f>+K717+K434</f>
        <v>103726701</v>
      </c>
      <c r="L433" s="137">
        <f>+L717+L434</f>
        <v>100819861.17</v>
      </c>
      <c r="M433" s="653">
        <f>+M717+M434</f>
        <v>103726703</v>
      </c>
      <c r="N433" s="137">
        <f>+N717+N434</f>
        <v>103726704</v>
      </c>
      <c r="O433" s="502"/>
      <c r="P433" s="503"/>
      <c r="Q433" s="502">
        <f t="shared" si="161"/>
        <v>0</v>
      </c>
      <c r="R433" s="502"/>
      <c r="S433" s="502"/>
      <c r="T433" s="654">
        <f t="shared" si="170"/>
        <v>0</v>
      </c>
      <c r="U433" s="654">
        <f>SUM(U434)</f>
        <v>76561600</v>
      </c>
      <c r="V433" s="654">
        <f t="shared" ref="V433:AF433" si="176">SUM(V434)</f>
        <v>80389700</v>
      </c>
      <c r="W433" s="654">
        <f t="shared" si="176"/>
        <v>84409200</v>
      </c>
      <c r="X433" s="654">
        <f t="shared" si="176"/>
        <v>88629700</v>
      </c>
      <c r="Y433" s="654">
        <f t="shared" si="176"/>
        <v>443148500</v>
      </c>
      <c r="Z433" s="654">
        <f t="shared" si="176"/>
        <v>443148500</v>
      </c>
      <c r="AA433" s="654">
        <f t="shared" si="176"/>
        <v>265889100</v>
      </c>
      <c r="AB433" s="654">
        <f t="shared" si="176"/>
        <v>74924900</v>
      </c>
      <c r="AC433" s="654">
        <f t="shared" si="176"/>
        <v>0</v>
      </c>
      <c r="AD433" s="654">
        <f t="shared" si="176"/>
        <v>74924900</v>
      </c>
      <c r="AE433" s="654">
        <f t="shared" si="176"/>
        <v>74924900</v>
      </c>
      <c r="AF433" s="654">
        <f t="shared" si="176"/>
        <v>0</v>
      </c>
      <c r="AH433" s="432">
        <v>958483.96</v>
      </c>
    </row>
    <row r="434" spans="1:34" x14ac:dyDescent="0.35">
      <c r="A434" s="20" t="s">
        <v>173</v>
      </c>
      <c r="B434" s="21"/>
      <c r="C434" s="22"/>
      <c r="D434" s="450">
        <f>SUM(D435)</f>
        <v>74924900</v>
      </c>
      <c r="E434" s="451">
        <f>SUM(E435)</f>
        <v>83726700</v>
      </c>
      <c r="F434" s="452">
        <v>62780200</v>
      </c>
      <c r="G434" s="452">
        <v>62780200</v>
      </c>
      <c r="H434" s="451">
        <f t="shared" ref="H434" si="177">SUM(H435)</f>
        <v>0</v>
      </c>
      <c r="I434" s="451">
        <f t="shared" si="160"/>
        <v>62780200</v>
      </c>
      <c r="J434" s="451">
        <f t="shared" si="164"/>
        <v>20946500</v>
      </c>
      <c r="K434" s="451">
        <f t="shared" ref="K434:S434" si="178">SUM(K435)</f>
        <v>83726701</v>
      </c>
      <c r="L434" s="451">
        <f t="shared" si="178"/>
        <v>83726702</v>
      </c>
      <c r="M434" s="451">
        <f t="shared" si="178"/>
        <v>83726703</v>
      </c>
      <c r="N434" s="451">
        <f t="shared" si="178"/>
        <v>83726704</v>
      </c>
      <c r="O434" s="450">
        <f t="shared" si="178"/>
        <v>69133800</v>
      </c>
      <c r="P434" s="450">
        <f t="shared" si="178"/>
        <v>0</v>
      </c>
      <c r="Q434" s="450">
        <f t="shared" si="161"/>
        <v>69133800</v>
      </c>
      <c r="R434" s="450">
        <f t="shared" si="178"/>
        <v>69133800</v>
      </c>
      <c r="S434" s="450">
        <f t="shared" si="178"/>
        <v>0</v>
      </c>
      <c r="T434" s="462">
        <f t="shared" si="170"/>
        <v>0</v>
      </c>
      <c r="U434" s="52">
        <v>76561600</v>
      </c>
      <c r="V434" s="52">
        <v>80389700</v>
      </c>
      <c r="W434" s="52">
        <v>84409200</v>
      </c>
      <c r="X434" s="52">
        <v>88629700</v>
      </c>
      <c r="Y434" s="52">
        <f>SUM(X434*5)</f>
        <v>443148500</v>
      </c>
      <c r="Z434" s="52">
        <f>SUM(X434*5)</f>
        <v>443148500</v>
      </c>
      <c r="AA434" s="52">
        <f>SUM(X434*3)</f>
        <v>265889100</v>
      </c>
      <c r="AB434" s="54">
        <v>74924900</v>
      </c>
      <c r="AC434" s="494">
        <v>0</v>
      </c>
      <c r="AD434" s="55">
        <v>74924900</v>
      </c>
      <c r="AE434" s="462">
        <v>74924900</v>
      </c>
      <c r="AF434" s="496"/>
    </row>
    <row r="435" spans="1:34" x14ac:dyDescent="0.35">
      <c r="A435" s="134"/>
      <c r="B435" s="72" t="s">
        <v>201</v>
      </c>
      <c r="C435" s="125"/>
      <c r="D435" s="462">
        <v>74924900</v>
      </c>
      <c r="E435" s="463">
        <v>83726700</v>
      </c>
      <c r="F435" s="464">
        <v>62780200</v>
      </c>
      <c r="G435" s="464">
        <v>62780200</v>
      </c>
      <c r="H435" s="463"/>
      <c r="I435" s="463">
        <f t="shared" si="160"/>
        <v>62780200</v>
      </c>
      <c r="J435" s="463">
        <f t="shared" si="164"/>
        <v>20946500</v>
      </c>
      <c r="K435" s="463">
        <v>83726701</v>
      </c>
      <c r="L435" s="463">
        <v>83726702</v>
      </c>
      <c r="M435" s="463">
        <v>83726703</v>
      </c>
      <c r="N435" s="463">
        <v>83726704</v>
      </c>
      <c r="O435" s="462">
        <v>69133800</v>
      </c>
      <c r="P435" s="462"/>
      <c r="Q435" s="462">
        <f t="shared" si="161"/>
        <v>69133800</v>
      </c>
      <c r="R435" s="462">
        <v>69133800</v>
      </c>
      <c r="S435" s="462"/>
      <c r="T435" s="655">
        <f t="shared" si="170"/>
        <v>51253881.619999997</v>
      </c>
      <c r="U435" s="655">
        <f>SUM(U436+U447+U453+U454+U455+U456+U457+U459)</f>
        <v>145483500</v>
      </c>
      <c r="V435" s="655">
        <f t="shared" ref="V435:AF435" si="179">SUM(V436+V447+V453+V454+V455+V456+V457+V459)</f>
        <v>180625800</v>
      </c>
      <c r="W435" s="655">
        <f t="shared" si="179"/>
        <v>188107200</v>
      </c>
      <c r="X435" s="655">
        <f t="shared" si="179"/>
        <v>147598400</v>
      </c>
      <c r="Y435" s="655">
        <f t="shared" si="179"/>
        <v>737992000</v>
      </c>
      <c r="Z435" s="655">
        <f t="shared" si="179"/>
        <v>737992000</v>
      </c>
      <c r="AA435" s="655">
        <f t="shared" si="179"/>
        <v>442795200</v>
      </c>
      <c r="AB435" s="655">
        <f t="shared" si="179"/>
        <v>137419100</v>
      </c>
      <c r="AC435" s="655">
        <f t="shared" si="179"/>
        <v>16258300</v>
      </c>
      <c r="AD435" s="655">
        <f t="shared" si="179"/>
        <v>121160800</v>
      </c>
      <c r="AE435" s="655">
        <f t="shared" si="179"/>
        <v>98211200</v>
      </c>
      <c r="AF435" s="655">
        <f t="shared" si="179"/>
        <v>15000000</v>
      </c>
    </row>
    <row r="436" spans="1:34" x14ac:dyDescent="0.35">
      <c r="A436" s="20" t="s">
        <v>174</v>
      </c>
      <c r="B436" s="21"/>
      <c r="C436" s="22"/>
      <c r="D436" s="450">
        <f>SUM(D437+D448+D454+D455+D456+D457+D458+D460)</f>
        <v>107160800</v>
      </c>
      <c r="E436" s="451">
        <f>SUM(E437+E448+E454+E455+E456+E457+E458+E460+E461)</f>
        <v>188999500</v>
      </c>
      <c r="F436" s="452">
        <f>SUM(F437,F448,F454,F455,F456,F457,F458,F460,F461)</f>
        <v>85347300</v>
      </c>
      <c r="G436" s="452">
        <f>SUM(G437,G448,G454,G455,G456,G457,G458,G460,G461)</f>
        <v>85347300</v>
      </c>
      <c r="H436" s="451">
        <f t="shared" ref="H436" si="180">SUM(H437+H448+H454+H455+H456+H457+H458+H460+H461)</f>
        <v>0</v>
      </c>
      <c r="I436" s="451">
        <f t="shared" si="160"/>
        <v>85347300</v>
      </c>
      <c r="J436" s="451">
        <f t="shared" si="164"/>
        <v>103652200</v>
      </c>
      <c r="K436" s="451">
        <f t="shared" ref="K436:N436" si="181">SUM(K437+K448+K454+K455+K456+K457+K458+K460+K461)</f>
        <v>39677400</v>
      </c>
      <c r="L436" s="451">
        <f t="shared" si="181"/>
        <v>2035638.69</v>
      </c>
      <c r="M436" s="451">
        <f t="shared" si="181"/>
        <v>80788600</v>
      </c>
      <c r="N436" s="451">
        <f t="shared" si="181"/>
        <v>18774800</v>
      </c>
      <c r="O436" s="450">
        <f>SUM(O437+O448+O454+O455+O456+O457+O458+O460+O462)</f>
        <v>82455100</v>
      </c>
      <c r="P436" s="450">
        <f t="shared" ref="P436:S436" si="182">SUM(P437+P448+P454+P455+P456+P457+P458+P460+P462)</f>
        <v>700000</v>
      </c>
      <c r="Q436" s="450">
        <f t="shared" si="161"/>
        <v>81755100</v>
      </c>
      <c r="R436" s="450">
        <f t="shared" si="182"/>
        <v>30501218.380000003</v>
      </c>
      <c r="S436" s="450">
        <f t="shared" si="182"/>
        <v>0</v>
      </c>
      <c r="T436" s="462">
        <f t="shared" si="170"/>
        <v>20948303.91</v>
      </c>
      <c r="U436" s="52">
        <f>SUM(U445:U445)</f>
        <v>7897900</v>
      </c>
      <c r="V436" s="52">
        <v>37710900</v>
      </c>
      <c r="W436" s="52">
        <v>39596500</v>
      </c>
      <c r="X436" s="52">
        <v>41576400</v>
      </c>
      <c r="Y436" s="52">
        <f>SUM(X436*5)</f>
        <v>207882000</v>
      </c>
      <c r="Z436" s="52">
        <f>SUM(X436*5)</f>
        <v>207882000</v>
      </c>
      <c r="AA436" s="52">
        <f>SUM(X436*3)</f>
        <v>124729200</v>
      </c>
      <c r="AB436" s="54">
        <v>33932800</v>
      </c>
      <c r="AC436" s="494">
        <v>8483200</v>
      </c>
      <c r="AD436" s="55">
        <v>25449600</v>
      </c>
      <c r="AE436" s="462">
        <f>SUM(AE445:AE445)</f>
        <v>2500000</v>
      </c>
      <c r="AF436" s="496">
        <f>SUM(AF445:AF445)</f>
        <v>0</v>
      </c>
    </row>
    <row r="437" spans="1:34" x14ac:dyDescent="0.35">
      <c r="A437" s="134"/>
      <c r="B437" s="72" t="s">
        <v>202</v>
      </c>
      <c r="C437" s="125"/>
      <c r="D437" s="462">
        <f>SUM(D446:D446)</f>
        <v>25449600</v>
      </c>
      <c r="E437" s="463">
        <f>SUM(E438:E447)</f>
        <v>76562600</v>
      </c>
      <c r="F437" s="464">
        <f>SUM(F438:F447)</f>
        <v>40314500</v>
      </c>
      <c r="G437" s="464">
        <f>SUM(G438:G447)</f>
        <v>40314500</v>
      </c>
      <c r="H437" s="463">
        <f t="shared" ref="H437" si="183">SUM(H438:H447)</f>
        <v>0</v>
      </c>
      <c r="I437" s="463">
        <f t="shared" si="160"/>
        <v>40314500</v>
      </c>
      <c r="J437" s="463">
        <f t="shared" si="164"/>
        <v>36248100</v>
      </c>
      <c r="K437" s="261"/>
      <c r="L437" s="262"/>
      <c r="M437" s="656"/>
      <c r="N437" s="261"/>
      <c r="O437" s="462">
        <v>24858900</v>
      </c>
      <c r="P437" s="495"/>
      <c r="Q437" s="462">
        <f t="shared" si="161"/>
        <v>24858900</v>
      </c>
      <c r="R437" s="462">
        <f>470840+3439756.09</f>
        <v>3910596.09</v>
      </c>
      <c r="S437" s="462"/>
      <c r="T437" s="657"/>
      <c r="U437" s="106"/>
      <c r="V437" s="106"/>
      <c r="W437" s="106"/>
      <c r="X437" s="106"/>
      <c r="Y437" s="106"/>
      <c r="Z437" s="106"/>
      <c r="AA437" s="106"/>
      <c r="AB437" s="108"/>
      <c r="AC437" s="544"/>
      <c r="AD437" s="109"/>
      <c r="AE437" s="546"/>
      <c r="AF437" s="547"/>
    </row>
    <row r="438" spans="1:34" x14ac:dyDescent="0.35">
      <c r="A438" s="134"/>
      <c r="B438" s="72"/>
      <c r="C438" s="127" t="s">
        <v>115</v>
      </c>
      <c r="D438" s="462"/>
      <c r="E438" s="469">
        <v>5118000</v>
      </c>
      <c r="F438" s="470">
        <v>0</v>
      </c>
      <c r="G438" s="470">
        <v>0</v>
      </c>
      <c r="H438" s="469"/>
      <c r="I438" s="469">
        <f t="shared" si="160"/>
        <v>0</v>
      </c>
      <c r="J438" s="469">
        <f t="shared" si="164"/>
        <v>5118000</v>
      </c>
      <c r="K438" s="261"/>
      <c r="L438" s="262"/>
      <c r="M438" s="656"/>
      <c r="N438" s="261"/>
      <c r="O438" s="546"/>
      <c r="P438" s="658"/>
      <c r="Q438" s="546">
        <f t="shared" si="161"/>
        <v>0</v>
      </c>
      <c r="R438" s="546"/>
      <c r="S438" s="546"/>
      <c r="T438" s="657"/>
      <c r="U438" s="106"/>
      <c r="V438" s="106"/>
      <c r="W438" s="106"/>
      <c r="X438" s="106"/>
      <c r="Y438" s="106"/>
      <c r="Z438" s="106"/>
      <c r="AA438" s="106"/>
      <c r="AB438" s="108"/>
      <c r="AC438" s="544"/>
      <c r="AD438" s="109"/>
      <c r="AE438" s="546"/>
      <c r="AF438" s="547"/>
    </row>
    <row r="439" spans="1:34" x14ac:dyDescent="0.35">
      <c r="A439" s="134"/>
      <c r="B439" s="72"/>
      <c r="C439" s="127" t="s">
        <v>69</v>
      </c>
      <c r="D439" s="462"/>
      <c r="E439" s="469">
        <v>250000</v>
      </c>
      <c r="F439" s="470">
        <v>0</v>
      </c>
      <c r="G439" s="470">
        <v>0</v>
      </c>
      <c r="H439" s="469"/>
      <c r="I439" s="469">
        <f t="shared" si="160"/>
        <v>0</v>
      </c>
      <c r="J439" s="469">
        <f t="shared" si="164"/>
        <v>250000</v>
      </c>
      <c r="K439" s="261"/>
      <c r="L439" s="262"/>
      <c r="M439" s="656"/>
      <c r="N439" s="261"/>
      <c r="O439" s="546"/>
      <c r="P439" s="658"/>
      <c r="Q439" s="546">
        <f t="shared" si="161"/>
        <v>0</v>
      </c>
      <c r="R439" s="546"/>
      <c r="S439" s="546"/>
      <c r="T439" s="657"/>
      <c r="U439" s="106"/>
      <c r="V439" s="106"/>
      <c r="W439" s="106"/>
      <c r="X439" s="106"/>
      <c r="Y439" s="106"/>
      <c r="Z439" s="106"/>
      <c r="AA439" s="106"/>
      <c r="AB439" s="108"/>
      <c r="AC439" s="544"/>
      <c r="AD439" s="109"/>
      <c r="AE439" s="546"/>
      <c r="AF439" s="547"/>
    </row>
    <row r="440" spans="1:34" x14ac:dyDescent="0.35">
      <c r="A440" s="134"/>
      <c r="B440" s="72"/>
      <c r="C440" s="127" t="s">
        <v>264</v>
      </c>
      <c r="D440" s="462"/>
      <c r="E440" s="469">
        <v>3639200</v>
      </c>
      <c r="F440" s="470">
        <v>0</v>
      </c>
      <c r="G440" s="470">
        <v>0</v>
      </c>
      <c r="H440" s="469"/>
      <c r="I440" s="469">
        <f t="shared" si="160"/>
        <v>0</v>
      </c>
      <c r="J440" s="469">
        <f t="shared" si="164"/>
        <v>3639200</v>
      </c>
      <c r="K440" s="261"/>
      <c r="L440" s="262"/>
      <c r="M440" s="656"/>
      <c r="N440" s="261"/>
      <c r="O440" s="546"/>
      <c r="P440" s="658"/>
      <c r="Q440" s="546">
        <f t="shared" si="161"/>
        <v>0</v>
      </c>
      <c r="R440" s="546"/>
      <c r="S440" s="546"/>
      <c r="T440" s="657"/>
      <c r="U440" s="106"/>
      <c r="V440" s="106"/>
      <c r="W440" s="106"/>
      <c r="X440" s="106"/>
      <c r="Y440" s="106"/>
      <c r="Z440" s="106"/>
      <c r="AA440" s="106"/>
      <c r="AB440" s="108"/>
      <c r="AC440" s="544"/>
      <c r="AD440" s="109"/>
      <c r="AE440" s="546"/>
      <c r="AF440" s="547"/>
    </row>
    <row r="441" spans="1:34" x14ac:dyDescent="0.35">
      <c r="A441" s="134"/>
      <c r="B441" s="72"/>
      <c r="C441" s="127" t="s">
        <v>262</v>
      </c>
      <c r="D441" s="462"/>
      <c r="E441" s="659">
        <v>1144600</v>
      </c>
      <c r="F441" s="660">
        <v>0</v>
      </c>
      <c r="G441" s="660">
        <v>0</v>
      </c>
      <c r="H441" s="659"/>
      <c r="I441" s="659">
        <f t="shared" si="160"/>
        <v>0</v>
      </c>
      <c r="J441" s="659">
        <f t="shared" si="164"/>
        <v>1144600</v>
      </c>
      <c r="K441" s="261"/>
      <c r="L441" s="262"/>
      <c r="M441" s="656"/>
      <c r="N441" s="261"/>
      <c r="O441" s="546"/>
      <c r="P441" s="658"/>
      <c r="Q441" s="546">
        <f t="shared" si="161"/>
        <v>0</v>
      </c>
      <c r="R441" s="546"/>
      <c r="S441" s="546"/>
      <c r="T441" s="657"/>
      <c r="U441" s="106"/>
      <c r="V441" s="106"/>
      <c r="W441" s="106"/>
      <c r="X441" s="106"/>
      <c r="Y441" s="106"/>
      <c r="Z441" s="106"/>
      <c r="AA441" s="106"/>
      <c r="AB441" s="108"/>
      <c r="AC441" s="544"/>
      <c r="AD441" s="109"/>
      <c r="AE441" s="546"/>
      <c r="AF441" s="547"/>
    </row>
    <row r="442" spans="1:34" x14ac:dyDescent="0.35">
      <c r="A442" s="134"/>
      <c r="B442" s="72"/>
      <c r="C442" s="127" t="s">
        <v>217</v>
      </c>
      <c r="D442" s="462"/>
      <c r="E442" s="469">
        <v>3983200</v>
      </c>
      <c r="F442" s="470">
        <v>0</v>
      </c>
      <c r="G442" s="470">
        <v>0</v>
      </c>
      <c r="H442" s="469"/>
      <c r="I442" s="469">
        <f t="shared" si="160"/>
        <v>0</v>
      </c>
      <c r="J442" s="469">
        <f t="shared" si="164"/>
        <v>3983200</v>
      </c>
      <c r="K442" s="261"/>
      <c r="L442" s="262"/>
      <c r="M442" s="656"/>
      <c r="N442" s="261"/>
      <c r="O442" s="546"/>
      <c r="P442" s="658"/>
      <c r="Q442" s="546">
        <f t="shared" si="161"/>
        <v>0</v>
      </c>
      <c r="R442" s="546"/>
      <c r="S442" s="546"/>
      <c r="T442" s="657"/>
      <c r="U442" s="106"/>
      <c r="V442" s="106"/>
      <c r="W442" s="106"/>
      <c r="X442" s="106"/>
      <c r="Y442" s="106"/>
      <c r="Z442" s="106"/>
      <c r="AA442" s="106"/>
      <c r="AB442" s="108"/>
      <c r="AC442" s="544"/>
      <c r="AD442" s="109"/>
      <c r="AE442" s="546"/>
      <c r="AF442" s="547"/>
    </row>
    <row r="443" spans="1:34" x14ac:dyDescent="0.35">
      <c r="A443" s="134"/>
      <c r="B443" s="72"/>
      <c r="C443" s="127" t="s">
        <v>216</v>
      </c>
      <c r="D443" s="462"/>
      <c r="E443" s="469">
        <v>3267600</v>
      </c>
      <c r="F443" s="470">
        <v>0</v>
      </c>
      <c r="G443" s="470">
        <v>0</v>
      </c>
      <c r="H443" s="469"/>
      <c r="I443" s="469">
        <f t="shared" si="160"/>
        <v>0</v>
      </c>
      <c r="J443" s="469">
        <f t="shared" si="164"/>
        <v>3267600</v>
      </c>
      <c r="K443" s="261"/>
      <c r="L443" s="262"/>
      <c r="M443" s="656"/>
      <c r="N443" s="261"/>
      <c r="O443" s="546"/>
      <c r="P443" s="658"/>
      <c r="Q443" s="546">
        <f t="shared" si="161"/>
        <v>0</v>
      </c>
      <c r="R443" s="546"/>
      <c r="S443" s="546"/>
      <c r="T443" s="657"/>
      <c r="U443" s="106"/>
      <c r="V443" s="106"/>
      <c r="W443" s="106"/>
      <c r="X443" s="106"/>
      <c r="Y443" s="106"/>
      <c r="Z443" s="106"/>
      <c r="AA443" s="106"/>
      <c r="AB443" s="108"/>
      <c r="AC443" s="544"/>
      <c r="AD443" s="109"/>
      <c r="AE443" s="546"/>
      <c r="AF443" s="547"/>
    </row>
    <row r="444" spans="1:34" x14ac:dyDescent="0.35">
      <c r="A444" s="134"/>
      <c r="B444" s="72"/>
      <c r="C444" s="127" t="s">
        <v>116</v>
      </c>
      <c r="D444" s="462"/>
      <c r="E444" s="469">
        <v>4090000</v>
      </c>
      <c r="F444" s="470">
        <v>0</v>
      </c>
      <c r="G444" s="470">
        <v>0</v>
      </c>
      <c r="H444" s="469"/>
      <c r="I444" s="469">
        <f t="shared" si="160"/>
        <v>0</v>
      </c>
      <c r="J444" s="469">
        <f t="shared" si="164"/>
        <v>4090000</v>
      </c>
      <c r="K444" s="261"/>
      <c r="L444" s="262"/>
      <c r="M444" s="656"/>
      <c r="N444" s="261"/>
      <c r="O444" s="546"/>
      <c r="P444" s="658"/>
      <c r="Q444" s="546">
        <f t="shared" si="161"/>
        <v>0</v>
      </c>
      <c r="R444" s="546"/>
      <c r="S444" s="546"/>
      <c r="T444" s="657"/>
      <c r="U444" s="106"/>
      <c r="V444" s="106"/>
      <c r="W444" s="106"/>
      <c r="X444" s="106"/>
      <c r="Y444" s="106"/>
      <c r="Z444" s="106"/>
      <c r="AA444" s="106"/>
      <c r="AB444" s="108"/>
      <c r="AC444" s="544"/>
      <c r="AD444" s="109"/>
      <c r="AE444" s="546"/>
      <c r="AF444" s="547"/>
    </row>
    <row r="445" spans="1:34" x14ac:dyDescent="0.35">
      <c r="A445" s="134"/>
      <c r="B445" s="72"/>
      <c r="C445" s="127" t="s">
        <v>70</v>
      </c>
      <c r="D445" s="462"/>
      <c r="E445" s="469">
        <v>2702000</v>
      </c>
      <c r="F445" s="470">
        <v>0</v>
      </c>
      <c r="G445" s="470">
        <v>0</v>
      </c>
      <c r="H445" s="469"/>
      <c r="I445" s="469">
        <f t="shared" si="160"/>
        <v>0</v>
      </c>
      <c r="J445" s="469">
        <f t="shared" si="164"/>
        <v>2702000</v>
      </c>
      <c r="K445" s="86">
        <v>950000</v>
      </c>
      <c r="L445" s="87">
        <v>1490044.4300000002</v>
      </c>
      <c r="M445" s="661">
        <v>3216100</v>
      </c>
      <c r="N445" s="86"/>
      <c r="O445" s="546"/>
      <c r="P445" s="658"/>
      <c r="Q445" s="546">
        <f t="shared" si="161"/>
        <v>0</v>
      </c>
      <c r="R445" s="546"/>
      <c r="S445" s="546"/>
      <c r="T445" s="662">
        <f>Q446-R446-S446</f>
        <v>0</v>
      </c>
      <c r="U445" s="86">
        <v>7897900</v>
      </c>
      <c r="V445" s="86"/>
      <c r="W445" s="86"/>
      <c r="X445" s="86"/>
      <c r="Y445" s="86"/>
      <c r="Z445" s="86"/>
      <c r="AA445" s="86"/>
      <c r="AB445" s="88"/>
      <c r="AC445" s="572"/>
      <c r="AD445" s="89">
        <v>2500000</v>
      </c>
      <c r="AE445" s="662">
        <v>2500000</v>
      </c>
      <c r="AF445" s="663"/>
    </row>
    <row r="446" spans="1:34" x14ac:dyDescent="0.35">
      <c r="A446" s="134"/>
      <c r="B446" s="139"/>
      <c r="C446" s="58" t="s">
        <v>263</v>
      </c>
      <c r="D446" s="507">
        <v>25449600</v>
      </c>
      <c r="E446" s="664">
        <v>4000000</v>
      </c>
      <c r="F446" s="660">
        <v>0</v>
      </c>
      <c r="G446" s="660">
        <v>0</v>
      </c>
      <c r="H446" s="664"/>
      <c r="I446" s="664">
        <f t="shared" si="160"/>
        <v>0</v>
      </c>
      <c r="J446" s="664">
        <f t="shared" si="164"/>
        <v>4000000</v>
      </c>
      <c r="K446" s="86"/>
      <c r="L446" s="87"/>
      <c r="M446" s="661"/>
      <c r="N446" s="86"/>
      <c r="O446" s="662"/>
      <c r="P446" s="665"/>
      <c r="Q446" s="662">
        <f t="shared" si="161"/>
        <v>0</v>
      </c>
      <c r="R446" s="662"/>
      <c r="S446" s="662"/>
      <c r="T446" s="662"/>
      <c r="U446" s="86"/>
      <c r="V446" s="86"/>
      <c r="W446" s="86"/>
      <c r="X446" s="86"/>
      <c r="Y446" s="86"/>
      <c r="Z446" s="86"/>
      <c r="AA446" s="86"/>
      <c r="AB446" s="88"/>
      <c r="AC446" s="572"/>
      <c r="AD446" s="89"/>
      <c r="AE446" s="662"/>
      <c r="AF446" s="663"/>
    </row>
    <row r="447" spans="1:34" x14ac:dyDescent="0.35">
      <c r="A447" s="134"/>
      <c r="B447" s="139"/>
      <c r="C447" s="58" t="s">
        <v>67</v>
      </c>
      <c r="D447" s="507"/>
      <c r="E447" s="664">
        <v>48368000</v>
      </c>
      <c r="F447" s="660">
        <v>40314500</v>
      </c>
      <c r="G447" s="660">
        <v>40314500</v>
      </c>
      <c r="H447" s="664"/>
      <c r="I447" s="664">
        <f t="shared" si="160"/>
        <v>40314500</v>
      </c>
      <c r="J447" s="664">
        <f t="shared" si="164"/>
        <v>8053500</v>
      </c>
      <c r="K447" s="52">
        <f>SUM(K448:K450)</f>
        <v>28635000</v>
      </c>
      <c r="L447" s="53">
        <v>27008738.239999998</v>
      </c>
      <c r="M447" s="600">
        <f>SUM(M448:M450)</f>
        <v>62876400</v>
      </c>
      <c r="N447" s="52">
        <v>30821400</v>
      </c>
      <c r="O447" s="662"/>
      <c r="P447" s="665"/>
      <c r="Q447" s="662">
        <f t="shared" si="161"/>
        <v>0</v>
      </c>
      <c r="R447" s="662"/>
      <c r="S447" s="662"/>
      <c r="T447" s="462">
        <f>Q448-R448-S448</f>
        <v>7371405.7199999988</v>
      </c>
      <c r="U447" s="52">
        <f>SUM(U448:U450)</f>
        <v>58385600</v>
      </c>
      <c r="V447" s="52">
        <v>61304900</v>
      </c>
      <c r="W447" s="52">
        <v>64370200</v>
      </c>
      <c r="X447" s="52">
        <v>67588700</v>
      </c>
      <c r="Y447" s="52">
        <f>SUM(X447*5)</f>
        <v>337943500</v>
      </c>
      <c r="Z447" s="52">
        <f>SUM(X447*5)</f>
        <v>337943500</v>
      </c>
      <c r="AA447" s="52">
        <f>SUM(X447*3)</f>
        <v>202766100</v>
      </c>
      <c r="AB447" s="54">
        <v>31100500</v>
      </c>
      <c r="AC447" s="494">
        <v>7775100</v>
      </c>
      <c r="AD447" s="55">
        <v>23325400</v>
      </c>
      <c r="AE447" s="462">
        <v>23325400</v>
      </c>
      <c r="AF447" s="496"/>
    </row>
    <row r="448" spans="1:34" x14ac:dyDescent="0.35">
      <c r="A448" s="134"/>
      <c r="B448" s="188" t="s">
        <v>203</v>
      </c>
      <c r="C448" s="35"/>
      <c r="D448" s="462">
        <f>SUM(D449:D451)</f>
        <v>24325400</v>
      </c>
      <c r="E448" s="463">
        <f>SUM(E449:E453)</f>
        <v>39782200</v>
      </c>
      <c r="F448" s="464">
        <f>SUM(F449:F453)</f>
        <v>11662700</v>
      </c>
      <c r="G448" s="464">
        <f>SUM(G449:G453)</f>
        <v>11662700</v>
      </c>
      <c r="H448" s="463">
        <f t="shared" ref="H448" si="184">SUM(H449:H453)</f>
        <v>0</v>
      </c>
      <c r="I448" s="463">
        <f t="shared" si="160"/>
        <v>11662700</v>
      </c>
      <c r="J448" s="463">
        <f t="shared" si="164"/>
        <v>28119500</v>
      </c>
      <c r="K448" s="29">
        <v>27355000</v>
      </c>
      <c r="L448" s="30"/>
      <c r="M448" s="666">
        <v>58028600</v>
      </c>
      <c r="N448" s="29"/>
      <c r="O448" s="462">
        <v>30821400</v>
      </c>
      <c r="P448" s="495"/>
      <c r="Q448" s="462">
        <f t="shared" si="161"/>
        <v>30821400</v>
      </c>
      <c r="R448" s="462">
        <v>23449994.280000001</v>
      </c>
      <c r="S448" s="462"/>
      <c r="T448" s="466">
        <f>Q449-R449-S449</f>
        <v>0</v>
      </c>
      <c r="U448" s="29">
        <v>54900900</v>
      </c>
      <c r="V448" s="29"/>
      <c r="W448" s="29"/>
      <c r="X448" s="29"/>
      <c r="Y448" s="29"/>
      <c r="Z448" s="29"/>
      <c r="AA448" s="29"/>
      <c r="AB448" s="31"/>
      <c r="AC448" s="465"/>
      <c r="AD448" s="32">
        <v>20945400</v>
      </c>
      <c r="AE448" s="466">
        <v>20945400</v>
      </c>
      <c r="AF448" s="468"/>
    </row>
    <row r="449" spans="1:34" x14ac:dyDescent="0.35">
      <c r="A449" s="134"/>
      <c r="B449" s="140"/>
      <c r="C449" s="127" t="s">
        <v>158</v>
      </c>
      <c r="D449" s="466">
        <v>20945400</v>
      </c>
      <c r="E449" s="469">
        <v>32755200</v>
      </c>
      <c r="F449" s="470">
        <v>10428500</v>
      </c>
      <c r="G449" s="470">
        <v>10428500</v>
      </c>
      <c r="H449" s="469"/>
      <c r="I449" s="469">
        <f t="shared" si="160"/>
        <v>10428500</v>
      </c>
      <c r="J449" s="469">
        <f t="shared" si="164"/>
        <v>22326700</v>
      </c>
      <c r="K449" s="29">
        <v>800000</v>
      </c>
      <c r="L449" s="30"/>
      <c r="M449" s="666">
        <v>3438600</v>
      </c>
      <c r="N449" s="29"/>
      <c r="O449" s="466"/>
      <c r="P449" s="467"/>
      <c r="Q449" s="466">
        <f t="shared" si="161"/>
        <v>0</v>
      </c>
      <c r="R449" s="466"/>
      <c r="S449" s="466"/>
      <c r="T449" s="466">
        <f>Q450-R450-S450</f>
        <v>0</v>
      </c>
      <c r="U449" s="29">
        <v>2980700</v>
      </c>
      <c r="V449" s="29"/>
      <c r="W449" s="29"/>
      <c r="X449" s="29"/>
      <c r="Y449" s="29"/>
      <c r="Z449" s="29"/>
      <c r="AA449" s="29"/>
      <c r="AB449" s="31"/>
      <c r="AC449" s="465"/>
      <c r="AD449" s="32">
        <v>2000000</v>
      </c>
      <c r="AE449" s="466">
        <v>2000000</v>
      </c>
      <c r="AF449" s="468"/>
    </row>
    <row r="450" spans="1:34" x14ac:dyDescent="0.35">
      <c r="A450" s="134"/>
      <c r="B450" s="140"/>
      <c r="C450" s="127" t="s">
        <v>261</v>
      </c>
      <c r="D450" s="466">
        <f>2000000+1000000</f>
        <v>3000000</v>
      </c>
      <c r="E450" s="469">
        <v>6300200</v>
      </c>
      <c r="F450" s="470">
        <v>1071000</v>
      </c>
      <c r="G450" s="470">
        <v>1071000</v>
      </c>
      <c r="H450" s="469"/>
      <c r="I450" s="469">
        <f t="shared" si="160"/>
        <v>1071000</v>
      </c>
      <c r="J450" s="469">
        <f t="shared" si="164"/>
        <v>5229200</v>
      </c>
      <c r="K450" s="29">
        <v>480000</v>
      </c>
      <c r="L450" s="30"/>
      <c r="M450" s="666">
        <v>1409200</v>
      </c>
      <c r="N450" s="29"/>
      <c r="O450" s="466"/>
      <c r="P450" s="467"/>
      <c r="Q450" s="466">
        <f t="shared" si="161"/>
        <v>0</v>
      </c>
      <c r="R450" s="466"/>
      <c r="S450" s="466"/>
      <c r="T450" s="466">
        <f>Q451-R451-S451</f>
        <v>0</v>
      </c>
      <c r="U450" s="29">
        <v>504000</v>
      </c>
      <c r="V450" s="29"/>
      <c r="W450" s="29"/>
      <c r="X450" s="29"/>
      <c r="Y450" s="29"/>
      <c r="Z450" s="29"/>
      <c r="AA450" s="29"/>
      <c r="AB450" s="31"/>
      <c r="AC450" s="465"/>
      <c r="AD450" s="32">
        <v>380000</v>
      </c>
      <c r="AE450" s="466">
        <v>380000</v>
      </c>
      <c r="AF450" s="468"/>
    </row>
    <row r="451" spans="1:34" x14ac:dyDescent="0.35">
      <c r="A451" s="134"/>
      <c r="B451" s="140"/>
      <c r="C451" s="127" t="s">
        <v>116</v>
      </c>
      <c r="D451" s="466">
        <v>380000</v>
      </c>
      <c r="E451" s="469">
        <v>380000</v>
      </c>
      <c r="F451" s="470">
        <v>28200</v>
      </c>
      <c r="G451" s="470">
        <v>28200</v>
      </c>
      <c r="H451" s="469"/>
      <c r="I451" s="469">
        <f t="shared" si="160"/>
        <v>28200</v>
      </c>
      <c r="J451" s="469">
        <f t="shared" si="164"/>
        <v>351800</v>
      </c>
      <c r="K451" s="29"/>
      <c r="L451" s="30"/>
      <c r="M451" s="666"/>
      <c r="N451" s="29"/>
      <c r="O451" s="466"/>
      <c r="P451" s="467"/>
      <c r="Q451" s="466">
        <f t="shared" si="161"/>
        <v>0</v>
      </c>
      <c r="R451" s="466"/>
      <c r="S451" s="466"/>
      <c r="T451" s="466"/>
      <c r="U451" s="29"/>
      <c r="V451" s="29"/>
      <c r="W451" s="29"/>
      <c r="X451" s="29"/>
      <c r="Y451" s="29"/>
      <c r="Z451" s="29"/>
      <c r="AA451" s="29"/>
      <c r="AB451" s="31"/>
      <c r="AC451" s="465"/>
      <c r="AD451" s="32"/>
      <c r="AE451" s="466"/>
      <c r="AF451" s="468"/>
    </row>
    <row r="452" spans="1:34" x14ac:dyDescent="0.35">
      <c r="A452" s="134"/>
      <c r="B452" s="140"/>
      <c r="C452" s="127" t="s">
        <v>269</v>
      </c>
      <c r="D452" s="466"/>
      <c r="E452" s="469">
        <v>263000</v>
      </c>
      <c r="F452" s="470">
        <v>100000</v>
      </c>
      <c r="G452" s="470">
        <v>100000</v>
      </c>
      <c r="H452" s="469"/>
      <c r="I452" s="469">
        <f t="shared" si="160"/>
        <v>100000</v>
      </c>
      <c r="J452" s="469">
        <f t="shared" si="164"/>
        <v>163000</v>
      </c>
      <c r="K452" s="29"/>
      <c r="L452" s="30"/>
      <c r="M452" s="666"/>
      <c r="N452" s="29"/>
      <c r="O452" s="466"/>
      <c r="P452" s="467"/>
      <c r="Q452" s="466">
        <f t="shared" si="161"/>
        <v>0</v>
      </c>
      <c r="R452" s="466"/>
      <c r="S452" s="466"/>
      <c r="T452" s="466"/>
      <c r="U452" s="29"/>
      <c r="V452" s="29"/>
      <c r="W452" s="29"/>
      <c r="X452" s="29"/>
      <c r="Y452" s="29"/>
      <c r="Z452" s="29"/>
      <c r="AA452" s="29"/>
      <c r="AB452" s="31"/>
      <c r="AC452" s="465"/>
      <c r="AD452" s="32"/>
      <c r="AE452" s="466"/>
      <c r="AF452" s="468"/>
    </row>
    <row r="453" spans="1:34" x14ac:dyDescent="0.35">
      <c r="A453" s="134"/>
      <c r="B453" s="140"/>
      <c r="C453" s="127" t="s">
        <v>268</v>
      </c>
      <c r="D453" s="466"/>
      <c r="E453" s="469">
        <v>83800</v>
      </c>
      <c r="F453" s="470">
        <v>35000</v>
      </c>
      <c r="G453" s="470">
        <v>35000</v>
      </c>
      <c r="H453" s="469"/>
      <c r="I453" s="469">
        <f t="shared" si="160"/>
        <v>35000</v>
      </c>
      <c r="J453" s="469">
        <f t="shared" si="164"/>
        <v>48800</v>
      </c>
      <c r="K453" s="52">
        <v>2000000</v>
      </c>
      <c r="L453" s="53">
        <v>3813597.1999999997</v>
      </c>
      <c r="M453" s="600">
        <v>5000000</v>
      </c>
      <c r="N453" s="52">
        <v>2000000</v>
      </c>
      <c r="O453" s="466"/>
      <c r="P453" s="467"/>
      <c r="Q453" s="466">
        <f t="shared" si="161"/>
        <v>0</v>
      </c>
      <c r="R453" s="466"/>
      <c r="S453" s="466"/>
      <c r="T453" s="462">
        <f t="shared" ref="T453:T459" si="185">Q454-R454-S454</f>
        <v>1022846</v>
      </c>
      <c r="U453" s="52">
        <v>2000000</v>
      </c>
      <c r="V453" s="52">
        <f>SUM(U453*105/100)</f>
        <v>2100000</v>
      </c>
      <c r="W453" s="52">
        <f>SUM(V453*105/100)</f>
        <v>2205000</v>
      </c>
      <c r="X453" s="52">
        <v>2315300</v>
      </c>
      <c r="Y453" s="52">
        <f>SUM(X453*5)</f>
        <v>11576500</v>
      </c>
      <c r="Z453" s="52">
        <f>SUM(X453*5)</f>
        <v>11576500</v>
      </c>
      <c r="AA453" s="52">
        <f>SUM(X453*3)</f>
        <v>6945900</v>
      </c>
      <c r="AB453" s="54">
        <v>2000000</v>
      </c>
      <c r="AC453" s="494">
        <v>0</v>
      </c>
      <c r="AD453" s="55">
        <v>2000000</v>
      </c>
      <c r="AE453" s="462">
        <v>2000000</v>
      </c>
      <c r="AF453" s="496"/>
    </row>
    <row r="454" spans="1:34" s="185" customFormat="1" x14ac:dyDescent="0.35">
      <c r="A454" s="134"/>
      <c r="B454" s="34" t="s">
        <v>204</v>
      </c>
      <c r="C454" s="35"/>
      <c r="D454" s="462">
        <v>2000000</v>
      </c>
      <c r="E454" s="463">
        <v>2000000</v>
      </c>
      <c r="F454" s="464">
        <v>2000000</v>
      </c>
      <c r="G454" s="464">
        <v>2000000</v>
      </c>
      <c r="H454" s="463"/>
      <c r="I454" s="463">
        <f t="shared" si="160"/>
        <v>2000000</v>
      </c>
      <c r="J454" s="463">
        <f t="shared" si="164"/>
        <v>0</v>
      </c>
      <c r="K454" s="29"/>
      <c r="L454" s="30"/>
      <c r="M454" s="600"/>
      <c r="N454" s="52"/>
      <c r="O454" s="462">
        <v>2000000</v>
      </c>
      <c r="P454" s="495"/>
      <c r="Q454" s="462">
        <f t="shared" si="161"/>
        <v>2000000</v>
      </c>
      <c r="R454" s="462">
        <v>977154</v>
      </c>
      <c r="S454" s="462"/>
      <c r="T454" s="462">
        <f t="shared" si="185"/>
        <v>0</v>
      </c>
      <c r="U454" s="52">
        <v>31000000</v>
      </c>
      <c r="V454" s="52">
        <v>31000000</v>
      </c>
      <c r="W454" s="52">
        <v>31000000</v>
      </c>
      <c r="X454" s="52"/>
      <c r="Y454" s="52"/>
      <c r="Z454" s="52"/>
      <c r="AA454" s="52"/>
      <c r="AB454" s="54">
        <v>31000000</v>
      </c>
      <c r="AC454" s="494">
        <v>0</v>
      </c>
      <c r="AD454" s="55">
        <v>31000000</v>
      </c>
      <c r="AE454" s="462">
        <v>31000000</v>
      </c>
      <c r="AF454" s="496"/>
      <c r="AG454" s="667"/>
      <c r="AH454" s="667"/>
    </row>
    <row r="455" spans="1:34" s="5" customFormat="1" x14ac:dyDescent="0.2">
      <c r="A455" s="134"/>
      <c r="B455" s="72" t="s">
        <v>207</v>
      </c>
      <c r="C455" s="95"/>
      <c r="D455" s="462">
        <v>31000000</v>
      </c>
      <c r="E455" s="463">
        <v>31000000</v>
      </c>
      <c r="F455" s="464">
        <v>29487300</v>
      </c>
      <c r="G455" s="464">
        <v>29487300</v>
      </c>
      <c r="H455" s="463"/>
      <c r="I455" s="463">
        <f t="shared" si="160"/>
        <v>29487300</v>
      </c>
      <c r="J455" s="463">
        <f t="shared" si="164"/>
        <v>1512700</v>
      </c>
      <c r="K455" s="52">
        <v>8322400</v>
      </c>
      <c r="L455" s="53">
        <v>1575738.69</v>
      </c>
      <c r="M455" s="494">
        <v>12000000</v>
      </c>
      <c r="N455" s="52">
        <v>10000000</v>
      </c>
      <c r="O455" s="462"/>
      <c r="P455" s="495"/>
      <c r="Q455" s="462">
        <f t="shared" si="161"/>
        <v>0</v>
      </c>
      <c r="R455" s="462"/>
      <c r="S455" s="462"/>
      <c r="T455" s="501">
        <f t="shared" si="185"/>
        <v>10000000</v>
      </c>
      <c r="U455" s="52">
        <v>30000000</v>
      </c>
      <c r="V455" s="52">
        <f>SUM(U455*105/100)</f>
        <v>31500000</v>
      </c>
      <c r="W455" s="52">
        <f t="shared" ref="W455:W457" si="186">SUM(V455*105/100)</f>
        <v>33075000</v>
      </c>
      <c r="X455" s="52">
        <v>17364400</v>
      </c>
      <c r="Y455" s="52">
        <f>SUM(X455*5)</f>
        <v>86822000</v>
      </c>
      <c r="Z455" s="52">
        <f>SUM(X455*5)</f>
        <v>86822000</v>
      </c>
      <c r="AA455" s="52">
        <f>SUM(X455*3)</f>
        <v>52093200</v>
      </c>
      <c r="AB455" s="54">
        <v>25948200</v>
      </c>
      <c r="AC455" s="494">
        <v>0</v>
      </c>
      <c r="AD455" s="55">
        <v>25948200</v>
      </c>
      <c r="AE455" s="462">
        <v>25948200</v>
      </c>
      <c r="AF455" s="496">
        <v>15000000</v>
      </c>
      <c r="AG455" s="440"/>
      <c r="AH455" s="440"/>
    </row>
    <row r="456" spans="1:34" ht="23.45" customHeight="1" x14ac:dyDescent="0.35">
      <c r="A456" s="33"/>
      <c r="B456" s="34" t="s">
        <v>205</v>
      </c>
      <c r="C456" s="103"/>
      <c r="D456" s="501">
        <v>10948200</v>
      </c>
      <c r="E456" s="525">
        <v>30000000</v>
      </c>
      <c r="F456" s="526">
        <v>0</v>
      </c>
      <c r="G456" s="526">
        <v>0</v>
      </c>
      <c r="H456" s="525"/>
      <c r="I456" s="525">
        <f t="shared" ref="I456:I923" si="187">+G456-H456</f>
        <v>0</v>
      </c>
      <c r="J456" s="525">
        <f t="shared" si="164"/>
        <v>30000000</v>
      </c>
      <c r="K456" s="52">
        <v>4000000</v>
      </c>
      <c r="L456" s="53">
        <v>459900</v>
      </c>
      <c r="M456" s="600">
        <v>4760000</v>
      </c>
      <c r="N456" s="52">
        <v>4000000</v>
      </c>
      <c r="O456" s="501">
        <v>10000000</v>
      </c>
      <c r="P456" s="524"/>
      <c r="Q456" s="501">
        <f t="shared" ref="Q456:Q923" si="188">+O456-P456</f>
        <v>10000000</v>
      </c>
      <c r="R456" s="501">
        <v>0</v>
      </c>
      <c r="S456" s="501"/>
      <c r="T456" s="462">
        <f t="shared" si="185"/>
        <v>1955570.99</v>
      </c>
      <c r="U456" s="52">
        <v>4200000</v>
      </c>
      <c r="V456" s="52">
        <f>SUM(U456*105/100)</f>
        <v>4410000</v>
      </c>
      <c r="W456" s="52">
        <f t="shared" si="186"/>
        <v>4630500</v>
      </c>
      <c r="X456" s="52">
        <v>4862000</v>
      </c>
      <c r="Y456" s="52">
        <f>SUM(X456*5)</f>
        <v>24310000</v>
      </c>
      <c r="Z456" s="52">
        <f>SUM(X456*5)</f>
        <v>24310000</v>
      </c>
      <c r="AA456" s="52">
        <f>SUM(X456*3)</f>
        <v>14586000</v>
      </c>
      <c r="AB456" s="54">
        <v>2000000</v>
      </c>
      <c r="AC456" s="494">
        <v>0</v>
      </c>
      <c r="AD456" s="55">
        <v>2000000</v>
      </c>
      <c r="AE456" s="462">
        <v>2000000</v>
      </c>
      <c r="AF456" s="496"/>
    </row>
    <row r="457" spans="1:34" x14ac:dyDescent="0.35">
      <c r="A457" s="134"/>
      <c r="B457" s="34" t="s">
        <v>812</v>
      </c>
      <c r="C457" s="35"/>
      <c r="D457" s="462">
        <v>2000000</v>
      </c>
      <c r="E457" s="463">
        <v>2000000</v>
      </c>
      <c r="F457" s="464">
        <v>500000</v>
      </c>
      <c r="G457" s="464">
        <v>500000</v>
      </c>
      <c r="H457" s="463"/>
      <c r="I457" s="463">
        <f t="shared" si="187"/>
        <v>500000</v>
      </c>
      <c r="J457" s="463">
        <f t="shared" si="164"/>
        <v>1500000</v>
      </c>
      <c r="K457" s="29">
        <v>0</v>
      </c>
      <c r="L457" s="30"/>
      <c r="M457" s="600">
        <v>6000000</v>
      </c>
      <c r="N457" s="52">
        <v>4774800</v>
      </c>
      <c r="O457" s="462">
        <v>2000000</v>
      </c>
      <c r="P457" s="495"/>
      <c r="Q457" s="462">
        <f t="shared" si="188"/>
        <v>2000000</v>
      </c>
      <c r="R457" s="462">
        <v>44429.01</v>
      </c>
      <c r="S457" s="462"/>
      <c r="T457" s="462">
        <f t="shared" si="185"/>
        <v>3850755</v>
      </c>
      <c r="U457" s="52">
        <v>5000000</v>
      </c>
      <c r="V457" s="52">
        <f>SUM(U457*105/100)</f>
        <v>5250000</v>
      </c>
      <c r="W457" s="52">
        <f t="shared" si="186"/>
        <v>5512500</v>
      </c>
      <c r="X457" s="52">
        <v>5788200</v>
      </c>
      <c r="Y457" s="52">
        <f>SUM(X457*5)</f>
        <v>28941000</v>
      </c>
      <c r="Z457" s="52">
        <f>SUM(X457*5)</f>
        <v>28941000</v>
      </c>
      <c r="AA457" s="52">
        <f>SUM(X457*3)</f>
        <v>17364600</v>
      </c>
      <c r="AB457" s="54">
        <v>4437600</v>
      </c>
      <c r="AC457" s="494">
        <v>0</v>
      </c>
      <c r="AD457" s="55">
        <v>4437600</v>
      </c>
      <c r="AE457" s="462">
        <v>4437600</v>
      </c>
      <c r="AF457" s="496"/>
    </row>
    <row r="458" spans="1:34" x14ac:dyDescent="0.35">
      <c r="A458" s="134"/>
      <c r="B458" s="263" t="s">
        <v>813</v>
      </c>
      <c r="C458" s="264"/>
      <c r="D458" s="462">
        <v>4437600</v>
      </c>
      <c r="E458" s="463">
        <v>5547700</v>
      </c>
      <c r="F458" s="464">
        <v>1005300</v>
      </c>
      <c r="G458" s="464">
        <v>1005300</v>
      </c>
      <c r="H458" s="463"/>
      <c r="I458" s="463">
        <f t="shared" si="187"/>
        <v>1005300</v>
      </c>
      <c r="J458" s="463">
        <f t="shared" si="164"/>
        <v>4542400</v>
      </c>
      <c r="K458" s="29"/>
      <c r="L458" s="30"/>
      <c r="M458" s="600"/>
      <c r="N458" s="52"/>
      <c r="O458" s="462">
        <v>4774800</v>
      </c>
      <c r="P458" s="495"/>
      <c r="Q458" s="462">
        <f t="shared" si="188"/>
        <v>4774800</v>
      </c>
      <c r="R458" s="462">
        <v>924045</v>
      </c>
      <c r="S458" s="462"/>
      <c r="T458" s="462">
        <f t="shared" si="185"/>
        <v>0</v>
      </c>
      <c r="U458" s="52"/>
      <c r="V458" s="52"/>
      <c r="W458" s="52"/>
      <c r="X458" s="52"/>
      <c r="Y458" s="52"/>
      <c r="Z458" s="52"/>
      <c r="AA458" s="52"/>
      <c r="AB458" s="54"/>
      <c r="AC458" s="494"/>
      <c r="AD458" s="55"/>
      <c r="AE458" s="462"/>
      <c r="AF458" s="496"/>
    </row>
    <row r="459" spans="1:34" s="112" customFormat="1" x14ac:dyDescent="0.2">
      <c r="A459" s="134"/>
      <c r="B459" s="293" t="s">
        <v>273</v>
      </c>
      <c r="C459" s="95"/>
      <c r="D459" s="462"/>
      <c r="E459" s="463"/>
      <c r="F459" s="464"/>
      <c r="G459" s="464"/>
      <c r="H459" s="463"/>
      <c r="I459" s="463">
        <f t="shared" si="187"/>
        <v>0</v>
      </c>
      <c r="J459" s="463">
        <f t="shared" si="164"/>
        <v>0</v>
      </c>
      <c r="K459" s="186">
        <v>0</v>
      </c>
      <c r="L459" s="99"/>
      <c r="M459" s="668">
        <v>7000000</v>
      </c>
      <c r="N459" s="80">
        <v>7000000</v>
      </c>
      <c r="O459" s="462"/>
      <c r="P459" s="495"/>
      <c r="Q459" s="462">
        <f t="shared" si="188"/>
        <v>0</v>
      </c>
      <c r="R459" s="462"/>
      <c r="S459" s="462"/>
      <c r="T459" s="517">
        <f t="shared" si="185"/>
        <v>6105000</v>
      </c>
      <c r="U459" s="80">
        <v>7000000</v>
      </c>
      <c r="V459" s="80">
        <f>SUM(U459*105/100)</f>
        <v>7350000</v>
      </c>
      <c r="W459" s="80">
        <f>SUM(V459*105/100)</f>
        <v>7717500</v>
      </c>
      <c r="X459" s="80">
        <v>8103400</v>
      </c>
      <c r="Y459" s="80">
        <f>SUM(X459*5)</f>
        <v>40517000</v>
      </c>
      <c r="Z459" s="80">
        <f>SUM(X459*5)</f>
        <v>40517000</v>
      </c>
      <c r="AA459" s="80">
        <f>SUM(X459*3)</f>
        <v>24310200</v>
      </c>
      <c r="AB459" s="81">
        <v>7000000</v>
      </c>
      <c r="AC459" s="516">
        <v>0</v>
      </c>
      <c r="AD459" s="82">
        <v>7000000</v>
      </c>
      <c r="AE459" s="535">
        <v>7000000</v>
      </c>
      <c r="AF459" s="536"/>
      <c r="AG459" s="564"/>
      <c r="AH459" s="440"/>
    </row>
    <row r="460" spans="1:34" s="112" customFormat="1" x14ac:dyDescent="0.2">
      <c r="A460" s="294"/>
      <c r="B460" s="72" t="s">
        <v>814</v>
      </c>
      <c r="C460" s="295"/>
      <c r="D460" s="501">
        <v>7000000</v>
      </c>
      <c r="E460" s="525">
        <v>2000000</v>
      </c>
      <c r="F460" s="526">
        <v>377500</v>
      </c>
      <c r="G460" s="526">
        <v>377500</v>
      </c>
      <c r="H460" s="525"/>
      <c r="I460" s="525">
        <f t="shared" si="187"/>
        <v>377500</v>
      </c>
      <c r="J460" s="525">
        <f t="shared" si="164"/>
        <v>1622500</v>
      </c>
      <c r="K460" s="186"/>
      <c r="L460" s="99"/>
      <c r="M460" s="668"/>
      <c r="N460" s="80"/>
      <c r="O460" s="517">
        <v>7000000</v>
      </c>
      <c r="P460" s="518">
        <v>700000</v>
      </c>
      <c r="Q460" s="517">
        <f t="shared" si="188"/>
        <v>6300000</v>
      </c>
      <c r="R460" s="517">
        <v>195000</v>
      </c>
      <c r="S460" s="517"/>
      <c r="T460" s="517"/>
      <c r="U460" s="80"/>
      <c r="V460" s="80"/>
      <c r="W460" s="80"/>
      <c r="X460" s="80"/>
      <c r="Y460" s="80"/>
      <c r="Z460" s="80"/>
      <c r="AA460" s="80"/>
      <c r="AB460" s="81"/>
      <c r="AC460" s="516"/>
      <c r="AD460" s="210"/>
      <c r="AE460" s="517"/>
      <c r="AF460" s="516"/>
      <c r="AG460" s="564"/>
      <c r="AH460" s="440"/>
    </row>
    <row r="461" spans="1:34" s="112" customFormat="1" ht="24" customHeight="1" x14ac:dyDescent="0.2">
      <c r="A461" s="294"/>
      <c r="B461" s="284" t="s">
        <v>312</v>
      </c>
      <c r="C461" s="296"/>
      <c r="D461" s="501"/>
      <c r="E461" s="525">
        <v>107000</v>
      </c>
      <c r="F461" s="526">
        <v>0</v>
      </c>
      <c r="G461" s="526">
        <v>0</v>
      </c>
      <c r="H461" s="525"/>
      <c r="I461" s="525">
        <f t="shared" si="187"/>
        <v>0</v>
      </c>
      <c r="J461" s="525">
        <f t="shared" si="164"/>
        <v>107000</v>
      </c>
      <c r="K461" s="255"/>
      <c r="L461" s="256"/>
      <c r="M461" s="669"/>
      <c r="N461" s="257"/>
      <c r="O461" s="517"/>
      <c r="P461" s="518"/>
      <c r="Q461" s="517">
        <f t="shared" si="188"/>
        <v>0</v>
      </c>
      <c r="R461" s="517"/>
      <c r="S461" s="517"/>
      <c r="T461" s="621">
        <f t="shared" ref="T461:T717" si="189">Q462-R462-S462</f>
        <v>0</v>
      </c>
      <c r="U461" s="257"/>
      <c r="V461" s="257"/>
      <c r="W461" s="257"/>
      <c r="X461" s="257"/>
      <c r="Y461" s="257"/>
      <c r="Z461" s="257"/>
      <c r="AA461" s="257"/>
      <c r="AB461" s="81"/>
      <c r="AC461" s="533"/>
      <c r="AD461" s="210"/>
      <c r="AE461" s="621"/>
      <c r="AF461" s="533"/>
      <c r="AG461" s="670"/>
      <c r="AH461" s="515"/>
    </row>
    <row r="462" spans="1:34" s="5" customFormat="1" ht="24" hidden="1" customHeight="1" x14ac:dyDescent="0.2">
      <c r="A462" s="294"/>
      <c r="B462" s="72" t="s">
        <v>215</v>
      </c>
      <c r="C462" s="295"/>
      <c r="D462" s="529"/>
      <c r="E462" s="531"/>
      <c r="F462" s="532"/>
      <c r="G462" s="532"/>
      <c r="H462" s="531"/>
      <c r="I462" s="531">
        <f t="shared" si="187"/>
        <v>0</v>
      </c>
      <c r="J462" s="531">
        <f t="shared" si="164"/>
        <v>0</v>
      </c>
      <c r="K462" s="17" t="e">
        <f>+#REF!+#REF!+#REF!+K463</f>
        <v>#REF!</v>
      </c>
      <c r="L462" s="18" t="e">
        <f>+#REF!+#REF!+#REF!+L463</f>
        <v>#REF!</v>
      </c>
      <c r="M462" s="493" t="e">
        <f>+#REF!+#REF!+#REF!+M463</f>
        <v>#REF!</v>
      </c>
      <c r="N462" s="17" t="e">
        <f>+#REF!+#REF!+#REF!+N463</f>
        <v>#REF!</v>
      </c>
      <c r="O462" s="621">
        <v>1000000</v>
      </c>
      <c r="P462" s="622"/>
      <c r="Q462" s="621">
        <f t="shared" si="188"/>
        <v>1000000</v>
      </c>
      <c r="R462" s="621">
        <v>1000000</v>
      </c>
      <c r="S462" s="621"/>
      <c r="T462" s="597">
        <f t="shared" si="189"/>
        <v>101720377.03999996</v>
      </c>
      <c r="U462" s="597">
        <f t="shared" ref="U462:AF462" si="190">+U463+U484+U665+U719</f>
        <v>1421177800</v>
      </c>
      <c r="V462" s="597">
        <f t="shared" si="190"/>
        <v>722118260</v>
      </c>
      <c r="W462" s="597">
        <f t="shared" si="190"/>
        <v>762092340</v>
      </c>
      <c r="X462" s="597">
        <f t="shared" si="190"/>
        <v>824345000</v>
      </c>
      <c r="Y462" s="597">
        <f t="shared" si="190"/>
        <v>4092579900</v>
      </c>
      <c r="Z462" s="597">
        <f t="shared" si="190"/>
        <v>4092579900</v>
      </c>
      <c r="AA462" s="597">
        <f t="shared" si="190"/>
        <v>2439928200</v>
      </c>
      <c r="AB462" s="597">
        <f t="shared" si="190"/>
        <v>736843200</v>
      </c>
      <c r="AC462" s="597">
        <f t="shared" si="190"/>
        <v>44000000</v>
      </c>
      <c r="AD462" s="597">
        <f t="shared" si="190"/>
        <v>692843200</v>
      </c>
      <c r="AE462" s="597">
        <f t="shared" si="190"/>
        <v>692843200</v>
      </c>
      <c r="AF462" s="597">
        <f t="shared" si="190"/>
        <v>55000000</v>
      </c>
      <c r="AG462" s="440"/>
      <c r="AH462" s="440"/>
    </row>
    <row r="463" spans="1:34" s="5" customFormat="1" x14ac:dyDescent="0.2">
      <c r="A463" s="14" t="s">
        <v>137</v>
      </c>
      <c r="B463" s="15"/>
      <c r="C463" s="16"/>
      <c r="D463" s="597">
        <f>+D464+D485+D717+D720</f>
        <v>1373446800</v>
      </c>
      <c r="E463" s="598">
        <f>+E464+E485+E717+E720</f>
        <v>1813561900</v>
      </c>
      <c r="F463" s="599">
        <f>+F464+F485+F717+F720</f>
        <v>1303126700</v>
      </c>
      <c r="G463" s="599">
        <f>+G464+G485+G717+G720</f>
        <v>1292126700</v>
      </c>
      <c r="H463" s="598">
        <f>+H464+H485+H717+H720</f>
        <v>0</v>
      </c>
      <c r="I463" s="598">
        <f t="shared" si="187"/>
        <v>1292126700</v>
      </c>
      <c r="J463" s="598">
        <f t="shared" si="164"/>
        <v>521435200</v>
      </c>
      <c r="K463" s="23" t="e">
        <f>K728+#REF!+K915+#REF!</f>
        <v>#REF!</v>
      </c>
      <c r="L463" s="24" t="e">
        <f>L728+#REF!+L915+#REF!</f>
        <v>#REF!</v>
      </c>
      <c r="M463" s="543" t="e">
        <f>M728+#REF!+M915+#REF!</f>
        <v>#REF!</v>
      </c>
      <c r="N463" s="24" t="e">
        <f>N728+#REF!+N915+#REF!</f>
        <v>#REF!</v>
      </c>
      <c r="O463" s="597">
        <f>+O464+O485+O717+O720</f>
        <v>1417368300</v>
      </c>
      <c r="P463" s="597">
        <f>+P464+P485+P717+P720</f>
        <v>0</v>
      </c>
      <c r="Q463" s="597">
        <f t="shared" si="188"/>
        <v>1417368300</v>
      </c>
      <c r="R463" s="597">
        <f>+R464+R485+R717+R720</f>
        <v>1315647922.96</v>
      </c>
      <c r="S463" s="597">
        <f>+S464+S485+S717+S720</f>
        <v>0</v>
      </c>
      <c r="T463" s="584">
        <f t="shared" si="189"/>
        <v>21856847.079999924</v>
      </c>
      <c r="U463" s="584">
        <f>SUM(U465+U475+U479)</f>
        <v>1257973900</v>
      </c>
      <c r="V463" s="584">
        <f t="shared" ref="P463:AF464" si="191">SUM(V465+V475+V479)</f>
        <v>632818260</v>
      </c>
      <c r="W463" s="584">
        <f t="shared" si="191"/>
        <v>669327340</v>
      </c>
      <c r="X463" s="584">
        <f t="shared" si="191"/>
        <v>727941700</v>
      </c>
      <c r="Y463" s="584">
        <f t="shared" si="191"/>
        <v>3610563300</v>
      </c>
      <c r="Z463" s="584">
        <f t="shared" si="191"/>
        <v>3610563300</v>
      </c>
      <c r="AA463" s="584">
        <f t="shared" si="191"/>
        <v>2150718200</v>
      </c>
      <c r="AB463" s="584">
        <f t="shared" si="191"/>
        <v>582514000</v>
      </c>
      <c r="AC463" s="584">
        <f t="shared" si="191"/>
        <v>0</v>
      </c>
      <c r="AD463" s="584">
        <f t="shared" si="191"/>
        <v>582514000</v>
      </c>
      <c r="AE463" s="584">
        <f t="shared" si="191"/>
        <v>582514000</v>
      </c>
      <c r="AF463" s="584">
        <f t="shared" si="191"/>
        <v>55000000</v>
      </c>
      <c r="AG463" s="440"/>
      <c r="AH463" s="440"/>
    </row>
    <row r="464" spans="1:34" s="5" customFormat="1" x14ac:dyDescent="0.2">
      <c r="A464" s="20" t="s">
        <v>78</v>
      </c>
      <c r="B464" s="21"/>
      <c r="C464" s="22"/>
      <c r="D464" s="584">
        <f>SUM(D466+D476+D480)</f>
        <v>1017280400</v>
      </c>
      <c r="E464" s="586">
        <f>SUM(E466+E476+E480)</f>
        <v>1317308600</v>
      </c>
      <c r="F464" s="587">
        <f>SUM(F466+F476+F480)</f>
        <v>1023810500</v>
      </c>
      <c r="G464" s="587">
        <f>SUM(G466+G476+G480)</f>
        <v>1023810500</v>
      </c>
      <c r="H464" s="586">
        <f t="shared" ref="H464" si="192">SUM(H466+H476+H480)</f>
        <v>0</v>
      </c>
      <c r="I464" s="586">
        <f t="shared" si="187"/>
        <v>1023810500</v>
      </c>
      <c r="J464" s="586">
        <f t="shared" si="164"/>
        <v>293498100</v>
      </c>
      <c r="K464" s="671" t="e">
        <f>K465+#REF!</f>
        <v>#REF!</v>
      </c>
      <c r="L464" s="671" t="e">
        <f>L465+#REF!</f>
        <v>#REF!</v>
      </c>
      <c r="M464" s="671" t="e">
        <f>M465+#REF!</f>
        <v>#REF!</v>
      </c>
      <c r="N464" s="671" t="e">
        <f>N465+#REF!</f>
        <v>#REF!</v>
      </c>
      <c r="O464" s="584">
        <f>SUM(O466+O476+O480)</f>
        <v>1034841700</v>
      </c>
      <c r="P464" s="584">
        <f t="shared" si="191"/>
        <v>0</v>
      </c>
      <c r="Q464" s="584">
        <f t="shared" si="188"/>
        <v>1034841700</v>
      </c>
      <c r="R464" s="584">
        <f>SUM(R466+R476+R480)</f>
        <v>1012984852.9200001</v>
      </c>
      <c r="S464" s="584">
        <f>SUM(S466+S476+S480)</f>
        <v>0</v>
      </c>
      <c r="T464" s="671">
        <f t="shared" si="189"/>
        <v>21856847.079999924</v>
      </c>
      <c r="U464" s="671">
        <f>+U465+U475+U479</f>
        <v>1257973900</v>
      </c>
      <c r="V464" s="671">
        <f t="shared" ref="P464:AF465" si="193">+V465+V475+V479</f>
        <v>632818260</v>
      </c>
      <c r="W464" s="671">
        <f t="shared" si="193"/>
        <v>669327340</v>
      </c>
      <c r="X464" s="671">
        <f t="shared" si="193"/>
        <v>727941700</v>
      </c>
      <c r="Y464" s="671">
        <f t="shared" si="193"/>
        <v>3610563300</v>
      </c>
      <c r="Z464" s="671">
        <f t="shared" si="193"/>
        <v>3610563300</v>
      </c>
      <c r="AA464" s="671">
        <f t="shared" si="193"/>
        <v>2150718200</v>
      </c>
      <c r="AB464" s="671">
        <f t="shared" si="193"/>
        <v>582514000</v>
      </c>
      <c r="AC464" s="671">
        <f t="shared" si="193"/>
        <v>0</v>
      </c>
      <c r="AD464" s="671">
        <f t="shared" si="193"/>
        <v>582514000</v>
      </c>
      <c r="AE464" s="671">
        <f t="shared" si="193"/>
        <v>582514000</v>
      </c>
      <c r="AF464" s="671">
        <f t="shared" si="193"/>
        <v>55000000</v>
      </c>
      <c r="AG464" s="440"/>
      <c r="AH464" s="440"/>
    </row>
    <row r="465" spans="1:34" s="5" customFormat="1" ht="24" customHeight="1" x14ac:dyDescent="0.2">
      <c r="A465" s="131" t="s">
        <v>114</v>
      </c>
      <c r="B465" s="132"/>
      <c r="C465" s="133"/>
      <c r="D465" s="671">
        <f>+D466+D476+D480</f>
        <v>1017280400</v>
      </c>
      <c r="E465" s="672">
        <f>+E466+E476+E480</f>
        <v>1317308600</v>
      </c>
      <c r="F465" s="673">
        <f>+F466+F476+F480</f>
        <v>1023810500</v>
      </c>
      <c r="G465" s="673">
        <f>+G466+G476+G480</f>
        <v>1023810500</v>
      </c>
      <c r="H465" s="672">
        <f t="shared" ref="H465" si="194">+H466+H476+H480</f>
        <v>0</v>
      </c>
      <c r="I465" s="672">
        <f t="shared" si="187"/>
        <v>1023810500</v>
      </c>
      <c r="J465" s="672">
        <f t="shared" si="164"/>
        <v>293498100</v>
      </c>
      <c r="K465" s="115" t="e">
        <f>SUM(K484,#REF!,#REF!,#REF!,#REF!,#REF!,#REF!,#REF!,#REF!,#REF!,#REF!,#REF!,#REF!,#REF!,#REF!,#REF!)</f>
        <v>#REF!</v>
      </c>
      <c r="L465" s="53" t="e">
        <f>SUM(L484,#REF!,#REF!,#REF!,#REF!,#REF!,#REF!,#REF!,#REF!,#REF!,#REF!,#REF!,#REF!,#REF!,#REF!)</f>
        <v>#REF!</v>
      </c>
      <c r="M465" s="613" t="e">
        <f>SUM(M484,#REF!,#REF!,#REF!,#REF!,#REF!,#REF!,#REF!,#REF!,#REF!,#REF!,#REF!,#REF!,#REF!)</f>
        <v>#REF!</v>
      </c>
      <c r="N465" s="115" t="e">
        <f>SUM(N484,#REF!,#REF!,#REF!,#REF!,#REF!,#REF!,#REF!,#REF!,#REF!,#REF!,#REF!,#REF!,#REF!)</f>
        <v>#REF!</v>
      </c>
      <c r="O465" s="671">
        <f>+O466+O476+O480</f>
        <v>1034841700</v>
      </c>
      <c r="P465" s="671">
        <f t="shared" si="193"/>
        <v>0</v>
      </c>
      <c r="Q465" s="671">
        <f t="shared" si="188"/>
        <v>1034841700</v>
      </c>
      <c r="R465" s="671">
        <f t="shared" si="193"/>
        <v>1012984852.9200001</v>
      </c>
      <c r="S465" s="671">
        <f t="shared" si="193"/>
        <v>0</v>
      </c>
      <c r="T465" s="605">
        <f t="shared" si="189"/>
        <v>32458205.429999948</v>
      </c>
      <c r="U465" s="605">
        <f>SUM(U466:U470,U474)</f>
        <v>967473900</v>
      </c>
      <c r="V465" s="605">
        <f t="shared" ref="P465:AF466" si="195">SUM(V466:V470,V474)</f>
        <v>632818260</v>
      </c>
      <c r="W465" s="605">
        <f t="shared" si="195"/>
        <v>669327340</v>
      </c>
      <c r="X465" s="605">
        <f t="shared" si="195"/>
        <v>727941700</v>
      </c>
      <c r="Y465" s="605">
        <f t="shared" si="195"/>
        <v>3610563300</v>
      </c>
      <c r="Z465" s="605">
        <f t="shared" si="195"/>
        <v>3610563300</v>
      </c>
      <c r="AA465" s="605">
        <f t="shared" si="195"/>
        <v>2150718200</v>
      </c>
      <c r="AB465" s="605">
        <f t="shared" si="195"/>
        <v>582514000</v>
      </c>
      <c r="AC465" s="605">
        <f t="shared" si="195"/>
        <v>0</v>
      </c>
      <c r="AD465" s="605">
        <f t="shared" si="195"/>
        <v>582514000</v>
      </c>
      <c r="AE465" s="605">
        <f t="shared" si="195"/>
        <v>582514000</v>
      </c>
      <c r="AF465" s="605">
        <f t="shared" si="195"/>
        <v>55000000</v>
      </c>
      <c r="AG465" s="440"/>
      <c r="AH465" s="440"/>
    </row>
    <row r="466" spans="1:34" s="112" customFormat="1" x14ac:dyDescent="0.2">
      <c r="A466" s="33"/>
      <c r="B466" s="34" t="s">
        <v>178</v>
      </c>
      <c r="C466" s="273"/>
      <c r="D466" s="606">
        <f>SUM(D467:D471,D475)</f>
        <v>790940600</v>
      </c>
      <c r="E466" s="674">
        <f>SUM(E467:E471,E475)</f>
        <v>1034308600</v>
      </c>
      <c r="F466" s="675">
        <f>SUM(F467:F471,F475)</f>
        <v>817731100</v>
      </c>
      <c r="G466" s="675">
        <f>SUM(G467:G471,G475)</f>
        <v>817731100</v>
      </c>
      <c r="H466" s="674">
        <f t="shared" ref="H466" si="196">SUM(H467:H471,H475)</f>
        <v>0</v>
      </c>
      <c r="I466" s="674">
        <f t="shared" si="187"/>
        <v>817731100</v>
      </c>
      <c r="J466" s="674">
        <f t="shared" si="164"/>
        <v>216577500</v>
      </c>
      <c r="K466" s="52">
        <v>5000000</v>
      </c>
      <c r="L466" s="53"/>
      <c r="M466" s="613">
        <v>39765000</v>
      </c>
      <c r="N466" s="52"/>
      <c r="O466" s="605">
        <f>SUM(O467:O471,O475)</f>
        <v>808677600</v>
      </c>
      <c r="P466" s="605">
        <f t="shared" si="195"/>
        <v>0</v>
      </c>
      <c r="Q466" s="605">
        <f t="shared" si="188"/>
        <v>808677600</v>
      </c>
      <c r="R466" s="605">
        <f>SUM(R467:R471,R475)</f>
        <v>776219394.57000005</v>
      </c>
      <c r="S466" s="605">
        <f t="shared" si="195"/>
        <v>0</v>
      </c>
      <c r="T466" s="529">
        <f t="shared" si="189"/>
        <v>-8849000.0500000007</v>
      </c>
      <c r="U466" s="52">
        <v>21560000</v>
      </c>
      <c r="V466" s="52"/>
      <c r="W466" s="52"/>
      <c r="X466" s="52"/>
      <c r="Y466" s="52"/>
      <c r="Z466" s="52"/>
      <c r="AA466" s="52"/>
      <c r="AB466" s="54"/>
      <c r="AC466" s="494"/>
      <c r="AD466" s="55"/>
      <c r="AE466" s="499"/>
      <c r="AF466" s="602"/>
      <c r="AG466" s="564"/>
      <c r="AH466" s="440"/>
    </row>
    <row r="467" spans="1:34" s="112" customFormat="1" x14ac:dyDescent="0.2">
      <c r="A467" s="33"/>
      <c r="B467" s="146"/>
      <c r="C467" s="34" t="s">
        <v>87</v>
      </c>
      <c r="D467" s="499">
        <v>5000000</v>
      </c>
      <c r="E467" s="676">
        <v>16600000</v>
      </c>
      <c r="F467" s="500">
        <v>3598100</v>
      </c>
      <c r="G467" s="500">
        <v>3598100</v>
      </c>
      <c r="H467" s="676"/>
      <c r="I467" s="676">
        <f t="shared" si="187"/>
        <v>3598100</v>
      </c>
      <c r="J467" s="676">
        <f t="shared" si="164"/>
        <v>13001900</v>
      </c>
      <c r="K467" s="52">
        <v>66000000</v>
      </c>
      <c r="L467" s="53"/>
      <c r="M467" s="613">
        <v>181026140</v>
      </c>
      <c r="N467" s="52"/>
      <c r="O467" s="529">
        <v>5000000</v>
      </c>
      <c r="P467" s="530"/>
      <c r="Q467" s="529">
        <f t="shared" si="188"/>
        <v>5000000</v>
      </c>
      <c r="R467" s="529">
        <f>6619719.8+7229280.25</f>
        <v>13849000.050000001</v>
      </c>
      <c r="S467" s="529"/>
      <c r="T467" s="529">
        <f t="shared" si="189"/>
        <v>5258416.0100000054</v>
      </c>
      <c r="U467" s="52">
        <v>96000000</v>
      </c>
      <c r="V467" s="52"/>
      <c r="W467" s="52"/>
      <c r="X467" s="52"/>
      <c r="Y467" s="52"/>
      <c r="Z467" s="52"/>
      <c r="AA467" s="52"/>
      <c r="AB467" s="54"/>
      <c r="AC467" s="494"/>
      <c r="AD467" s="55"/>
      <c r="AE467" s="499"/>
      <c r="AF467" s="602"/>
      <c r="AG467" s="564"/>
      <c r="AH467" s="440"/>
    </row>
    <row r="468" spans="1:34" s="112" customFormat="1" x14ac:dyDescent="0.2">
      <c r="A468" s="33"/>
      <c r="B468" s="146"/>
      <c r="C468" s="34" t="s">
        <v>89</v>
      </c>
      <c r="D468" s="499">
        <v>80000000</v>
      </c>
      <c r="E468" s="676">
        <v>112000000</v>
      </c>
      <c r="F468" s="500">
        <v>88572900</v>
      </c>
      <c r="G468" s="500">
        <v>88572900</v>
      </c>
      <c r="H468" s="676"/>
      <c r="I468" s="676">
        <f t="shared" si="187"/>
        <v>88572900</v>
      </c>
      <c r="J468" s="676">
        <f t="shared" ref="J468:J935" si="197">+E468-G468</f>
        <v>23427100</v>
      </c>
      <c r="K468" s="52">
        <v>140000000</v>
      </c>
      <c r="L468" s="53"/>
      <c r="M468" s="613">
        <v>140000000</v>
      </c>
      <c r="N468" s="52"/>
      <c r="O468" s="529">
        <v>80000000</v>
      </c>
      <c r="P468" s="530"/>
      <c r="Q468" s="529">
        <f t="shared" si="188"/>
        <v>80000000</v>
      </c>
      <c r="R468" s="529">
        <v>74741583.989999995</v>
      </c>
      <c r="S468" s="529"/>
      <c r="T468" s="529">
        <f t="shared" si="189"/>
        <v>-6765477.5500000119</v>
      </c>
      <c r="U468" s="52">
        <v>188000000</v>
      </c>
      <c r="V468" s="52"/>
      <c r="W468" s="52"/>
      <c r="X468" s="52"/>
      <c r="Y468" s="52"/>
      <c r="Z468" s="52"/>
      <c r="AA468" s="52"/>
      <c r="AB468" s="54"/>
      <c r="AC468" s="494"/>
      <c r="AD468" s="55"/>
      <c r="AE468" s="499"/>
      <c r="AF468" s="602"/>
      <c r="AG468" s="564"/>
      <c r="AH468" s="440"/>
    </row>
    <row r="469" spans="1:34" s="112" customFormat="1" x14ac:dyDescent="0.2">
      <c r="A469" s="33"/>
      <c r="B469" s="146"/>
      <c r="C469" s="34" t="s">
        <v>91</v>
      </c>
      <c r="D469" s="499">
        <v>140000000</v>
      </c>
      <c r="E469" s="676">
        <v>176000000</v>
      </c>
      <c r="F469" s="500">
        <v>124895700</v>
      </c>
      <c r="G469" s="500">
        <v>124895700</v>
      </c>
      <c r="H469" s="676"/>
      <c r="I469" s="676">
        <f t="shared" si="187"/>
        <v>124895700</v>
      </c>
      <c r="J469" s="676">
        <f t="shared" si="197"/>
        <v>51104300</v>
      </c>
      <c r="K469" s="52"/>
      <c r="L469" s="53"/>
      <c r="M469" s="613">
        <v>49526800</v>
      </c>
      <c r="N469" s="52"/>
      <c r="O469" s="529">
        <v>140000000</v>
      </c>
      <c r="P469" s="530"/>
      <c r="Q469" s="529">
        <f t="shared" si="188"/>
        <v>140000000</v>
      </c>
      <c r="R469" s="529">
        <f>8583787.43+138181690.12</f>
        <v>146765477.55000001</v>
      </c>
      <c r="S469" s="529"/>
      <c r="T469" s="529">
        <f t="shared" si="189"/>
        <v>-4562327.0799999982</v>
      </c>
      <c r="U469" s="52">
        <v>46000000</v>
      </c>
      <c r="V469" s="52"/>
      <c r="W469" s="52"/>
      <c r="X469" s="52"/>
      <c r="Y469" s="52"/>
      <c r="Z469" s="52"/>
      <c r="AA469" s="52"/>
      <c r="AB469" s="54"/>
      <c r="AC469" s="494"/>
      <c r="AD469" s="55"/>
      <c r="AE469" s="499"/>
      <c r="AF469" s="602"/>
      <c r="AG469" s="564"/>
      <c r="AH469" s="440"/>
    </row>
    <row r="470" spans="1:34" s="5" customFormat="1" x14ac:dyDescent="0.2">
      <c r="A470" s="33"/>
      <c r="B470" s="146"/>
      <c r="C470" s="34" t="s">
        <v>94</v>
      </c>
      <c r="D470" s="499">
        <f>38476600-50000</f>
        <v>38426600</v>
      </c>
      <c r="E470" s="676">
        <v>40476000</v>
      </c>
      <c r="F470" s="500">
        <v>30067800</v>
      </c>
      <c r="G470" s="500">
        <v>30067800</v>
      </c>
      <c r="H470" s="676"/>
      <c r="I470" s="676">
        <f t="shared" si="187"/>
        <v>30067800</v>
      </c>
      <c r="J470" s="676">
        <f t="shared" si="197"/>
        <v>10408200</v>
      </c>
      <c r="K470" s="52">
        <v>491923300</v>
      </c>
      <c r="L470" s="53">
        <v>393757859.07999998</v>
      </c>
      <c r="M470" s="498">
        <v>555568800</v>
      </c>
      <c r="N470" s="52">
        <v>458997900</v>
      </c>
      <c r="O470" s="529">
        <v>29167600</v>
      </c>
      <c r="P470" s="530"/>
      <c r="Q470" s="529">
        <f t="shared" si="188"/>
        <v>29167600</v>
      </c>
      <c r="R470" s="529">
        <f>3612128.08+30117799</f>
        <v>33729927.079999998</v>
      </c>
      <c r="S470" s="529"/>
      <c r="T470" s="529">
        <f t="shared" si="189"/>
        <v>26504454.75</v>
      </c>
      <c r="U470" s="52">
        <f>SUM(U471:U473)</f>
        <v>455913900</v>
      </c>
      <c r="V470" s="52">
        <f t="shared" ref="V470:AA470" si="198">SUM(V471:V473)</f>
        <v>464818260</v>
      </c>
      <c r="W470" s="52">
        <f t="shared" si="198"/>
        <v>492927340</v>
      </c>
      <c r="X470" s="52">
        <f t="shared" si="198"/>
        <v>542721700</v>
      </c>
      <c r="Y470" s="52">
        <f t="shared" si="198"/>
        <v>2684463300</v>
      </c>
      <c r="Z470" s="52">
        <f t="shared" si="198"/>
        <v>2684463300</v>
      </c>
      <c r="AA470" s="52">
        <f t="shared" si="198"/>
        <v>1595058200</v>
      </c>
      <c r="AB470" s="54">
        <f>SUM(AB471:AB473)</f>
        <v>422514000</v>
      </c>
      <c r="AC470" s="498">
        <v>0</v>
      </c>
      <c r="AD470" s="55">
        <v>422514000</v>
      </c>
      <c r="AE470" s="499">
        <f>SUM(AE471:AE473)</f>
        <v>422514000</v>
      </c>
      <c r="AF470" s="602"/>
      <c r="AG470" s="440"/>
      <c r="AH470" s="440"/>
    </row>
    <row r="471" spans="1:34" s="5" customFormat="1" x14ac:dyDescent="0.2">
      <c r="A471" s="33"/>
      <c r="B471" s="170"/>
      <c r="C471" s="72" t="s">
        <v>335</v>
      </c>
      <c r="D471" s="499">
        <f>SUM(D472:D474)</f>
        <v>422514000</v>
      </c>
      <c r="E471" s="676">
        <f>SUM(E472:E474)</f>
        <v>524232600</v>
      </c>
      <c r="F471" s="500">
        <f t="shared" ref="F471:H471" si="199">SUM(F472:F474)</f>
        <v>480653000</v>
      </c>
      <c r="G471" s="500">
        <f t="shared" si="199"/>
        <v>480653000</v>
      </c>
      <c r="H471" s="676">
        <f t="shared" si="199"/>
        <v>0</v>
      </c>
      <c r="I471" s="676">
        <f t="shared" si="187"/>
        <v>480653000</v>
      </c>
      <c r="J471" s="676">
        <f t="shared" si="197"/>
        <v>43579600</v>
      </c>
      <c r="K471" s="29"/>
      <c r="L471" s="30"/>
      <c r="M471" s="513"/>
      <c r="N471" s="29"/>
      <c r="O471" s="529">
        <v>448997900</v>
      </c>
      <c r="P471" s="530"/>
      <c r="Q471" s="529">
        <f t="shared" si="188"/>
        <v>448997900</v>
      </c>
      <c r="R471" s="529">
        <v>422493445.25</v>
      </c>
      <c r="S471" s="529"/>
      <c r="T471" s="505">
        <f t="shared" si="189"/>
        <v>0</v>
      </c>
      <c r="U471" s="29">
        <v>273646500</v>
      </c>
      <c r="V471" s="128">
        <v>342428360</v>
      </c>
      <c r="W471" s="128">
        <v>410913940</v>
      </c>
      <c r="X471" s="128">
        <v>493096700</v>
      </c>
      <c r="Y471" s="128">
        <v>2465483900</v>
      </c>
      <c r="Z471" s="128">
        <v>2465483900</v>
      </c>
      <c r="AA471" s="128">
        <v>1460756000</v>
      </c>
      <c r="AB471" s="31">
        <v>246797100</v>
      </c>
      <c r="AC471" s="513"/>
      <c r="AD471" s="32"/>
      <c r="AE471" s="507">
        <v>257882700</v>
      </c>
      <c r="AF471" s="508"/>
      <c r="AG471" s="440"/>
      <c r="AH471" s="440"/>
    </row>
    <row r="472" spans="1:34" s="5" customFormat="1" x14ac:dyDescent="0.2">
      <c r="A472" s="33"/>
      <c r="B472" s="126"/>
      <c r="C472" s="275" t="s">
        <v>10</v>
      </c>
      <c r="D472" s="507">
        <v>257882700</v>
      </c>
      <c r="E472" s="664">
        <v>347319100</v>
      </c>
      <c r="F472" s="660">
        <v>320557300</v>
      </c>
      <c r="G472" s="660">
        <v>320557300</v>
      </c>
      <c r="H472" s="664"/>
      <c r="I472" s="664">
        <f t="shared" si="187"/>
        <v>320557300</v>
      </c>
      <c r="J472" s="664">
        <f t="shared" si="197"/>
        <v>26761800</v>
      </c>
      <c r="K472" s="29"/>
      <c r="L472" s="30"/>
      <c r="M472" s="513"/>
      <c r="N472" s="29"/>
      <c r="O472" s="505"/>
      <c r="P472" s="514"/>
      <c r="Q472" s="505">
        <f t="shared" si="188"/>
        <v>0</v>
      </c>
      <c r="R472" s="505"/>
      <c r="S472" s="505"/>
      <c r="T472" s="505">
        <f t="shared" si="189"/>
        <v>0</v>
      </c>
      <c r="U472" s="29">
        <v>139053600</v>
      </c>
      <c r="V472" s="128">
        <v>122389900</v>
      </c>
      <c r="W472" s="128">
        <v>82013400</v>
      </c>
      <c r="X472" s="128">
        <v>49625000</v>
      </c>
      <c r="Y472" s="128">
        <v>218979400</v>
      </c>
      <c r="Z472" s="128">
        <v>218979400</v>
      </c>
      <c r="AA472" s="128">
        <v>134302200</v>
      </c>
      <c r="AB472" s="31">
        <v>175716900</v>
      </c>
      <c r="AC472" s="513"/>
      <c r="AD472" s="32"/>
      <c r="AE472" s="507">
        <v>124472600</v>
      </c>
      <c r="AF472" s="508"/>
      <c r="AG472" s="440"/>
      <c r="AH472" s="440"/>
    </row>
    <row r="473" spans="1:34" s="5" customFormat="1" x14ac:dyDescent="0.2">
      <c r="A473" s="33"/>
      <c r="B473" s="126"/>
      <c r="C473" s="275" t="s">
        <v>33</v>
      </c>
      <c r="D473" s="507">
        <v>124472600</v>
      </c>
      <c r="E473" s="664">
        <v>150787300</v>
      </c>
      <c r="F473" s="660">
        <v>133074100</v>
      </c>
      <c r="G473" s="660">
        <v>133074100</v>
      </c>
      <c r="H473" s="664"/>
      <c r="I473" s="664">
        <f t="shared" si="187"/>
        <v>133074100</v>
      </c>
      <c r="J473" s="664">
        <f t="shared" si="197"/>
        <v>17713200</v>
      </c>
      <c r="K473" s="29"/>
      <c r="L473" s="30"/>
      <c r="M473" s="513"/>
      <c r="N473" s="29"/>
      <c r="O473" s="505"/>
      <c r="P473" s="514"/>
      <c r="Q473" s="505">
        <f t="shared" si="188"/>
        <v>0</v>
      </c>
      <c r="R473" s="505"/>
      <c r="S473" s="505"/>
      <c r="T473" s="505">
        <f t="shared" si="189"/>
        <v>0</v>
      </c>
      <c r="U473" s="29">
        <v>43213800</v>
      </c>
      <c r="V473" s="128">
        <v>0</v>
      </c>
      <c r="W473" s="128">
        <v>0</v>
      </c>
      <c r="X473" s="128">
        <v>0</v>
      </c>
      <c r="Y473" s="128">
        <v>0</v>
      </c>
      <c r="Z473" s="128">
        <v>0</v>
      </c>
      <c r="AA473" s="128">
        <v>0</v>
      </c>
      <c r="AB473" s="114">
        <v>0</v>
      </c>
      <c r="AC473" s="513"/>
      <c r="AD473" s="129"/>
      <c r="AE473" s="507">
        <v>40158700</v>
      </c>
      <c r="AF473" s="508"/>
      <c r="AG473" s="440"/>
      <c r="AH473" s="440"/>
    </row>
    <row r="474" spans="1:34" s="5" customFormat="1" x14ac:dyDescent="0.2">
      <c r="A474" s="33"/>
      <c r="B474" s="126"/>
      <c r="C474" s="275" t="s">
        <v>34</v>
      </c>
      <c r="D474" s="507">
        <v>40158700</v>
      </c>
      <c r="E474" s="664">
        <v>26126200</v>
      </c>
      <c r="F474" s="660">
        <v>27021600</v>
      </c>
      <c r="G474" s="660">
        <v>27021600</v>
      </c>
      <c r="H474" s="664"/>
      <c r="I474" s="664">
        <f t="shared" si="187"/>
        <v>27021600</v>
      </c>
      <c r="J474" s="664">
        <f t="shared" si="197"/>
        <v>-895400</v>
      </c>
      <c r="K474" s="52">
        <v>85418000</v>
      </c>
      <c r="L474" s="53">
        <v>85426641.420000002</v>
      </c>
      <c r="M474" s="498">
        <v>110000000</v>
      </c>
      <c r="N474" s="52">
        <v>105512100</v>
      </c>
      <c r="O474" s="505"/>
      <c r="P474" s="514"/>
      <c r="Q474" s="505">
        <f t="shared" si="188"/>
        <v>0</v>
      </c>
      <c r="R474" s="505"/>
      <c r="S474" s="505"/>
      <c r="T474" s="529">
        <f t="shared" si="189"/>
        <v>20872139.349999994</v>
      </c>
      <c r="U474" s="52">
        <v>160000000</v>
      </c>
      <c r="V474" s="52">
        <f>SUM(U474*105/100)</f>
        <v>168000000</v>
      </c>
      <c r="W474" s="52">
        <f>SUM(V474*105/100)</f>
        <v>176400000</v>
      </c>
      <c r="X474" s="52">
        <f>SUM(W474*105/100)</f>
        <v>185220000</v>
      </c>
      <c r="Y474" s="52">
        <f>SUM(X474*5)</f>
        <v>926100000</v>
      </c>
      <c r="Z474" s="52">
        <f>SUM(X474*5)</f>
        <v>926100000</v>
      </c>
      <c r="AA474" s="52">
        <f>SUM(X474*3)</f>
        <v>555660000</v>
      </c>
      <c r="AB474" s="54">
        <v>160000000</v>
      </c>
      <c r="AC474" s="494">
        <v>0</v>
      </c>
      <c r="AD474" s="54">
        <v>160000000</v>
      </c>
      <c r="AE474" s="498">
        <v>160000000</v>
      </c>
      <c r="AF474" s="498">
        <v>55000000</v>
      </c>
      <c r="AG474" s="440"/>
      <c r="AH474" s="440"/>
    </row>
    <row r="475" spans="1:34" s="5" customFormat="1" x14ac:dyDescent="0.2">
      <c r="A475" s="33"/>
      <c r="B475" s="72" t="s">
        <v>155</v>
      </c>
      <c r="C475" s="274"/>
      <c r="D475" s="499">
        <v>105000000</v>
      </c>
      <c r="E475" s="676">
        <v>165000000</v>
      </c>
      <c r="F475" s="500">
        <v>89943600</v>
      </c>
      <c r="G475" s="500">
        <v>89943600</v>
      </c>
      <c r="H475" s="676"/>
      <c r="I475" s="676">
        <f t="shared" si="187"/>
        <v>89943600</v>
      </c>
      <c r="J475" s="676">
        <f t="shared" si="197"/>
        <v>75056400</v>
      </c>
      <c r="K475" s="80" t="e">
        <f>K484+#REF!+#REF!+#REF!+#REF!+#REF!+#REF!</f>
        <v>#REF!</v>
      </c>
      <c r="L475" s="99" t="e">
        <f>SUM(L484,#REF!,#REF!,#REF!,#REF!,#REF!,#REF!)</f>
        <v>#REF!</v>
      </c>
      <c r="M475" s="619" t="e">
        <f>SUM(M484,#REF!,#REF!,#REF!,#REF!,#REF!,#REF!)</f>
        <v>#REF!</v>
      </c>
      <c r="N475" s="130" t="e">
        <f>SUM(N484,#REF!,#REF!,#REF!,#REF!,#REF!,#REF!)</f>
        <v>#REF!</v>
      </c>
      <c r="O475" s="529">
        <v>105512100</v>
      </c>
      <c r="P475" s="530"/>
      <c r="Q475" s="529">
        <f t="shared" si="188"/>
        <v>105512100</v>
      </c>
      <c r="R475" s="529">
        <v>84639960.650000006</v>
      </c>
      <c r="S475" s="529"/>
      <c r="T475" s="529">
        <f t="shared" si="189"/>
        <v>-3422798.2899999991</v>
      </c>
      <c r="U475" s="529">
        <f>SUM(U476:U478)</f>
        <v>77500000</v>
      </c>
      <c r="V475" s="529">
        <f t="shared" ref="P475:AF476" si="200">SUM(V476:V478)</f>
        <v>0</v>
      </c>
      <c r="W475" s="529">
        <f t="shared" si="200"/>
        <v>0</v>
      </c>
      <c r="X475" s="529">
        <f t="shared" si="200"/>
        <v>0</v>
      </c>
      <c r="Y475" s="529">
        <f t="shared" si="200"/>
        <v>0</v>
      </c>
      <c r="Z475" s="529">
        <f t="shared" si="200"/>
        <v>0</v>
      </c>
      <c r="AA475" s="529">
        <f t="shared" si="200"/>
        <v>0</v>
      </c>
      <c r="AB475" s="529">
        <f t="shared" si="200"/>
        <v>0</v>
      </c>
      <c r="AC475" s="529">
        <f t="shared" si="200"/>
        <v>0</v>
      </c>
      <c r="AD475" s="529">
        <f t="shared" si="200"/>
        <v>0</v>
      </c>
      <c r="AE475" s="529">
        <f t="shared" si="200"/>
        <v>0</v>
      </c>
      <c r="AF475" s="529">
        <f t="shared" si="200"/>
        <v>0</v>
      </c>
      <c r="AG475" s="440"/>
      <c r="AH475" s="440"/>
    </row>
    <row r="476" spans="1:34" s="112" customFormat="1" x14ac:dyDescent="0.2">
      <c r="A476" s="33"/>
      <c r="B476" s="34" t="s">
        <v>179</v>
      </c>
      <c r="C476" s="273"/>
      <c r="D476" s="499">
        <f>SUM(D477:D479)</f>
        <v>61331700</v>
      </c>
      <c r="E476" s="676">
        <f>SUM(E477:E479)</f>
        <v>77000000</v>
      </c>
      <c r="F476" s="500">
        <f t="shared" ref="F476:H476" si="201">SUM(F477:F479)</f>
        <v>54760600</v>
      </c>
      <c r="G476" s="500">
        <f t="shared" si="201"/>
        <v>54760600</v>
      </c>
      <c r="H476" s="676">
        <f t="shared" si="201"/>
        <v>0</v>
      </c>
      <c r="I476" s="676">
        <f t="shared" si="187"/>
        <v>54760600</v>
      </c>
      <c r="J476" s="676">
        <f t="shared" si="197"/>
        <v>22239400</v>
      </c>
      <c r="K476" s="52">
        <v>20000000</v>
      </c>
      <c r="L476" s="53"/>
      <c r="M476" s="613">
        <v>31576000</v>
      </c>
      <c r="N476" s="52"/>
      <c r="O476" s="529">
        <f>SUM(O477:O479)</f>
        <v>61156000</v>
      </c>
      <c r="P476" s="529">
        <f t="shared" si="200"/>
        <v>0</v>
      </c>
      <c r="Q476" s="529">
        <f t="shared" si="188"/>
        <v>61156000</v>
      </c>
      <c r="R476" s="529">
        <f>SUM(R477:R479)</f>
        <v>64578798.289999999</v>
      </c>
      <c r="S476" s="529">
        <f t="shared" si="200"/>
        <v>0</v>
      </c>
      <c r="T476" s="529">
        <f t="shared" si="189"/>
        <v>-1144575</v>
      </c>
      <c r="U476" s="52">
        <v>25500000</v>
      </c>
      <c r="V476" s="52"/>
      <c r="W476" s="52"/>
      <c r="X476" s="52"/>
      <c r="Y476" s="52"/>
      <c r="Z476" s="52"/>
      <c r="AA476" s="52"/>
      <c r="AB476" s="54"/>
      <c r="AC476" s="494"/>
      <c r="AD476" s="55"/>
      <c r="AE476" s="499"/>
      <c r="AF476" s="602"/>
      <c r="AG476" s="564"/>
      <c r="AH476" s="440"/>
    </row>
    <row r="477" spans="1:34" s="112" customFormat="1" x14ac:dyDescent="0.2">
      <c r="A477" s="33"/>
      <c r="B477" s="146"/>
      <c r="C477" s="72" t="s">
        <v>98</v>
      </c>
      <c r="D477" s="507">
        <v>20000000</v>
      </c>
      <c r="E477" s="664">
        <v>25000000</v>
      </c>
      <c r="F477" s="660">
        <v>16483700</v>
      </c>
      <c r="G477" s="660">
        <v>16483700</v>
      </c>
      <c r="H477" s="664"/>
      <c r="I477" s="664">
        <f t="shared" si="187"/>
        <v>16483700</v>
      </c>
      <c r="J477" s="664">
        <f t="shared" si="197"/>
        <v>8516300</v>
      </c>
      <c r="K477" s="52">
        <v>17000000</v>
      </c>
      <c r="L477" s="53"/>
      <c r="M477" s="613">
        <v>29102000</v>
      </c>
      <c r="N477" s="52"/>
      <c r="O477" s="529">
        <v>20000000</v>
      </c>
      <c r="P477" s="530"/>
      <c r="Q477" s="529">
        <f t="shared" si="188"/>
        <v>20000000</v>
      </c>
      <c r="R477" s="529">
        <f>1500000+19644575</f>
        <v>21144575</v>
      </c>
      <c r="S477" s="529"/>
      <c r="T477" s="529">
        <f t="shared" si="189"/>
        <v>-1132900</v>
      </c>
      <c r="U477" s="52">
        <v>22000000</v>
      </c>
      <c r="V477" s="52"/>
      <c r="W477" s="52"/>
      <c r="X477" s="52"/>
      <c r="Y477" s="52"/>
      <c r="Z477" s="52"/>
      <c r="AA477" s="52"/>
      <c r="AB477" s="54"/>
      <c r="AC477" s="494"/>
      <c r="AD477" s="55"/>
      <c r="AE477" s="499"/>
      <c r="AF477" s="602"/>
      <c r="AG477" s="564"/>
      <c r="AH477" s="440"/>
    </row>
    <row r="478" spans="1:34" s="112" customFormat="1" x14ac:dyDescent="0.2">
      <c r="A478" s="33"/>
      <c r="B478" s="146"/>
      <c r="C478" s="72" t="s">
        <v>99</v>
      </c>
      <c r="D478" s="507">
        <v>17000000</v>
      </c>
      <c r="E478" s="664">
        <v>22000000</v>
      </c>
      <c r="F478" s="660">
        <v>14941500</v>
      </c>
      <c r="G478" s="660">
        <v>14941500</v>
      </c>
      <c r="H478" s="664"/>
      <c r="I478" s="664">
        <f t="shared" si="187"/>
        <v>14941500</v>
      </c>
      <c r="J478" s="664">
        <f t="shared" si="197"/>
        <v>7058500</v>
      </c>
      <c r="K478" s="52">
        <v>24156000</v>
      </c>
      <c r="L478" s="53"/>
      <c r="M478" s="613">
        <v>21443000</v>
      </c>
      <c r="N478" s="52"/>
      <c r="O478" s="529">
        <v>17000000</v>
      </c>
      <c r="P478" s="530"/>
      <c r="Q478" s="529">
        <f t="shared" si="188"/>
        <v>17000000</v>
      </c>
      <c r="R478" s="529">
        <f>1500000+16632900</f>
        <v>18132900</v>
      </c>
      <c r="S478" s="529"/>
      <c r="T478" s="529">
        <f t="shared" si="189"/>
        <v>-1145323.2899999991</v>
      </c>
      <c r="U478" s="52">
        <v>30000000</v>
      </c>
      <c r="V478" s="52"/>
      <c r="W478" s="52"/>
      <c r="X478" s="52"/>
      <c r="Y478" s="52"/>
      <c r="Z478" s="52"/>
      <c r="AA478" s="52"/>
      <c r="AB478" s="54"/>
      <c r="AC478" s="494"/>
      <c r="AD478" s="54"/>
      <c r="AE478" s="498"/>
      <c r="AF478" s="498"/>
      <c r="AG478" s="564"/>
      <c r="AH478" s="440"/>
    </row>
    <row r="479" spans="1:34" s="112" customFormat="1" ht="24" customHeight="1" x14ac:dyDescent="0.2">
      <c r="A479" s="101"/>
      <c r="B479" s="297"/>
      <c r="C479" s="287" t="s">
        <v>100</v>
      </c>
      <c r="D479" s="617">
        <f>24156000+175700</f>
        <v>24331700</v>
      </c>
      <c r="E479" s="677">
        <v>30000000</v>
      </c>
      <c r="F479" s="678">
        <v>23335400</v>
      </c>
      <c r="G479" s="678">
        <v>23335400</v>
      </c>
      <c r="H479" s="677"/>
      <c r="I479" s="677">
        <f t="shared" si="187"/>
        <v>23335400</v>
      </c>
      <c r="J479" s="677">
        <f t="shared" si="197"/>
        <v>6664600</v>
      </c>
      <c r="K479" s="52" t="e">
        <f>K484+#REF!+#REF!+#REF!+#REF!</f>
        <v>#REF!</v>
      </c>
      <c r="L479" s="53" t="e">
        <f>SUM(L484,#REF!,#REF!,#REF!,#REF!)</f>
        <v>#REF!</v>
      </c>
      <c r="M479" s="613" t="e">
        <f>SUM(M484,#REF!,#REF!,#REF!,#REF!)</f>
        <v>#REF!</v>
      </c>
      <c r="N479" s="115" t="e">
        <f>SUM(N484,#REF!,#REF!,#REF!,#REF!)</f>
        <v>#REF!</v>
      </c>
      <c r="O479" s="529">
        <v>24156000</v>
      </c>
      <c r="P479" s="530"/>
      <c r="Q479" s="529">
        <f t="shared" si="188"/>
        <v>24156000</v>
      </c>
      <c r="R479" s="529">
        <f>1264235.79+24037087.5</f>
        <v>25301323.289999999</v>
      </c>
      <c r="S479" s="529"/>
      <c r="T479" s="605">
        <f t="shared" si="189"/>
        <v>-7178560.0600000024</v>
      </c>
      <c r="U479" s="605">
        <f>SUM(U480:U483)</f>
        <v>213000000</v>
      </c>
      <c r="V479" s="605">
        <f t="shared" ref="O479:AF480" si="202">SUM(V480:V483)</f>
        <v>0</v>
      </c>
      <c r="W479" s="605">
        <f t="shared" si="202"/>
        <v>0</v>
      </c>
      <c r="X479" s="605">
        <f t="shared" si="202"/>
        <v>0</v>
      </c>
      <c r="Y479" s="605">
        <f t="shared" si="202"/>
        <v>0</v>
      </c>
      <c r="Z479" s="605">
        <f t="shared" si="202"/>
        <v>0</v>
      </c>
      <c r="AA479" s="605">
        <f t="shared" si="202"/>
        <v>0</v>
      </c>
      <c r="AB479" s="605">
        <f t="shared" si="202"/>
        <v>0</v>
      </c>
      <c r="AC479" s="605">
        <f t="shared" si="202"/>
        <v>0</v>
      </c>
      <c r="AD479" s="605">
        <f t="shared" si="202"/>
        <v>0</v>
      </c>
      <c r="AE479" s="605">
        <f t="shared" si="202"/>
        <v>0</v>
      </c>
      <c r="AF479" s="605">
        <f t="shared" si="202"/>
        <v>0</v>
      </c>
      <c r="AG479" s="564"/>
      <c r="AH479" s="440"/>
    </row>
    <row r="480" spans="1:34" s="112" customFormat="1" x14ac:dyDescent="0.2">
      <c r="A480" s="276"/>
      <c r="B480" s="291" t="s">
        <v>180</v>
      </c>
      <c r="C480" s="298"/>
      <c r="D480" s="679">
        <f>SUM(D481:D484)</f>
        <v>165008100</v>
      </c>
      <c r="E480" s="680">
        <f>SUM(E481:E484)</f>
        <v>206000000</v>
      </c>
      <c r="F480" s="681">
        <f t="shared" ref="F480:H480" si="203">SUM(F481:F484)</f>
        <v>151318800</v>
      </c>
      <c r="G480" s="681">
        <f t="shared" si="203"/>
        <v>151318800</v>
      </c>
      <c r="H480" s="680">
        <f t="shared" si="203"/>
        <v>0</v>
      </c>
      <c r="I480" s="680">
        <f t="shared" si="187"/>
        <v>151318800</v>
      </c>
      <c r="J480" s="680">
        <f t="shared" si="197"/>
        <v>54681200</v>
      </c>
      <c r="K480" s="52">
        <v>80200000</v>
      </c>
      <c r="L480" s="53"/>
      <c r="M480" s="613">
        <v>90030000</v>
      </c>
      <c r="N480" s="52"/>
      <c r="O480" s="605">
        <f t="shared" si="202"/>
        <v>165008100</v>
      </c>
      <c r="P480" s="605">
        <f t="shared" si="202"/>
        <v>0</v>
      </c>
      <c r="Q480" s="605">
        <f t="shared" si="188"/>
        <v>165008100</v>
      </c>
      <c r="R480" s="605">
        <f t="shared" si="202"/>
        <v>172186660.06</v>
      </c>
      <c r="S480" s="605">
        <f t="shared" si="202"/>
        <v>0</v>
      </c>
      <c r="T480" s="529">
        <f t="shared" si="189"/>
        <v>-3871942.9300000072</v>
      </c>
      <c r="U480" s="52">
        <v>100000000</v>
      </c>
      <c r="V480" s="52"/>
      <c r="W480" s="52"/>
      <c r="X480" s="52"/>
      <c r="Y480" s="52"/>
      <c r="Z480" s="52"/>
      <c r="AA480" s="52"/>
      <c r="AB480" s="54"/>
      <c r="AC480" s="494"/>
      <c r="AD480" s="55"/>
      <c r="AE480" s="499"/>
      <c r="AF480" s="602"/>
      <c r="AG480" s="564"/>
      <c r="AH480" s="440"/>
    </row>
    <row r="481" spans="1:34" s="112" customFormat="1" x14ac:dyDescent="0.2">
      <c r="A481" s="33"/>
      <c r="B481" s="146"/>
      <c r="C481" s="72" t="s">
        <v>105</v>
      </c>
      <c r="D481" s="499">
        <v>80200000</v>
      </c>
      <c r="E481" s="664">
        <v>100000000</v>
      </c>
      <c r="F481" s="660">
        <v>67002300</v>
      </c>
      <c r="G481" s="660">
        <v>67002300</v>
      </c>
      <c r="H481" s="664"/>
      <c r="I481" s="664">
        <f t="shared" si="187"/>
        <v>67002300</v>
      </c>
      <c r="J481" s="664">
        <f t="shared" si="197"/>
        <v>32997700</v>
      </c>
      <c r="K481" s="52">
        <v>16330000</v>
      </c>
      <c r="L481" s="53"/>
      <c r="M481" s="613">
        <v>16210000</v>
      </c>
      <c r="N481" s="52"/>
      <c r="O481" s="529">
        <v>80200000</v>
      </c>
      <c r="P481" s="530"/>
      <c r="Q481" s="529">
        <f t="shared" si="188"/>
        <v>80200000</v>
      </c>
      <c r="R481" s="529">
        <f>4032837.93+80039105</f>
        <v>84071942.930000007</v>
      </c>
      <c r="S481" s="529"/>
      <c r="T481" s="529">
        <f t="shared" si="189"/>
        <v>-1120219.1300000027</v>
      </c>
      <c r="U481" s="52">
        <v>25000000</v>
      </c>
      <c r="V481" s="52"/>
      <c r="W481" s="52"/>
      <c r="X481" s="52"/>
      <c r="Y481" s="52"/>
      <c r="Z481" s="52"/>
      <c r="AA481" s="52"/>
      <c r="AB481" s="54"/>
      <c r="AC481" s="494"/>
      <c r="AD481" s="55"/>
      <c r="AE481" s="499"/>
      <c r="AF481" s="602"/>
      <c r="AG481" s="564"/>
      <c r="AH481" s="440"/>
    </row>
    <row r="482" spans="1:34" s="112" customFormat="1" x14ac:dyDescent="0.2">
      <c r="A482" s="33"/>
      <c r="B482" s="146"/>
      <c r="C482" s="72" t="s">
        <v>181</v>
      </c>
      <c r="D482" s="499">
        <v>16330000</v>
      </c>
      <c r="E482" s="664">
        <v>21000000</v>
      </c>
      <c r="F482" s="660">
        <v>15318900</v>
      </c>
      <c r="G482" s="660">
        <v>15318900</v>
      </c>
      <c r="H482" s="664"/>
      <c r="I482" s="664">
        <f t="shared" si="187"/>
        <v>15318900</v>
      </c>
      <c r="J482" s="664">
        <f t="shared" si="197"/>
        <v>5681100</v>
      </c>
      <c r="K482" s="52">
        <v>43925300</v>
      </c>
      <c r="L482" s="53"/>
      <c r="M482" s="613">
        <v>36957000</v>
      </c>
      <c r="N482" s="52"/>
      <c r="O482" s="529">
        <v>16330000</v>
      </c>
      <c r="P482" s="530"/>
      <c r="Q482" s="529">
        <f t="shared" si="188"/>
        <v>16330000</v>
      </c>
      <c r="R482" s="529">
        <f>943869+16506350.13</f>
        <v>17450219.130000003</v>
      </c>
      <c r="S482" s="529"/>
      <c r="T482" s="529">
        <f t="shared" si="189"/>
        <v>-1139725</v>
      </c>
      <c r="U482" s="52">
        <v>58000000</v>
      </c>
      <c r="V482" s="52"/>
      <c r="W482" s="52"/>
      <c r="X482" s="52"/>
      <c r="Y482" s="52"/>
      <c r="Z482" s="52"/>
      <c r="AA482" s="52"/>
      <c r="AB482" s="54"/>
      <c r="AC482" s="494"/>
      <c r="AD482" s="55"/>
      <c r="AE482" s="499"/>
      <c r="AF482" s="602"/>
      <c r="AG482" s="564"/>
      <c r="AH482" s="440"/>
    </row>
    <row r="483" spans="1:34" s="112" customFormat="1" x14ac:dyDescent="0.2">
      <c r="A483" s="33"/>
      <c r="B483" s="146"/>
      <c r="C483" s="72" t="s">
        <v>107</v>
      </c>
      <c r="D483" s="499">
        <v>43925300</v>
      </c>
      <c r="E483" s="664">
        <v>54000000</v>
      </c>
      <c r="F483" s="660">
        <v>42332300</v>
      </c>
      <c r="G483" s="660">
        <v>42332300</v>
      </c>
      <c r="H483" s="664"/>
      <c r="I483" s="664">
        <f t="shared" si="187"/>
        <v>42332300</v>
      </c>
      <c r="J483" s="664">
        <f t="shared" si="197"/>
        <v>11667700</v>
      </c>
      <c r="K483" s="52">
        <v>21240000</v>
      </c>
      <c r="L483" s="53"/>
      <c r="M483" s="613">
        <v>55783000</v>
      </c>
      <c r="N483" s="52"/>
      <c r="O483" s="529">
        <v>43925300</v>
      </c>
      <c r="P483" s="530"/>
      <c r="Q483" s="529">
        <f t="shared" si="188"/>
        <v>43925300</v>
      </c>
      <c r="R483" s="529">
        <f>900000+44165025</f>
        <v>45065025</v>
      </c>
      <c r="S483" s="529"/>
      <c r="T483" s="529">
        <f t="shared" si="189"/>
        <v>-1046673</v>
      </c>
      <c r="U483" s="52">
        <v>30000000</v>
      </c>
      <c r="V483" s="52"/>
      <c r="W483" s="52"/>
      <c r="X483" s="52"/>
      <c r="Y483" s="52"/>
      <c r="Z483" s="52"/>
      <c r="AA483" s="52"/>
      <c r="AB483" s="54"/>
      <c r="AC483" s="494"/>
      <c r="AD483" s="54"/>
      <c r="AE483" s="498"/>
      <c r="AF483" s="498"/>
      <c r="AG483" s="564"/>
      <c r="AH483" s="440"/>
    </row>
    <row r="484" spans="1:34" s="5" customFormat="1" x14ac:dyDescent="0.2">
      <c r="A484" s="33"/>
      <c r="B484" s="146"/>
      <c r="C484" s="72" t="s">
        <v>182</v>
      </c>
      <c r="D484" s="499">
        <v>24552800</v>
      </c>
      <c r="E484" s="664">
        <v>31000000</v>
      </c>
      <c r="F484" s="660">
        <v>26665300</v>
      </c>
      <c r="G484" s="660">
        <v>26665300</v>
      </c>
      <c r="H484" s="664"/>
      <c r="I484" s="664">
        <f t="shared" si="187"/>
        <v>26665300</v>
      </c>
      <c r="J484" s="664">
        <f t="shared" si="197"/>
        <v>4334700</v>
      </c>
      <c r="K484" s="682">
        <f>SUM(K485)</f>
        <v>136807100</v>
      </c>
      <c r="L484" s="682">
        <f>SUM(L485)</f>
        <v>116827349.57999989</v>
      </c>
      <c r="M484" s="682">
        <f>SUM(M485)</f>
        <v>184881800</v>
      </c>
      <c r="N484" s="682">
        <f>SUM(N485)</f>
        <v>173402000</v>
      </c>
      <c r="O484" s="529">
        <v>24552800</v>
      </c>
      <c r="P484" s="530"/>
      <c r="Q484" s="529">
        <f t="shared" si="188"/>
        <v>24552800</v>
      </c>
      <c r="R484" s="529">
        <f>800000+24799473</f>
        <v>25599473</v>
      </c>
      <c r="S484" s="529"/>
      <c r="T484" s="682">
        <f t="shared" si="189"/>
        <v>146082198.64999998</v>
      </c>
      <c r="U484" s="682">
        <f>SUM(U485)</f>
        <v>77203900</v>
      </c>
      <c r="V484" s="682">
        <f t="shared" ref="V484:AF484" si="204">SUM(V485)</f>
        <v>0</v>
      </c>
      <c r="W484" s="682">
        <f t="shared" si="204"/>
        <v>0</v>
      </c>
      <c r="X484" s="682">
        <f t="shared" si="204"/>
        <v>0</v>
      </c>
      <c r="Y484" s="682">
        <f t="shared" si="204"/>
        <v>0</v>
      </c>
      <c r="Z484" s="682">
        <f t="shared" si="204"/>
        <v>0</v>
      </c>
      <c r="AA484" s="682">
        <f t="shared" si="204"/>
        <v>0</v>
      </c>
      <c r="AB484" s="682">
        <f t="shared" si="204"/>
        <v>75629200</v>
      </c>
      <c r="AC484" s="682">
        <f t="shared" si="204"/>
        <v>44000000</v>
      </c>
      <c r="AD484" s="682">
        <f t="shared" si="204"/>
        <v>31629200</v>
      </c>
      <c r="AE484" s="682">
        <f t="shared" si="204"/>
        <v>31629200</v>
      </c>
      <c r="AF484" s="682">
        <f t="shared" si="204"/>
        <v>0</v>
      </c>
      <c r="AG484" s="440"/>
      <c r="AH484" s="440"/>
    </row>
    <row r="485" spans="1:34" s="5" customFormat="1" x14ac:dyDescent="0.2">
      <c r="A485" s="20" t="s">
        <v>110</v>
      </c>
      <c r="B485" s="21"/>
      <c r="C485" s="22"/>
      <c r="D485" s="584">
        <v>275292200</v>
      </c>
      <c r="E485" s="586">
        <f>SUM(E486)</f>
        <v>349995800</v>
      </c>
      <c r="F485" s="587">
        <f t="shared" ref="F485:H485" si="205">SUM(F486)</f>
        <v>231354600</v>
      </c>
      <c r="G485" s="587">
        <f t="shared" si="205"/>
        <v>220354600</v>
      </c>
      <c r="H485" s="586">
        <f t="shared" si="205"/>
        <v>0</v>
      </c>
      <c r="I485" s="586">
        <f t="shared" si="187"/>
        <v>220354600</v>
      </c>
      <c r="J485" s="586">
        <f t="shared" si="197"/>
        <v>129641200</v>
      </c>
      <c r="K485" s="671">
        <f>K486+K487</f>
        <v>136807100</v>
      </c>
      <c r="L485" s="671">
        <f>L486+L487</f>
        <v>116827349.57999989</v>
      </c>
      <c r="M485" s="671">
        <f>M486+M487</f>
        <v>184881800</v>
      </c>
      <c r="N485" s="671">
        <f>N486+N487</f>
        <v>173402000</v>
      </c>
      <c r="O485" s="682">
        <f t="shared" ref="O485:S485" si="206">SUM(O486)</f>
        <v>302676600</v>
      </c>
      <c r="P485" s="682">
        <f t="shared" si="206"/>
        <v>0</v>
      </c>
      <c r="Q485" s="682">
        <f t="shared" si="188"/>
        <v>302676600</v>
      </c>
      <c r="R485" s="682">
        <f t="shared" si="206"/>
        <v>156594401.35000002</v>
      </c>
      <c r="S485" s="682">
        <f t="shared" si="206"/>
        <v>0</v>
      </c>
      <c r="T485" s="671">
        <f t="shared" si="189"/>
        <v>146082198.64999998</v>
      </c>
      <c r="U485" s="671">
        <f>U486+U487</f>
        <v>77203900</v>
      </c>
      <c r="V485" s="671">
        <f t="shared" ref="V485:AF485" si="207">V486+V487</f>
        <v>0</v>
      </c>
      <c r="W485" s="671">
        <f t="shared" si="207"/>
        <v>0</v>
      </c>
      <c r="X485" s="671">
        <f t="shared" si="207"/>
        <v>0</v>
      </c>
      <c r="Y485" s="671">
        <f t="shared" si="207"/>
        <v>0</v>
      </c>
      <c r="Z485" s="671">
        <f t="shared" si="207"/>
        <v>0</v>
      </c>
      <c r="AA485" s="671">
        <f t="shared" si="207"/>
        <v>0</v>
      </c>
      <c r="AB485" s="671">
        <f t="shared" si="207"/>
        <v>75629200</v>
      </c>
      <c r="AC485" s="671">
        <f t="shared" si="207"/>
        <v>44000000</v>
      </c>
      <c r="AD485" s="671">
        <f t="shared" si="207"/>
        <v>31629200</v>
      </c>
      <c r="AE485" s="671">
        <f t="shared" si="207"/>
        <v>31629200</v>
      </c>
      <c r="AF485" s="671">
        <f t="shared" si="207"/>
        <v>0</v>
      </c>
      <c r="AG485" s="440"/>
      <c r="AH485" s="440"/>
    </row>
    <row r="486" spans="1:34" s="5" customFormat="1" ht="24" customHeight="1" x14ac:dyDescent="0.2">
      <c r="A486" s="131" t="s">
        <v>114</v>
      </c>
      <c r="B486" s="132"/>
      <c r="C486" s="133"/>
      <c r="D486" s="671">
        <v>275292200</v>
      </c>
      <c r="E486" s="672">
        <f>+E487+E665</f>
        <v>349995800</v>
      </c>
      <c r="F486" s="673">
        <f>+F487+F665</f>
        <v>231354600</v>
      </c>
      <c r="G486" s="673">
        <f>+G487+G665</f>
        <v>220354600</v>
      </c>
      <c r="H486" s="672">
        <f>+H487+H665</f>
        <v>0</v>
      </c>
      <c r="I486" s="672">
        <f t="shared" si="187"/>
        <v>220354600</v>
      </c>
      <c r="J486" s="672">
        <f t="shared" si="197"/>
        <v>129641200</v>
      </c>
      <c r="K486" s="29">
        <v>136807100</v>
      </c>
      <c r="L486" s="30">
        <v>116827349.57999989</v>
      </c>
      <c r="M486" s="683">
        <v>184881800</v>
      </c>
      <c r="N486" s="135">
        <v>173402000</v>
      </c>
      <c r="O486" s="671">
        <v>302676600</v>
      </c>
      <c r="P486" s="684"/>
      <c r="Q486" s="671">
        <f t="shared" si="188"/>
        <v>302676600</v>
      </c>
      <c r="R486" s="671">
        <v>156594401.35000002</v>
      </c>
      <c r="S486" s="671"/>
      <c r="T486" s="501">
        <f t="shared" si="189"/>
        <v>129402000</v>
      </c>
      <c r="U486" s="135">
        <v>77203900</v>
      </c>
      <c r="V486" s="135"/>
      <c r="W486" s="135"/>
      <c r="X486" s="135"/>
      <c r="Y486" s="135"/>
      <c r="Z486" s="135"/>
      <c r="AA486" s="135"/>
      <c r="AB486" s="54">
        <v>75629200</v>
      </c>
      <c r="AC486" s="494">
        <v>44000000</v>
      </c>
      <c r="AD486" s="55">
        <v>31629200</v>
      </c>
      <c r="AE486" s="462">
        <v>31629200</v>
      </c>
      <c r="AF486" s="496"/>
      <c r="AG486" s="440"/>
      <c r="AH486" s="440"/>
    </row>
    <row r="487" spans="1:34" ht="24" customHeight="1" x14ac:dyDescent="0.35">
      <c r="A487" s="134"/>
      <c r="B487" s="72" t="s">
        <v>14</v>
      </c>
      <c r="C487" s="125"/>
      <c r="D487" s="501">
        <v>31629200</v>
      </c>
      <c r="E487" s="521">
        <v>97827400</v>
      </c>
      <c r="F487" s="526">
        <f>+F488+F586+F593+F635+F645+F651</f>
        <v>62300800</v>
      </c>
      <c r="G487" s="526">
        <f>+G488+G586+G593+G635+G645+G651</f>
        <v>56300800</v>
      </c>
      <c r="H487" s="521"/>
      <c r="I487" s="521">
        <f t="shared" si="187"/>
        <v>56300800</v>
      </c>
      <c r="J487" s="521">
        <f t="shared" si="197"/>
        <v>41526600</v>
      </c>
      <c r="K487" s="685"/>
      <c r="L487" s="254"/>
      <c r="M487" s="686"/>
      <c r="N487" s="685"/>
      <c r="O487" s="501">
        <v>129402000</v>
      </c>
      <c r="P487" s="524"/>
      <c r="Q487" s="501">
        <f t="shared" si="188"/>
        <v>129402000</v>
      </c>
      <c r="R487" s="501"/>
      <c r="S487" s="501"/>
      <c r="T487" s="687">
        <f>Q665-R665-S665</f>
        <v>0</v>
      </c>
      <c r="U487" s="686"/>
      <c r="V487" s="685"/>
      <c r="W487" s="254"/>
      <c r="X487" s="686"/>
      <c r="Y487" s="685"/>
      <c r="Z487" s="254"/>
      <c r="AA487" s="686"/>
      <c r="AB487" s="685"/>
      <c r="AC487" s="254"/>
      <c r="AD487" s="686"/>
      <c r="AE487" s="685"/>
      <c r="AF487" s="254"/>
      <c r="AG487" s="688"/>
      <c r="AH487" s="688"/>
    </row>
    <row r="488" spans="1:34" x14ac:dyDescent="0.35">
      <c r="A488" s="313"/>
      <c r="B488" s="72" t="s">
        <v>451</v>
      </c>
      <c r="C488" s="125"/>
      <c r="D488" s="689"/>
      <c r="E488" s="690">
        <v>11808400</v>
      </c>
      <c r="F488" s="691">
        <f>+F489</f>
        <v>11394500</v>
      </c>
      <c r="G488" s="691">
        <f>+G489</f>
        <v>11394500</v>
      </c>
      <c r="H488" s="690"/>
      <c r="I488" s="690">
        <f t="shared" si="187"/>
        <v>11394500</v>
      </c>
      <c r="J488" s="690">
        <f t="shared" si="197"/>
        <v>413900</v>
      </c>
      <c r="K488" s="154">
        <f>+K790+K851</f>
        <v>0</v>
      </c>
      <c r="L488" s="155">
        <f>+L790+L851</f>
        <v>0</v>
      </c>
      <c r="M488" s="692">
        <f>+M790+M851</f>
        <v>0</v>
      </c>
      <c r="N488" s="154">
        <f>+N790+N851</f>
        <v>0</v>
      </c>
      <c r="O488" s="689">
        <v>63222400</v>
      </c>
      <c r="P488" s="689">
        <v>0</v>
      </c>
      <c r="Q488" s="689">
        <f t="shared" si="188"/>
        <v>63222400</v>
      </c>
      <c r="R488" s="689">
        <v>13804289.58</v>
      </c>
      <c r="S488" s="689">
        <v>0</v>
      </c>
      <c r="T488" s="693">
        <f>Q811-R811-S811</f>
        <v>0</v>
      </c>
      <c r="U488" s="693">
        <f t="shared" ref="U488:AF488" si="208">+U790+U851</f>
        <v>0</v>
      </c>
      <c r="V488" s="693">
        <f t="shared" si="208"/>
        <v>0</v>
      </c>
      <c r="W488" s="693">
        <f t="shared" si="208"/>
        <v>0</v>
      </c>
      <c r="X488" s="693">
        <f t="shared" si="208"/>
        <v>0</v>
      </c>
      <c r="Y488" s="693">
        <f t="shared" si="208"/>
        <v>0</v>
      </c>
      <c r="Z488" s="693">
        <f t="shared" si="208"/>
        <v>0</v>
      </c>
      <c r="AA488" s="693">
        <f t="shared" si="208"/>
        <v>0</v>
      </c>
      <c r="AB488" s="693">
        <f t="shared" si="208"/>
        <v>0</v>
      </c>
      <c r="AC488" s="693">
        <f t="shared" si="208"/>
        <v>0</v>
      </c>
      <c r="AD488" s="693">
        <f t="shared" si="208"/>
        <v>0</v>
      </c>
      <c r="AE488" s="693">
        <f t="shared" si="208"/>
        <v>0</v>
      </c>
      <c r="AF488" s="693">
        <f t="shared" si="208"/>
        <v>0</v>
      </c>
    </row>
    <row r="489" spans="1:34" x14ac:dyDescent="0.35">
      <c r="A489" s="313"/>
      <c r="B489" s="293" t="s">
        <v>453</v>
      </c>
      <c r="C489" s="125"/>
      <c r="D489" s="689"/>
      <c r="E489" s="690"/>
      <c r="F489" s="694">
        <f>SUM(F490:F585)</f>
        <v>11394500</v>
      </c>
      <c r="G489" s="694">
        <f>SUM(G490:G585)</f>
        <v>11394500</v>
      </c>
      <c r="H489" s="690"/>
      <c r="I489" s="690"/>
      <c r="J489" s="690"/>
      <c r="K489" s="154"/>
      <c r="L489" s="155"/>
      <c r="M489" s="692"/>
      <c r="N489" s="154"/>
      <c r="O489" s="689"/>
      <c r="P489" s="689"/>
      <c r="Q489" s="689"/>
      <c r="R489" s="689"/>
      <c r="S489" s="689"/>
      <c r="T489" s="693"/>
      <c r="U489" s="693"/>
      <c r="V489" s="693"/>
      <c r="W489" s="693"/>
      <c r="X489" s="693"/>
      <c r="Y489" s="693"/>
      <c r="Z489" s="693"/>
      <c r="AA489" s="693"/>
      <c r="AB489" s="693"/>
      <c r="AC489" s="693"/>
      <c r="AD489" s="693"/>
      <c r="AE489" s="693"/>
      <c r="AF489" s="693"/>
    </row>
    <row r="490" spans="1:34" x14ac:dyDescent="0.35">
      <c r="A490" s="313"/>
      <c r="B490" s="293"/>
      <c r="C490" s="221" t="s">
        <v>454</v>
      </c>
      <c r="D490" s="689"/>
      <c r="E490" s="690"/>
      <c r="F490" s="694">
        <v>14600</v>
      </c>
      <c r="G490" s="694">
        <v>14600</v>
      </c>
      <c r="H490" s="690"/>
      <c r="I490" s="690"/>
      <c r="J490" s="690"/>
      <c r="K490" s="154"/>
      <c r="L490" s="155"/>
      <c r="M490" s="692"/>
      <c r="N490" s="154"/>
      <c r="O490" s="689"/>
      <c r="P490" s="689"/>
      <c r="Q490" s="689"/>
      <c r="R490" s="689"/>
      <c r="S490" s="689"/>
      <c r="T490" s="693"/>
      <c r="U490" s="693"/>
      <c r="V490" s="693"/>
      <c r="W490" s="693"/>
      <c r="X490" s="693"/>
      <c r="Y490" s="693"/>
      <c r="Z490" s="693"/>
      <c r="AA490" s="693"/>
      <c r="AB490" s="693"/>
      <c r="AC490" s="693"/>
      <c r="AD490" s="693"/>
      <c r="AE490" s="693"/>
      <c r="AF490" s="693"/>
    </row>
    <row r="491" spans="1:34" x14ac:dyDescent="0.35">
      <c r="A491" s="313"/>
      <c r="B491" s="293"/>
      <c r="C491" s="221" t="s">
        <v>455</v>
      </c>
      <c r="D491" s="689"/>
      <c r="E491" s="690"/>
      <c r="F491" s="694">
        <v>116300</v>
      </c>
      <c r="G491" s="694">
        <v>116300</v>
      </c>
      <c r="H491" s="690"/>
      <c r="I491" s="690"/>
      <c r="J491" s="690"/>
      <c r="K491" s="154"/>
      <c r="L491" s="155"/>
      <c r="M491" s="692"/>
      <c r="N491" s="154"/>
      <c r="O491" s="689"/>
      <c r="P491" s="689"/>
      <c r="Q491" s="689"/>
      <c r="R491" s="689"/>
      <c r="S491" s="689"/>
      <c r="T491" s="693"/>
      <c r="U491" s="693"/>
      <c r="V491" s="693"/>
      <c r="W491" s="693"/>
      <c r="X491" s="693"/>
      <c r="Y491" s="693"/>
      <c r="Z491" s="693"/>
      <c r="AA491" s="693"/>
      <c r="AB491" s="693"/>
      <c r="AC491" s="693"/>
      <c r="AD491" s="693"/>
      <c r="AE491" s="693"/>
      <c r="AF491" s="693"/>
    </row>
    <row r="492" spans="1:34" x14ac:dyDescent="0.35">
      <c r="A492" s="313"/>
      <c r="B492" s="293"/>
      <c r="C492" s="221" t="s">
        <v>456</v>
      </c>
      <c r="D492" s="689"/>
      <c r="E492" s="690"/>
      <c r="F492" s="694">
        <v>9800</v>
      </c>
      <c r="G492" s="694">
        <v>9800</v>
      </c>
      <c r="H492" s="690"/>
      <c r="I492" s="690"/>
      <c r="J492" s="690"/>
      <c r="K492" s="154"/>
      <c r="L492" s="155"/>
      <c r="M492" s="692"/>
      <c r="N492" s="154"/>
      <c r="O492" s="689"/>
      <c r="P492" s="689"/>
      <c r="Q492" s="689"/>
      <c r="R492" s="689"/>
      <c r="S492" s="689"/>
      <c r="T492" s="693"/>
      <c r="U492" s="693"/>
      <c r="V492" s="693"/>
      <c r="W492" s="693"/>
      <c r="X492" s="693"/>
      <c r="Y492" s="693"/>
      <c r="Z492" s="693"/>
      <c r="AA492" s="693"/>
      <c r="AB492" s="693"/>
      <c r="AC492" s="693"/>
      <c r="AD492" s="693"/>
      <c r="AE492" s="693"/>
      <c r="AF492" s="693"/>
    </row>
    <row r="493" spans="1:34" x14ac:dyDescent="0.35">
      <c r="A493" s="313"/>
      <c r="B493" s="293"/>
      <c r="C493" s="221" t="s">
        <v>457</v>
      </c>
      <c r="D493" s="689"/>
      <c r="E493" s="690"/>
      <c r="F493" s="694">
        <v>15500</v>
      </c>
      <c r="G493" s="694">
        <v>15500</v>
      </c>
      <c r="H493" s="690"/>
      <c r="I493" s="690"/>
      <c r="J493" s="690"/>
      <c r="K493" s="154"/>
      <c r="L493" s="155"/>
      <c r="M493" s="692"/>
      <c r="N493" s="154"/>
      <c r="O493" s="689"/>
      <c r="P493" s="689"/>
      <c r="Q493" s="689"/>
      <c r="R493" s="689"/>
      <c r="S493" s="689"/>
      <c r="T493" s="693"/>
      <c r="U493" s="693"/>
      <c r="V493" s="693"/>
      <c r="W493" s="693"/>
      <c r="X493" s="693"/>
      <c r="Y493" s="693"/>
      <c r="Z493" s="693"/>
      <c r="AA493" s="693"/>
      <c r="AB493" s="693"/>
      <c r="AC493" s="693"/>
      <c r="AD493" s="693"/>
      <c r="AE493" s="693"/>
      <c r="AF493" s="693"/>
    </row>
    <row r="494" spans="1:34" x14ac:dyDescent="0.35">
      <c r="A494" s="313"/>
      <c r="B494" s="293"/>
      <c r="C494" s="221" t="s">
        <v>458</v>
      </c>
      <c r="D494" s="689"/>
      <c r="E494" s="690"/>
      <c r="F494" s="694">
        <v>30400</v>
      </c>
      <c r="G494" s="694">
        <v>30400</v>
      </c>
      <c r="H494" s="690"/>
      <c r="I494" s="690"/>
      <c r="J494" s="690"/>
      <c r="K494" s="154"/>
      <c r="L494" s="155"/>
      <c r="M494" s="692"/>
      <c r="N494" s="154"/>
      <c r="O494" s="689"/>
      <c r="P494" s="689"/>
      <c r="Q494" s="689"/>
      <c r="R494" s="689"/>
      <c r="S494" s="689"/>
      <c r="T494" s="693"/>
      <c r="U494" s="693"/>
      <c r="V494" s="693"/>
      <c r="W494" s="693"/>
      <c r="X494" s="693"/>
      <c r="Y494" s="693"/>
      <c r="Z494" s="693"/>
      <c r="AA494" s="693"/>
      <c r="AB494" s="693"/>
      <c r="AC494" s="693"/>
      <c r="AD494" s="693"/>
      <c r="AE494" s="693"/>
      <c r="AF494" s="693"/>
    </row>
    <row r="495" spans="1:34" x14ac:dyDescent="0.35">
      <c r="A495" s="313"/>
      <c r="B495" s="293"/>
      <c r="C495" s="221" t="s">
        <v>459</v>
      </c>
      <c r="D495" s="689"/>
      <c r="E495" s="690"/>
      <c r="F495" s="694">
        <v>261299.99999999997</v>
      </c>
      <c r="G495" s="694">
        <v>261299.99999999997</v>
      </c>
      <c r="H495" s="690"/>
      <c r="I495" s="690"/>
      <c r="J495" s="690"/>
      <c r="K495" s="154"/>
      <c r="L495" s="155"/>
      <c r="M495" s="692"/>
      <c r="N495" s="154"/>
      <c r="O495" s="689"/>
      <c r="P495" s="689"/>
      <c r="Q495" s="689"/>
      <c r="R495" s="689"/>
      <c r="S495" s="689"/>
      <c r="T495" s="693"/>
      <c r="U495" s="693"/>
      <c r="V495" s="693"/>
      <c r="W495" s="693"/>
      <c r="X495" s="693"/>
      <c r="Y495" s="693"/>
      <c r="Z495" s="693"/>
      <c r="AA495" s="693"/>
      <c r="AB495" s="693"/>
      <c r="AC495" s="693"/>
      <c r="AD495" s="693"/>
      <c r="AE495" s="693"/>
      <c r="AF495" s="693"/>
    </row>
    <row r="496" spans="1:34" x14ac:dyDescent="0.35">
      <c r="A496" s="313"/>
      <c r="B496" s="293"/>
      <c r="C496" s="221" t="s">
        <v>460</v>
      </c>
      <c r="D496" s="689"/>
      <c r="E496" s="690"/>
      <c r="F496" s="694">
        <v>255600</v>
      </c>
      <c r="G496" s="694">
        <v>255600</v>
      </c>
      <c r="H496" s="690"/>
      <c r="I496" s="690"/>
      <c r="J496" s="690"/>
      <c r="K496" s="154"/>
      <c r="L496" s="155"/>
      <c r="M496" s="692"/>
      <c r="N496" s="154"/>
      <c r="O496" s="689"/>
      <c r="P496" s="689"/>
      <c r="Q496" s="689"/>
      <c r="R496" s="689"/>
      <c r="S496" s="689"/>
      <c r="T496" s="693"/>
      <c r="U496" s="693"/>
      <c r="V496" s="693"/>
      <c r="W496" s="693"/>
      <c r="X496" s="693"/>
      <c r="Y496" s="693"/>
      <c r="Z496" s="693"/>
      <c r="AA496" s="693"/>
      <c r="AB496" s="693"/>
      <c r="AC496" s="693"/>
      <c r="AD496" s="693"/>
      <c r="AE496" s="693"/>
      <c r="AF496" s="693"/>
    </row>
    <row r="497" spans="1:32" ht="42" x14ac:dyDescent="0.35">
      <c r="A497" s="313"/>
      <c r="B497" s="293"/>
      <c r="C497" s="695" t="s">
        <v>461</v>
      </c>
      <c r="D497" s="689"/>
      <c r="E497" s="690"/>
      <c r="F497" s="694">
        <v>64800</v>
      </c>
      <c r="G497" s="694">
        <v>64800</v>
      </c>
      <c r="H497" s="690"/>
      <c r="I497" s="690"/>
      <c r="J497" s="690"/>
      <c r="K497" s="154"/>
      <c r="L497" s="155"/>
      <c r="M497" s="692"/>
      <c r="N497" s="154"/>
      <c r="O497" s="689"/>
      <c r="P497" s="689"/>
      <c r="Q497" s="689"/>
      <c r="R497" s="689"/>
      <c r="S497" s="689"/>
      <c r="T497" s="693"/>
      <c r="U497" s="693"/>
      <c r="V497" s="693"/>
      <c r="W497" s="693"/>
      <c r="X497" s="693"/>
      <c r="Y497" s="693"/>
      <c r="Z497" s="693"/>
      <c r="AA497" s="693"/>
      <c r="AB497" s="693"/>
      <c r="AC497" s="693"/>
      <c r="AD497" s="693"/>
      <c r="AE497" s="693"/>
      <c r="AF497" s="693"/>
    </row>
    <row r="498" spans="1:32" x14ac:dyDescent="0.35">
      <c r="A498" s="313"/>
      <c r="B498" s="293"/>
      <c r="C498" s="221" t="s">
        <v>462</v>
      </c>
      <c r="D498" s="689"/>
      <c r="E498" s="690"/>
      <c r="F498" s="694">
        <v>54000</v>
      </c>
      <c r="G498" s="694">
        <v>54000</v>
      </c>
      <c r="H498" s="690"/>
      <c r="I498" s="690"/>
      <c r="J498" s="690"/>
      <c r="K498" s="154"/>
      <c r="L498" s="155"/>
      <c r="M498" s="692"/>
      <c r="N498" s="154"/>
      <c r="O498" s="689"/>
      <c r="P498" s="689"/>
      <c r="Q498" s="689"/>
      <c r="R498" s="689"/>
      <c r="S498" s="689"/>
      <c r="T498" s="693"/>
      <c r="U498" s="693"/>
      <c r="V498" s="693"/>
      <c r="W498" s="693"/>
      <c r="X498" s="693"/>
      <c r="Y498" s="693"/>
      <c r="Z498" s="693"/>
      <c r="AA498" s="693"/>
      <c r="AB498" s="693"/>
      <c r="AC498" s="693"/>
      <c r="AD498" s="693"/>
      <c r="AE498" s="693"/>
      <c r="AF498" s="693"/>
    </row>
    <row r="499" spans="1:32" ht="42" x14ac:dyDescent="0.35">
      <c r="A499" s="313"/>
      <c r="B499" s="293"/>
      <c r="C499" s="695" t="s">
        <v>463</v>
      </c>
      <c r="D499" s="689"/>
      <c r="E499" s="690"/>
      <c r="F499" s="694">
        <v>712500</v>
      </c>
      <c r="G499" s="694">
        <v>712500</v>
      </c>
      <c r="H499" s="690"/>
      <c r="I499" s="690"/>
      <c r="J499" s="690"/>
      <c r="K499" s="154"/>
      <c r="L499" s="155"/>
      <c r="M499" s="692"/>
      <c r="N499" s="154"/>
      <c r="O499" s="689"/>
      <c r="P499" s="689"/>
      <c r="Q499" s="689"/>
      <c r="R499" s="689"/>
      <c r="S499" s="689"/>
      <c r="T499" s="693"/>
      <c r="U499" s="693"/>
      <c r="V499" s="693"/>
      <c r="W499" s="693"/>
      <c r="X499" s="693"/>
      <c r="Y499" s="693"/>
      <c r="Z499" s="693"/>
      <c r="AA499" s="693"/>
      <c r="AB499" s="693"/>
      <c r="AC499" s="693"/>
      <c r="AD499" s="693"/>
      <c r="AE499" s="693"/>
      <c r="AF499" s="693"/>
    </row>
    <row r="500" spans="1:32" ht="42" x14ac:dyDescent="0.35">
      <c r="A500" s="313"/>
      <c r="B500" s="293"/>
      <c r="C500" s="695" t="s">
        <v>464</v>
      </c>
      <c r="D500" s="689"/>
      <c r="E500" s="690"/>
      <c r="F500" s="694">
        <v>676900</v>
      </c>
      <c r="G500" s="694">
        <v>676900</v>
      </c>
      <c r="H500" s="690"/>
      <c r="I500" s="690"/>
      <c r="J500" s="690"/>
      <c r="K500" s="154"/>
      <c r="L500" s="155"/>
      <c r="M500" s="692"/>
      <c r="N500" s="154"/>
      <c r="O500" s="689"/>
      <c r="P500" s="689"/>
      <c r="Q500" s="689"/>
      <c r="R500" s="689"/>
      <c r="S500" s="689"/>
      <c r="T500" s="693"/>
      <c r="U500" s="693"/>
      <c r="V500" s="693"/>
      <c r="W500" s="693"/>
      <c r="X500" s="693"/>
      <c r="Y500" s="693"/>
      <c r="Z500" s="693"/>
      <c r="AA500" s="693"/>
      <c r="AB500" s="693"/>
      <c r="AC500" s="693"/>
      <c r="AD500" s="693"/>
      <c r="AE500" s="693"/>
      <c r="AF500" s="693"/>
    </row>
    <row r="501" spans="1:32" ht="42" x14ac:dyDescent="0.35">
      <c r="A501" s="313"/>
      <c r="B501" s="293"/>
      <c r="C501" s="695" t="s">
        <v>465</v>
      </c>
      <c r="D501" s="689"/>
      <c r="E501" s="690"/>
      <c r="F501" s="694">
        <v>85500</v>
      </c>
      <c r="G501" s="694">
        <v>85500</v>
      </c>
      <c r="H501" s="690"/>
      <c r="I501" s="690"/>
      <c r="J501" s="690"/>
      <c r="K501" s="154"/>
      <c r="L501" s="155"/>
      <c r="M501" s="692"/>
      <c r="N501" s="154"/>
      <c r="O501" s="689"/>
      <c r="P501" s="689"/>
      <c r="Q501" s="689"/>
      <c r="R501" s="689"/>
      <c r="S501" s="689"/>
      <c r="T501" s="693"/>
      <c r="U501" s="693"/>
      <c r="V501" s="693"/>
      <c r="W501" s="693"/>
      <c r="X501" s="693"/>
      <c r="Y501" s="693"/>
      <c r="Z501" s="693"/>
      <c r="AA501" s="693"/>
      <c r="AB501" s="693"/>
      <c r="AC501" s="693"/>
      <c r="AD501" s="693"/>
      <c r="AE501" s="693"/>
      <c r="AF501" s="693"/>
    </row>
    <row r="502" spans="1:32" x14ac:dyDescent="0.35">
      <c r="A502" s="313"/>
      <c r="B502" s="293"/>
      <c r="C502" s="221" t="s">
        <v>466</v>
      </c>
      <c r="D502" s="689"/>
      <c r="E502" s="690"/>
      <c r="F502" s="694">
        <v>6500</v>
      </c>
      <c r="G502" s="694">
        <v>6500</v>
      </c>
      <c r="H502" s="690"/>
      <c r="I502" s="690"/>
      <c r="J502" s="690"/>
      <c r="K502" s="154"/>
      <c r="L502" s="155"/>
      <c r="M502" s="692"/>
      <c r="N502" s="154"/>
      <c r="O502" s="689"/>
      <c r="P502" s="689"/>
      <c r="Q502" s="689"/>
      <c r="R502" s="689"/>
      <c r="S502" s="689"/>
      <c r="T502" s="693"/>
      <c r="U502" s="693"/>
      <c r="V502" s="693"/>
      <c r="W502" s="693"/>
      <c r="X502" s="693"/>
      <c r="Y502" s="693"/>
      <c r="Z502" s="693"/>
      <c r="AA502" s="693"/>
      <c r="AB502" s="693"/>
      <c r="AC502" s="693"/>
      <c r="AD502" s="693"/>
      <c r="AE502" s="693"/>
      <c r="AF502" s="693"/>
    </row>
    <row r="503" spans="1:32" x14ac:dyDescent="0.35">
      <c r="A503" s="313"/>
      <c r="B503" s="293"/>
      <c r="C503" s="221" t="s">
        <v>467</v>
      </c>
      <c r="D503" s="689"/>
      <c r="E503" s="690"/>
      <c r="F503" s="694">
        <v>81400</v>
      </c>
      <c r="G503" s="694">
        <v>81400</v>
      </c>
      <c r="H503" s="690"/>
      <c r="I503" s="690"/>
      <c r="J503" s="690"/>
      <c r="K503" s="154"/>
      <c r="L503" s="155"/>
      <c r="M503" s="692"/>
      <c r="N503" s="154"/>
      <c r="O503" s="689"/>
      <c r="P503" s="689"/>
      <c r="Q503" s="689"/>
      <c r="R503" s="689"/>
      <c r="S503" s="689"/>
      <c r="T503" s="693"/>
      <c r="U503" s="693"/>
      <c r="V503" s="693"/>
      <c r="W503" s="693"/>
      <c r="X503" s="693"/>
      <c r="Y503" s="693"/>
      <c r="Z503" s="693"/>
      <c r="AA503" s="693"/>
      <c r="AB503" s="693"/>
      <c r="AC503" s="693"/>
      <c r="AD503" s="693"/>
      <c r="AE503" s="693"/>
      <c r="AF503" s="693"/>
    </row>
    <row r="504" spans="1:32" x14ac:dyDescent="0.35">
      <c r="A504" s="313"/>
      <c r="B504" s="293"/>
      <c r="C504" s="221" t="s">
        <v>468</v>
      </c>
      <c r="D504" s="689"/>
      <c r="E504" s="690"/>
      <c r="F504" s="694">
        <v>6900</v>
      </c>
      <c r="G504" s="694">
        <v>6900</v>
      </c>
      <c r="H504" s="690"/>
      <c r="I504" s="690"/>
      <c r="J504" s="690"/>
      <c r="K504" s="154"/>
      <c r="L504" s="155"/>
      <c r="M504" s="692"/>
      <c r="N504" s="154"/>
      <c r="O504" s="689"/>
      <c r="P504" s="689"/>
      <c r="Q504" s="689"/>
      <c r="R504" s="689"/>
      <c r="S504" s="689"/>
      <c r="T504" s="693"/>
      <c r="U504" s="693"/>
      <c r="V504" s="693"/>
      <c r="W504" s="693"/>
      <c r="X504" s="693"/>
      <c r="Y504" s="693"/>
      <c r="Z504" s="693"/>
      <c r="AA504" s="693"/>
      <c r="AB504" s="693"/>
      <c r="AC504" s="693"/>
      <c r="AD504" s="693"/>
      <c r="AE504" s="693"/>
      <c r="AF504" s="693"/>
    </row>
    <row r="505" spans="1:32" x14ac:dyDescent="0.35">
      <c r="A505" s="313"/>
      <c r="B505" s="293"/>
      <c r="C505" s="221" t="s">
        <v>469</v>
      </c>
      <c r="D505" s="689"/>
      <c r="E505" s="690"/>
      <c r="F505" s="694">
        <v>24600</v>
      </c>
      <c r="G505" s="694">
        <v>24600</v>
      </c>
      <c r="H505" s="690"/>
      <c r="I505" s="690"/>
      <c r="J505" s="690"/>
      <c r="K505" s="154"/>
      <c r="L505" s="155"/>
      <c r="M505" s="692"/>
      <c r="N505" s="154"/>
      <c r="O505" s="689"/>
      <c r="P505" s="689"/>
      <c r="Q505" s="689"/>
      <c r="R505" s="689"/>
      <c r="S505" s="689"/>
      <c r="T505" s="693"/>
      <c r="U505" s="693"/>
      <c r="V505" s="693"/>
      <c r="W505" s="693"/>
      <c r="X505" s="693"/>
      <c r="Y505" s="693"/>
      <c r="Z505" s="693"/>
      <c r="AA505" s="693"/>
      <c r="AB505" s="693"/>
      <c r="AC505" s="693"/>
      <c r="AD505" s="693"/>
      <c r="AE505" s="693"/>
      <c r="AF505" s="693"/>
    </row>
    <row r="506" spans="1:32" x14ac:dyDescent="0.35">
      <c r="A506" s="313"/>
      <c r="B506" s="293"/>
      <c r="C506" s="695" t="s">
        <v>470</v>
      </c>
      <c r="D506" s="689"/>
      <c r="E506" s="690"/>
      <c r="F506" s="694">
        <v>29000</v>
      </c>
      <c r="G506" s="694">
        <v>29000</v>
      </c>
      <c r="H506" s="690"/>
      <c r="I506" s="690"/>
      <c r="J506" s="690"/>
      <c r="K506" s="154"/>
      <c r="L506" s="155"/>
      <c r="M506" s="692"/>
      <c r="N506" s="154"/>
      <c r="O506" s="689"/>
      <c r="P506" s="689"/>
      <c r="Q506" s="689"/>
      <c r="R506" s="689"/>
      <c r="S506" s="689"/>
      <c r="T506" s="693"/>
      <c r="U506" s="693"/>
      <c r="V506" s="693"/>
      <c r="W506" s="693"/>
      <c r="X506" s="693"/>
      <c r="Y506" s="693"/>
      <c r="Z506" s="693"/>
      <c r="AA506" s="693"/>
      <c r="AB506" s="693"/>
      <c r="AC506" s="693"/>
      <c r="AD506" s="693"/>
      <c r="AE506" s="693"/>
      <c r="AF506" s="693"/>
    </row>
    <row r="507" spans="1:32" x14ac:dyDescent="0.35">
      <c r="A507" s="313"/>
      <c r="B507" s="293"/>
      <c r="C507" s="221" t="s">
        <v>471</v>
      </c>
      <c r="D507" s="689"/>
      <c r="E507" s="690"/>
      <c r="F507" s="694">
        <v>26000</v>
      </c>
      <c r="G507" s="694">
        <v>26000</v>
      </c>
      <c r="H507" s="690"/>
      <c r="I507" s="690"/>
      <c r="J507" s="690"/>
      <c r="K507" s="154"/>
      <c r="L507" s="155"/>
      <c r="M507" s="692"/>
      <c r="N507" s="154"/>
      <c r="O507" s="689"/>
      <c r="P507" s="689"/>
      <c r="Q507" s="689"/>
      <c r="R507" s="689"/>
      <c r="S507" s="689"/>
      <c r="T507" s="693"/>
      <c r="U507" s="693"/>
      <c r="V507" s="693"/>
      <c r="W507" s="693"/>
      <c r="X507" s="693"/>
      <c r="Y507" s="693"/>
      <c r="Z507" s="693"/>
      <c r="AA507" s="693"/>
      <c r="AB507" s="693"/>
      <c r="AC507" s="693"/>
      <c r="AD507" s="693"/>
      <c r="AE507" s="693"/>
      <c r="AF507" s="693"/>
    </row>
    <row r="508" spans="1:32" x14ac:dyDescent="0.35">
      <c r="A508" s="313"/>
      <c r="B508" s="293"/>
      <c r="C508" s="221" t="s">
        <v>472</v>
      </c>
      <c r="D508" s="689"/>
      <c r="E508" s="690"/>
      <c r="F508" s="694">
        <v>12500</v>
      </c>
      <c r="G508" s="694">
        <v>12500</v>
      </c>
      <c r="H508" s="690"/>
      <c r="I508" s="690"/>
      <c r="J508" s="690"/>
      <c r="K508" s="154"/>
      <c r="L508" s="155"/>
      <c r="M508" s="692"/>
      <c r="N508" s="154"/>
      <c r="O508" s="689"/>
      <c r="P508" s="689"/>
      <c r="Q508" s="689"/>
      <c r="R508" s="689"/>
      <c r="S508" s="689"/>
      <c r="T508" s="693"/>
      <c r="U508" s="693"/>
      <c r="V508" s="693"/>
      <c r="W508" s="693"/>
      <c r="X508" s="693"/>
      <c r="Y508" s="693"/>
      <c r="Z508" s="693"/>
      <c r="AA508" s="693"/>
      <c r="AB508" s="693"/>
      <c r="AC508" s="693"/>
      <c r="AD508" s="693"/>
      <c r="AE508" s="693"/>
      <c r="AF508" s="693"/>
    </row>
    <row r="509" spans="1:32" x14ac:dyDescent="0.35">
      <c r="A509" s="313"/>
      <c r="B509" s="293"/>
      <c r="C509" s="221" t="s">
        <v>473</v>
      </c>
      <c r="D509" s="689"/>
      <c r="E509" s="690"/>
      <c r="F509" s="694">
        <v>7900.0000000000009</v>
      </c>
      <c r="G509" s="694">
        <v>7900.0000000000009</v>
      </c>
      <c r="H509" s="690"/>
      <c r="I509" s="690"/>
      <c r="J509" s="690"/>
      <c r="K509" s="154"/>
      <c r="L509" s="155"/>
      <c r="M509" s="692"/>
      <c r="N509" s="154"/>
      <c r="O509" s="689"/>
      <c r="P509" s="689"/>
      <c r="Q509" s="689"/>
      <c r="R509" s="689"/>
      <c r="S509" s="689"/>
      <c r="T509" s="693"/>
      <c r="U509" s="693"/>
      <c r="V509" s="693"/>
      <c r="W509" s="693"/>
      <c r="X509" s="693"/>
      <c r="Y509" s="693"/>
      <c r="Z509" s="693"/>
      <c r="AA509" s="693"/>
      <c r="AB509" s="693"/>
      <c r="AC509" s="693"/>
      <c r="AD509" s="693"/>
      <c r="AE509" s="693"/>
      <c r="AF509" s="693"/>
    </row>
    <row r="510" spans="1:32" x14ac:dyDescent="0.35">
      <c r="A510" s="313"/>
      <c r="B510" s="293"/>
      <c r="C510" s="221" t="s">
        <v>474</v>
      </c>
      <c r="D510" s="689"/>
      <c r="E510" s="690"/>
      <c r="F510" s="694">
        <v>40800</v>
      </c>
      <c r="G510" s="694">
        <v>40800</v>
      </c>
      <c r="H510" s="690"/>
      <c r="I510" s="690"/>
      <c r="J510" s="690"/>
      <c r="K510" s="154"/>
      <c r="L510" s="155"/>
      <c r="M510" s="692"/>
      <c r="N510" s="154"/>
      <c r="O510" s="689"/>
      <c r="P510" s="689"/>
      <c r="Q510" s="689"/>
      <c r="R510" s="689"/>
      <c r="S510" s="689"/>
      <c r="T510" s="693"/>
      <c r="U510" s="693"/>
      <c r="V510" s="693"/>
      <c r="W510" s="693"/>
      <c r="X510" s="693"/>
      <c r="Y510" s="693"/>
      <c r="Z510" s="693"/>
      <c r="AA510" s="693"/>
      <c r="AB510" s="693"/>
      <c r="AC510" s="693"/>
      <c r="AD510" s="693"/>
      <c r="AE510" s="693"/>
      <c r="AF510" s="693"/>
    </row>
    <row r="511" spans="1:32" x14ac:dyDescent="0.35">
      <c r="A511" s="313"/>
      <c r="B511" s="293"/>
      <c r="C511" s="695" t="s">
        <v>475</v>
      </c>
      <c r="D511" s="689"/>
      <c r="E511" s="690"/>
      <c r="F511" s="694">
        <v>12200</v>
      </c>
      <c r="G511" s="694">
        <v>12200</v>
      </c>
      <c r="H511" s="690"/>
      <c r="I511" s="690"/>
      <c r="J511" s="690"/>
      <c r="K511" s="154"/>
      <c r="L511" s="155"/>
      <c r="M511" s="692"/>
      <c r="N511" s="154"/>
      <c r="O511" s="689"/>
      <c r="P511" s="689"/>
      <c r="Q511" s="689"/>
      <c r="R511" s="689"/>
      <c r="S511" s="689"/>
      <c r="T511" s="693"/>
      <c r="U511" s="693"/>
      <c r="V511" s="693"/>
      <c r="W511" s="693"/>
      <c r="X511" s="693"/>
      <c r="Y511" s="693"/>
      <c r="Z511" s="693"/>
      <c r="AA511" s="693"/>
      <c r="AB511" s="693"/>
      <c r="AC511" s="693"/>
      <c r="AD511" s="693"/>
      <c r="AE511" s="693"/>
      <c r="AF511" s="693"/>
    </row>
    <row r="512" spans="1:32" x14ac:dyDescent="0.35">
      <c r="A512" s="313"/>
      <c r="B512" s="293"/>
      <c r="C512" s="221" t="s">
        <v>476</v>
      </c>
      <c r="D512" s="689"/>
      <c r="E512" s="690"/>
      <c r="F512" s="694">
        <v>61500</v>
      </c>
      <c r="G512" s="694">
        <v>61500</v>
      </c>
      <c r="H512" s="690"/>
      <c r="I512" s="690"/>
      <c r="J512" s="690"/>
      <c r="K512" s="154"/>
      <c r="L512" s="155"/>
      <c r="M512" s="692"/>
      <c r="N512" s="154"/>
      <c r="O512" s="689"/>
      <c r="P512" s="689"/>
      <c r="Q512" s="689"/>
      <c r="R512" s="689"/>
      <c r="S512" s="689"/>
      <c r="T512" s="693"/>
      <c r="U512" s="693"/>
      <c r="V512" s="693"/>
      <c r="W512" s="693"/>
      <c r="X512" s="693"/>
      <c r="Y512" s="693"/>
      <c r="Z512" s="693"/>
      <c r="AA512" s="693"/>
      <c r="AB512" s="693"/>
      <c r="AC512" s="693"/>
      <c r="AD512" s="693"/>
      <c r="AE512" s="693"/>
      <c r="AF512" s="693"/>
    </row>
    <row r="513" spans="1:32" x14ac:dyDescent="0.35">
      <c r="A513" s="313"/>
      <c r="B513" s="293"/>
      <c r="C513" s="221" t="s">
        <v>477</v>
      </c>
      <c r="D513" s="689"/>
      <c r="E513" s="690"/>
      <c r="F513" s="694">
        <v>56900</v>
      </c>
      <c r="G513" s="694">
        <v>56900</v>
      </c>
      <c r="H513" s="690"/>
      <c r="I513" s="690"/>
      <c r="J513" s="690"/>
      <c r="K513" s="154"/>
      <c r="L513" s="155"/>
      <c r="M513" s="692"/>
      <c r="N513" s="154"/>
      <c r="O513" s="689"/>
      <c r="P513" s="689"/>
      <c r="Q513" s="689"/>
      <c r="R513" s="689"/>
      <c r="S513" s="689"/>
      <c r="T513" s="693"/>
      <c r="U513" s="693"/>
      <c r="V513" s="693"/>
      <c r="W513" s="693"/>
      <c r="X513" s="693"/>
      <c r="Y513" s="693"/>
      <c r="Z513" s="693"/>
      <c r="AA513" s="693"/>
      <c r="AB513" s="693"/>
      <c r="AC513" s="693"/>
      <c r="AD513" s="693"/>
      <c r="AE513" s="693"/>
      <c r="AF513" s="693"/>
    </row>
    <row r="514" spans="1:32" x14ac:dyDescent="0.35">
      <c r="A514" s="313"/>
      <c r="B514" s="293"/>
      <c r="C514" s="221" t="s">
        <v>478</v>
      </c>
      <c r="D514" s="689"/>
      <c r="E514" s="690"/>
      <c r="F514" s="694">
        <v>400000</v>
      </c>
      <c r="G514" s="694">
        <v>400000</v>
      </c>
      <c r="H514" s="690"/>
      <c r="I514" s="690"/>
      <c r="J514" s="690"/>
      <c r="K514" s="154"/>
      <c r="L514" s="155"/>
      <c r="M514" s="692"/>
      <c r="N514" s="154"/>
      <c r="O514" s="689"/>
      <c r="P514" s="689"/>
      <c r="Q514" s="689"/>
      <c r="R514" s="689"/>
      <c r="S514" s="689"/>
      <c r="T514" s="693"/>
      <c r="U514" s="693"/>
      <c r="V514" s="693"/>
      <c r="W514" s="693"/>
      <c r="X514" s="693"/>
      <c r="Y514" s="693"/>
      <c r="Z514" s="693"/>
      <c r="AA514" s="693"/>
      <c r="AB514" s="693"/>
      <c r="AC514" s="693"/>
      <c r="AD514" s="693"/>
      <c r="AE514" s="693"/>
      <c r="AF514" s="693"/>
    </row>
    <row r="515" spans="1:32" x14ac:dyDescent="0.35">
      <c r="A515" s="313"/>
      <c r="B515" s="293"/>
      <c r="C515" s="221" t="s">
        <v>479</v>
      </c>
      <c r="D515" s="689"/>
      <c r="E515" s="690"/>
      <c r="F515" s="694">
        <v>24600</v>
      </c>
      <c r="G515" s="694">
        <v>24600</v>
      </c>
      <c r="H515" s="690"/>
      <c r="I515" s="690"/>
      <c r="J515" s="690"/>
      <c r="K515" s="154"/>
      <c r="L515" s="155"/>
      <c r="M515" s="692"/>
      <c r="N515" s="154"/>
      <c r="O515" s="689"/>
      <c r="P515" s="689"/>
      <c r="Q515" s="689"/>
      <c r="R515" s="689"/>
      <c r="S515" s="689"/>
      <c r="T515" s="693"/>
      <c r="U515" s="693"/>
      <c r="V515" s="693"/>
      <c r="W515" s="693"/>
      <c r="X515" s="693"/>
      <c r="Y515" s="693"/>
      <c r="Z515" s="693"/>
      <c r="AA515" s="693"/>
      <c r="AB515" s="693"/>
      <c r="AC515" s="693"/>
      <c r="AD515" s="693"/>
      <c r="AE515" s="693"/>
      <c r="AF515" s="693"/>
    </row>
    <row r="516" spans="1:32" x14ac:dyDescent="0.35">
      <c r="A516" s="313"/>
      <c r="B516" s="293"/>
      <c r="C516" s="221" t="s">
        <v>480</v>
      </c>
      <c r="D516" s="689"/>
      <c r="E516" s="690"/>
      <c r="F516" s="694">
        <v>1800</v>
      </c>
      <c r="G516" s="694">
        <v>1800</v>
      </c>
      <c r="H516" s="690"/>
      <c r="I516" s="690"/>
      <c r="J516" s="690"/>
      <c r="K516" s="154"/>
      <c r="L516" s="155"/>
      <c r="M516" s="692"/>
      <c r="N516" s="154"/>
      <c r="O516" s="689"/>
      <c r="P516" s="689"/>
      <c r="Q516" s="689"/>
      <c r="R516" s="689"/>
      <c r="S516" s="689"/>
      <c r="T516" s="693"/>
      <c r="U516" s="693"/>
      <c r="V516" s="693"/>
      <c r="W516" s="693"/>
      <c r="X516" s="693"/>
      <c r="Y516" s="693"/>
      <c r="Z516" s="693"/>
      <c r="AA516" s="693"/>
      <c r="AB516" s="693"/>
      <c r="AC516" s="693"/>
      <c r="AD516" s="693"/>
      <c r="AE516" s="693"/>
      <c r="AF516" s="693"/>
    </row>
    <row r="517" spans="1:32" x14ac:dyDescent="0.35">
      <c r="A517" s="313"/>
      <c r="B517" s="293"/>
      <c r="C517" s="221" t="s">
        <v>481</v>
      </c>
      <c r="D517" s="689"/>
      <c r="E517" s="690"/>
      <c r="F517" s="694">
        <v>54900</v>
      </c>
      <c r="G517" s="694">
        <v>54900</v>
      </c>
      <c r="H517" s="690"/>
      <c r="I517" s="690"/>
      <c r="J517" s="690"/>
      <c r="K517" s="154"/>
      <c r="L517" s="155"/>
      <c r="M517" s="692"/>
      <c r="N517" s="154"/>
      <c r="O517" s="689"/>
      <c r="P517" s="689"/>
      <c r="Q517" s="689"/>
      <c r="R517" s="689"/>
      <c r="S517" s="689"/>
      <c r="T517" s="693"/>
      <c r="U517" s="693"/>
      <c r="V517" s="693"/>
      <c r="W517" s="693"/>
      <c r="X517" s="693"/>
      <c r="Y517" s="693"/>
      <c r="Z517" s="693"/>
      <c r="AA517" s="693"/>
      <c r="AB517" s="693"/>
      <c r="AC517" s="693"/>
      <c r="AD517" s="693"/>
      <c r="AE517" s="693"/>
      <c r="AF517" s="693"/>
    </row>
    <row r="518" spans="1:32" x14ac:dyDescent="0.35">
      <c r="A518" s="313"/>
      <c r="B518" s="293"/>
      <c r="C518" s="221" t="s">
        <v>482</v>
      </c>
      <c r="D518" s="689"/>
      <c r="E518" s="690"/>
      <c r="F518" s="694">
        <v>448900</v>
      </c>
      <c r="G518" s="694">
        <v>448900</v>
      </c>
      <c r="H518" s="690"/>
      <c r="I518" s="690"/>
      <c r="J518" s="690"/>
      <c r="K518" s="154"/>
      <c r="L518" s="155"/>
      <c r="M518" s="692"/>
      <c r="N518" s="154"/>
      <c r="O518" s="689"/>
      <c r="P518" s="689"/>
      <c r="Q518" s="689"/>
      <c r="R518" s="689"/>
      <c r="S518" s="689"/>
      <c r="T518" s="693"/>
      <c r="U518" s="693"/>
      <c r="V518" s="693"/>
      <c r="W518" s="693"/>
      <c r="X518" s="693"/>
      <c r="Y518" s="693"/>
      <c r="Z518" s="693"/>
      <c r="AA518" s="693"/>
      <c r="AB518" s="693"/>
      <c r="AC518" s="693"/>
      <c r="AD518" s="693"/>
      <c r="AE518" s="693"/>
      <c r="AF518" s="693"/>
    </row>
    <row r="519" spans="1:32" x14ac:dyDescent="0.35">
      <c r="A519" s="313"/>
      <c r="B519" s="293"/>
      <c r="C519" s="695" t="s">
        <v>483</v>
      </c>
      <c r="D519" s="689"/>
      <c r="E519" s="690"/>
      <c r="F519" s="694">
        <v>22400</v>
      </c>
      <c r="G519" s="694">
        <v>22400</v>
      </c>
      <c r="H519" s="690"/>
      <c r="I519" s="690"/>
      <c r="J519" s="690"/>
      <c r="K519" s="154"/>
      <c r="L519" s="155"/>
      <c r="M519" s="692"/>
      <c r="N519" s="154"/>
      <c r="O519" s="689"/>
      <c r="P519" s="689"/>
      <c r="Q519" s="689"/>
      <c r="R519" s="689"/>
      <c r="S519" s="689"/>
      <c r="T519" s="693"/>
      <c r="U519" s="693"/>
      <c r="V519" s="693"/>
      <c r="W519" s="693"/>
      <c r="X519" s="693"/>
      <c r="Y519" s="693"/>
      <c r="Z519" s="693"/>
      <c r="AA519" s="693"/>
      <c r="AB519" s="693"/>
      <c r="AC519" s="693"/>
      <c r="AD519" s="693"/>
      <c r="AE519" s="693"/>
      <c r="AF519" s="693"/>
    </row>
    <row r="520" spans="1:32" x14ac:dyDescent="0.35">
      <c r="A520" s="313"/>
      <c r="B520" s="293"/>
      <c r="C520" s="221" t="s">
        <v>484</v>
      </c>
      <c r="D520" s="689"/>
      <c r="E520" s="690"/>
      <c r="F520" s="694">
        <v>80600</v>
      </c>
      <c r="G520" s="694">
        <v>80600</v>
      </c>
      <c r="H520" s="690"/>
      <c r="I520" s="690"/>
      <c r="J520" s="690"/>
      <c r="K520" s="154"/>
      <c r="L520" s="155"/>
      <c r="M520" s="692"/>
      <c r="N520" s="154"/>
      <c r="O520" s="689"/>
      <c r="P520" s="689"/>
      <c r="Q520" s="689"/>
      <c r="R520" s="689"/>
      <c r="S520" s="689"/>
      <c r="T520" s="693"/>
      <c r="U520" s="693"/>
      <c r="V520" s="693"/>
      <c r="W520" s="693"/>
      <c r="X520" s="693"/>
      <c r="Y520" s="693"/>
      <c r="Z520" s="693"/>
      <c r="AA520" s="693"/>
      <c r="AB520" s="693"/>
      <c r="AC520" s="693"/>
      <c r="AD520" s="693"/>
      <c r="AE520" s="693"/>
      <c r="AF520" s="693"/>
    </row>
    <row r="521" spans="1:32" x14ac:dyDescent="0.35">
      <c r="A521" s="313"/>
      <c r="B521" s="293"/>
      <c r="C521" s="221" t="s">
        <v>485</v>
      </c>
      <c r="D521" s="689"/>
      <c r="E521" s="690"/>
      <c r="F521" s="694">
        <v>26300</v>
      </c>
      <c r="G521" s="694">
        <v>26300</v>
      </c>
      <c r="H521" s="690"/>
      <c r="I521" s="690"/>
      <c r="J521" s="690"/>
      <c r="K521" s="154"/>
      <c r="L521" s="155"/>
      <c r="M521" s="692"/>
      <c r="N521" s="154"/>
      <c r="O521" s="689"/>
      <c r="P521" s="689"/>
      <c r="Q521" s="689"/>
      <c r="R521" s="689"/>
      <c r="S521" s="689"/>
      <c r="T521" s="693"/>
      <c r="U521" s="693"/>
      <c r="V521" s="693"/>
      <c r="W521" s="693"/>
      <c r="X521" s="693"/>
      <c r="Y521" s="693"/>
      <c r="Z521" s="693"/>
      <c r="AA521" s="693"/>
      <c r="AB521" s="693"/>
      <c r="AC521" s="693"/>
      <c r="AD521" s="693"/>
      <c r="AE521" s="693"/>
      <c r="AF521" s="693"/>
    </row>
    <row r="522" spans="1:32" x14ac:dyDescent="0.35">
      <c r="A522" s="313"/>
      <c r="B522" s="293"/>
      <c r="C522" s="221" t="s">
        <v>486</v>
      </c>
      <c r="D522" s="689"/>
      <c r="E522" s="690"/>
      <c r="F522" s="694">
        <v>14100</v>
      </c>
      <c r="G522" s="694">
        <v>14100</v>
      </c>
      <c r="H522" s="690"/>
      <c r="I522" s="690"/>
      <c r="J522" s="690"/>
      <c r="K522" s="154"/>
      <c r="L522" s="155"/>
      <c r="M522" s="692"/>
      <c r="N522" s="154"/>
      <c r="O522" s="689"/>
      <c r="P522" s="689"/>
      <c r="Q522" s="689"/>
      <c r="R522" s="689"/>
      <c r="S522" s="689"/>
      <c r="T522" s="693"/>
      <c r="U522" s="693"/>
      <c r="V522" s="693"/>
      <c r="W522" s="693"/>
      <c r="X522" s="693"/>
      <c r="Y522" s="693"/>
      <c r="Z522" s="693"/>
      <c r="AA522" s="693"/>
      <c r="AB522" s="693"/>
      <c r="AC522" s="693"/>
      <c r="AD522" s="693"/>
      <c r="AE522" s="693"/>
      <c r="AF522" s="693"/>
    </row>
    <row r="523" spans="1:32" x14ac:dyDescent="0.35">
      <c r="A523" s="313"/>
      <c r="B523" s="293"/>
      <c r="C523" s="221" t="s">
        <v>487</v>
      </c>
      <c r="D523" s="689"/>
      <c r="E523" s="690"/>
      <c r="F523" s="694">
        <v>6300</v>
      </c>
      <c r="G523" s="694">
        <v>6300</v>
      </c>
      <c r="H523" s="690"/>
      <c r="I523" s="690"/>
      <c r="J523" s="690"/>
      <c r="K523" s="154"/>
      <c r="L523" s="155"/>
      <c r="M523" s="692"/>
      <c r="N523" s="154"/>
      <c r="O523" s="689"/>
      <c r="P523" s="689"/>
      <c r="Q523" s="689"/>
      <c r="R523" s="689"/>
      <c r="S523" s="689"/>
      <c r="T523" s="693"/>
      <c r="U523" s="693"/>
      <c r="V523" s="693"/>
      <c r="W523" s="693"/>
      <c r="X523" s="693"/>
      <c r="Y523" s="693"/>
      <c r="Z523" s="693"/>
      <c r="AA523" s="693"/>
      <c r="AB523" s="693"/>
      <c r="AC523" s="693"/>
      <c r="AD523" s="693"/>
      <c r="AE523" s="693"/>
      <c r="AF523" s="693"/>
    </row>
    <row r="524" spans="1:32" ht="42" x14ac:dyDescent="0.35">
      <c r="A524" s="313"/>
      <c r="B524" s="293"/>
      <c r="C524" s="695" t="s">
        <v>488</v>
      </c>
      <c r="D524" s="689"/>
      <c r="E524" s="690"/>
      <c r="F524" s="694">
        <v>254400.00000000003</v>
      </c>
      <c r="G524" s="694">
        <v>254400.00000000003</v>
      </c>
      <c r="H524" s="690"/>
      <c r="I524" s="690"/>
      <c r="J524" s="690"/>
      <c r="K524" s="154"/>
      <c r="L524" s="155"/>
      <c r="M524" s="692"/>
      <c r="N524" s="154"/>
      <c r="O524" s="689"/>
      <c r="P524" s="689"/>
      <c r="Q524" s="689"/>
      <c r="R524" s="689"/>
      <c r="S524" s="689"/>
      <c r="T524" s="693"/>
      <c r="U524" s="693"/>
      <c r="V524" s="693"/>
      <c r="W524" s="693"/>
      <c r="X524" s="693"/>
      <c r="Y524" s="693"/>
      <c r="Z524" s="693"/>
      <c r="AA524" s="693"/>
      <c r="AB524" s="693"/>
      <c r="AC524" s="693"/>
      <c r="AD524" s="693"/>
      <c r="AE524" s="693"/>
      <c r="AF524" s="693"/>
    </row>
    <row r="525" spans="1:32" x14ac:dyDescent="0.35">
      <c r="A525" s="313"/>
      <c r="B525" s="293"/>
      <c r="C525" s="221" t="s">
        <v>489</v>
      </c>
      <c r="D525" s="689"/>
      <c r="E525" s="690"/>
      <c r="F525" s="694">
        <v>10000</v>
      </c>
      <c r="G525" s="694">
        <v>10000</v>
      </c>
      <c r="H525" s="690"/>
      <c r="I525" s="690"/>
      <c r="J525" s="690"/>
      <c r="K525" s="154"/>
      <c r="L525" s="155"/>
      <c r="M525" s="692"/>
      <c r="N525" s="154"/>
      <c r="O525" s="689"/>
      <c r="P525" s="689"/>
      <c r="Q525" s="689"/>
      <c r="R525" s="689"/>
      <c r="S525" s="689"/>
      <c r="T525" s="693"/>
      <c r="U525" s="693"/>
      <c r="V525" s="693"/>
      <c r="W525" s="693"/>
      <c r="X525" s="693"/>
      <c r="Y525" s="693"/>
      <c r="Z525" s="693"/>
      <c r="AA525" s="693"/>
      <c r="AB525" s="693"/>
      <c r="AC525" s="693"/>
      <c r="AD525" s="693"/>
      <c r="AE525" s="693"/>
      <c r="AF525" s="693"/>
    </row>
    <row r="526" spans="1:32" x14ac:dyDescent="0.35">
      <c r="A526" s="313"/>
      <c r="B526" s="293"/>
      <c r="C526" s="221" t="s">
        <v>490</v>
      </c>
      <c r="D526" s="689"/>
      <c r="E526" s="690"/>
      <c r="F526" s="694">
        <v>13200</v>
      </c>
      <c r="G526" s="694">
        <v>13200</v>
      </c>
      <c r="H526" s="690"/>
      <c r="I526" s="690"/>
      <c r="J526" s="690"/>
      <c r="K526" s="154"/>
      <c r="L526" s="155"/>
      <c r="M526" s="692"/>
      <c r="N526" s="154"/>
      <c r="O526" s="689"/>
      <c r="P526" s="689"/>
      <c r="Q526" s="689"/>
      <c r="R526" s="689"/>
      <c r="S526" s="689"/>
      <c r="T526" s="693"/>
      <c r="U526" s="693"/>
      <c r="V526" s="693"/>
      <c r="W526" s="693"/>
      <c r="X526" s="693"/>
      <c r="Y526" s="693"/>
      <c r="Z526" s="693"/>
      <c r="AA526" s="693"/>
      <c r="AB526" s="693"/>
      <c r="AC526" s="693"/>
      <c r="AD526" s="693"/>
      <c r="AE526" s="693"/>
      <c r="AF526" s="693"/>
    </row>
    <row r="527" spans="1:32" x14ac:dyDescent="0.35">
      <c r="A527" s="313"/>
      <c r="B527" s="293"/>
      <c r="C527" s="221" t="s">
        <v>491</v>
      </c>
      <c r="D527" s="689"/>
      <c r="E527" s="690"/>
      <c r="F527" s="694">
        <v>43000</v>
      </c>
      <c r="G527" s="694">
        <v>43000</v>
      </c>
      <c r="H527" s="690"/>
      <c r="I527" s="690"/>
      <c r="J527" s="690"/>
      <c r="K527" s="154"/>
      <c r="L527" s="155"/>
      <c r="M527" s="692"/>
      <c r="N527" s="154"/>
      <c r="O527" s="689"/>
      <c r="P527" s="689"/>
      <c r="Q527" s="689"/>
      <c r="R527" s="689"/>
      <c r="S527" s="689"/>
      <c r="T527" s="693"/>
      <c r="U527" s="693"/>
      <c r="V527" s="693"/>
      <c r="W527" s="693"/>
      <c r="X527" s="693"/>
      <c r="Y527" s="693"/>
      <c r="Z527" s="693"/>
      <c r="AA527" s="693"/>
      <c r="AB527" s="693"/>
      <c r="AC527" s="693"/>
      <c r="AD527" s="693"/>
      <c r="AE527" s="693"/>
      <c r="AF527" s="693"/>
    </row>
    <row r="528" spans="1:32" x14ac:dyDescent="0.35">
      <c r="A528" s="313"/>
      <c r="B528" s="293"/>
      <c r="C528" s="695" t="s">
        <v>492</v>
      </c>
      <c r="D528" s="689"/>
      <c r="E528" s="690"/>
      <c r="F528" s="694">
        <v>232200</v>
      </c>
      <c r="G528" s="694">
        <v>232200</v>
      </c>
      <c r="H528" s="690"/>
      <c r="I528" s="690"/>
      <c r="J528" s="690"/>
      <c r="K528" s="154"/>
      <c r="L528" s="155"/>
      <c r="M528" s="692"/>
      <c r="N528" s="154"/>
      <c r="O528" s="689"/>
      <c r="P528" s="689"/>
      <c r="Q528" s="689"/>
      <c r="R528" s="689"/>
      <c r="S528" s="689"/>
      <c r="T528" s="693"/>
      <c r="U528" s="693"/>
      <c r="V528" s="693"/>
      <c r="W528" s="693"/>
      <c r="X528" s="693"/>
      <c r="Y528" s="693"/>
      <c r="Z528" s="693"/>
      <c r="AA528" s="693"/>
      <c r="AB528" s="693"/>
      <c r="AC528" s="693"/>
      <c r="AD528" s="693"/>
      <c r="AE528" s="693"/>
      <c r="AF528" s="693"/>
    </row>
    <row r="529" spans="1:32" x14ac:dyDescent="0.35">
      <c r="A529" s="313"/>
      <c r="B529" s="293"/>
      <c r="C529" s="221" t="s">
        <v>493</v>
      </c>
      <c r="D529" s="689"/>
      <c r="E529" s="690"/>
      <c r="F529" s="694">
        <v>48200</v>
      </c>
      <c r="G529" s="694">
        <v>48200</v>
      </c>
      <c r="H529" s="690"/>
      <c r="I529" s="690"/>
      <c r="J529" s="690"/>
      <c r="K529" s="154"/>
      <c r="L529" s="155"/>
      <c r="M529" s="692"/>
      <c r="N529" s="154"/>
      <c r="O529" s="689"/>
      <c r="P529" s="689"/>
      <c r="Q529" s="689"/>
      <c r="R529" s="689"/>
      <c r="S529" s="689"/>
      <c r="T529" s="693"/>
      <c r="U529" s="693"/>
      <c r="V529" s="693"/>
      <c r="W529" s="693"/>
      <c r="X529" s="693"/>
      <c r="Y529" s="693"/>
      <c r="Z529" s="693"/>
      <c r="AA529" s="693"/>
      <c r="AB529" s="693"/>
      <c r="AC529" s="693"/>
      <c r="AD529" s="693"/>
      <c r="AE529" s="693"/>
      <c r="AF529" s="693"/>
    </row>
    <row r="530" spans="1:32" x14ac:dyDescent="0.35">
      <c r="A530" s="313"/>
      <c r="B530" s="293"/>
      <c r="C530" s="695" t="s">
        <v>494</v>
      </c>
      <c r="D530" s="689"/>
      <c r="E530" s="690"/>
      <c r="F530" s="694">
        <v>103800</v>
      </c>
      <c r="G530" s="694">
        <v>103800</v>
      </c>
      <c r="H530" s="690"/>
      <c r="I530" s="690"/>
      <c r="J530" s="690"/>
      <c r="K530" s="154"/>
      <c r="L530" s="155"/>
      <c r="M530" s="692"/>
      <c r="N530" s="154"/>
      <c r="O530" s="689"/>
      <c r="P530" s="689"/>
      <c r="Q530" s="689"/>
      <c r="R530" s="689"/>
      <c r="S530" s="689"/>
      <c r="T530" s="693"/>
      <c r="U530" s="693"/>
      <c r="V530" s="693"/>
      <c r="W530" s="693"/>
      <c r="X530" s="693"/>
      <c r="Y530" s="693"/>
      <c r="Z530" s="693"/>
      <c r="AA530" s="693"/>
      <c r="AB530" s="693"/>
      <c r="AC530" s="693"/>
      <c r="AD530" s="693"/>
      <c r="AE530" s="693"/>
      <c r="AF530" s="693"/>
    </row>
    <row r="531" spans="1:32" x14ac:dyDescent="0.35">
      <c r="A531" s="313"/>
      <c r="B531" s="293"/>
      <c r="C531" s="221" t="s">
        <v>495</v>
      </c>
      <c r="D531" s="689"/>
      <c r="E531" s="690"/>
      <c r="F531" s="694">
        <v>6700</v>
      </c>
      <c r="G531" s="694">
        <v>6700</v>
      </c>
      <c r="H531" s="690"/>
      <c r="I531" s="690"/>
      <c r="J531" s="690"/>
      <c r="K531" s="154"/>
      <c r="L531" s="155"/>
      <c r="M531" s="692"/>
      <c r="N531" s="154"/>
      <c r="O531" s="689"/>
      <c r="P531" s="689"/>
      <c r="Q531" s="689"/>
      <c r="R531" s="689"/>
      <c r="S531" s="689"/>
      <c r="T531" s="693"/>
      <c r="U531" s="693"/>
      <c r="V531" s="693"/>
      <c r="W531" s="693"/>
      <c r="X531" s="693"/>
      <c r="Y531" s="693"/>
      <c r="Z531" s="693"/>
      <c r="AA531" s="693"/>
      <c r="AB531" s="693"/>
      <c r="AC531" s="693"/>
      <c r="AD531" s="693"/>
      <c r="AE531" s="693"/>
      <c r="AF531" s="693"/>
    </row>
    <row r="532" spans="1:32" x14ac:dyDescent="0.35">
      <c r="A532" s="313"/>
      <c r="B532" s="293"/>
      <c r="C532" s="221" t="s">
        <v>496</v>
      </c>
      <c r="D532" s="689"/>
      <c r="E532" s="690"/>
      <c r="F532" s="694">
        <v>45000</v>
      </c>
      <c r="G532" s="694">
        <v>45000</v>
      </c>
      <c r="H532" s="690"/>
      <c r="I532" s="690"/>
      <c r="J532" s="690"/>
      <c r="K532" s="154"/>
      <c r="L532" s="155"/>
      <c r="M532" s="692"/>
      <c r="N532" s="154"/>
      <c r="O532" s="689"/>
      <c r="P532" s="689"/>
      <c r="Q532" s="689"/>
      <c r="R532" s="689"/>
      <c r="S532" s="689"/>
      <c r="T532" s="693"/>
      <c r="U532" s="693"/>
      <c r="V532" s="693"/>
      <c r="W532" s="693"/>
      <c r="X532" s="693"/>
      <c r="Y532" s="693"/>
      <c r="Z532" s="693"/>
      <c r="AA532" s="693"/>
      <c r="AB532" s="693"/>
      <c r="AC532" s="693"/>
      <c r="AD532" s="693"/>
      <c r="AE532" s="693"/>
      <c r="AF532" s="693"/>
    </row>
    <row r="533" spans="1:32" x14ac:dyDescent="0.35">
      <c r="A533" s="313"/>
      <c r="B533" s="293"/>
      <c r="C533" s="221" t="s">
        <v>497</v>
      </c>
      <c r="D533" s="689"/>
      <c r="E533" s="690"/>
      <c r="F533" s="694">
        <v>18800</v>
      </c>
      <c r="G533" s="694">
        <v>18800</v>
      </c>
      <c r="H533" s="690"/>
      <c r="I533" s="690"/>
      <c r="J533" s="690"/>
      <c r="K533" s="154"/>
      <c r="L533" s="155"/>
      <c r="M533" s="692"/>
      <c r="N533" s="154"/>
      <c r="O533" s="689"/>
      <c r="P533" s="689"/>
      <c r="Q533" s="689"/>
      <c r="R533" s="689"/>
      <c r="S533" s="689"/>
      <c r="T533" s="693"/>
      <c r="U533" s="693"/>
      <c r="V533" s="693"/>
      <c r="W533" s="693"/>
      <c r="X533" s="693"/>
      <c r="Y533" s="693"/>
      <c r="Z533" s="693"/>
      <c r="AA533" s="693"/>
      <c r="AB533" s="693"/>
      <c r="AC533" s="693"/>
      <c r="AD533" s="693"/>
      <c r="AE533" s="693"/>
      <c r="AF533" s="693"/>
    </row>
    <row r="534" spans="1:32" x14ac:dyDescent="0.35">
      <c r="A534" s="313"/>
      <c r="B534" s="293"/>
      <c r="C534" s="221" t="s">
        <v>498</v>
      </c>
      <c r="D534" s="689"/>
      <c r="E534" s="690"/>
      <c r="F534" s="694">
        <v>35300</v>
      </c>
      <c r="G534" s="694">
        <v>35300</v>
      </c>
      <c r="H534" s="690"/>
      <c r="I534" s="690"/>
      <c r="J534" s="690"/>
      <c r="K534" s="154"/>
      <c r="L534" s="155"/>
      <c r="M534" s="692"/>
      <c r="N534" s="154"/>
      <c r="O534" s="689"/>
      <c r="P534" s="689"/>
      <c r="Q534" s="689"/>
      <c r="R534" s="689"/>
      <c r="S534" s="689"/>
      <c r="T534" s="693"/>
      <c r="U534" s="693"/>
      <c r="V534" s="693"/>
      <c r="W534" s="693"/>
      <c r="X534" s="693"/>
      <c r="Y534" s="693"/>
      <c r="Z534" s="693"/>
      <c r="AA534" s="693"/>
      <c r="AB534" s="693"/>
      <c r="AC534" s="693"/>
      <c r="AD534" s="693"/>
      <c r="AE534" s="693"/>
      <c r="AF534" s="693"/>
    </row>
    <row r="535" spans="1:32" x14ac:dyDescent="0.35">
      <c r="A535" s="313"/>
      <c r="B535" s="293"/>
      <c r="C535" s="221" t="s">
        <v>499</v>
      </c>
      <c r="D535" s="689"/>
      <c r="E535" s="690"/>
      <c r="F535" s="694">
        <v>17900</v>
      </c>
      <c r="G535" s="694">
        <v>17900</v>
      </c>
      <c r="H535" s="690"/>
      <c r="I535" s="690"/>
      <c r="J535" s="690"/>
      <c r="K535" s="154"/>
      <c r="L535" s="155"/>
      <c r="M535" s="692"/>
      <c r="N535" s="154"/>
      <c r="O535" s="689"/>
      <c r="P535" s="689"/>
      <c r="Q535" s="689"/>
      <c r="R535" s="689"/>
      <c r="S535" s="689"/>
      <c r="T535" s="693"/>
      <c r="U535" s="693"/>
      <c r="V535" s="693"/>
      <c r="W535" s="693"/>
      <c r="X535" s="693"/>
      <c r="Y535" s="693"/>
      <c r="Z535" s="693"/>
      <c r="AA535" s="693"/>
      <c r="AB535" s="693"/>
      <c r="AC535" s="693"/>
      <c r="AD535" s="693"/>
      <c r="AE535" s="693"/>
      <c r="AF535" s="693"/>
    </row>
    <row r="536" spans="1:32" x14ac:dyDescent="0.35">
      <c r="A536" s="313"/>
      <c r="B536" s="293"/>
      <c r="C536" s="695" t="s">
        <v>500</v>
      </c>
      <c r="D536" s="689"/>
      <c r="E536" s="690"/>
      <c r="F536" s="694">
        <v>37300</v>
      </c>
      <c r="G536" s="694">
        <v>37300</v>
      </c>
      <c r="H536" s="690"/>
      <c r="I536" s="690"/>
      <c r="J536" s="690"/>
      <c r="K536" s="154"/>
      <c r="L536" s="155"/>
      <c r="M536" s="692"/>
      <c r="N536" s="154"/>
      <c r="O536" s="689"/>
      <c r="P536" s="689"/>
      <c r="Q536" s="689"/>
      <c r="R536" s="689"/>
      <c r="S536" s="689"/>
      <c r="T536" s="693"/>
      <c r="U536" s="693"/>
      <c r="V536" s="693"/>
      <c r="W536" s="693"/>
      <c r="X536" s="693"/>
      <c r="Y536" s="693"/>
      <c r="Z536" s="693"/>
      <c r="AA536" s="693"/>
      <c r="AB536" s="693"/>
      <c r="AC536" s="693"/>
      <c r="AD536" s="693"/>
      <c r="AE536" s="693"/>
      <c r="AF536" s="693"/>
    </row>
    <row r="537" spans="1:32" x14ac:dyDescent="0.35">
      <c r="A537" s="313"/>
      <c r="B537" s="293"/>
      <c r="C537" s="221" t="s">
        <v>501</v>
      </c>
      <c r="D537" s="689"/>
      <c r="E537" s="690"/>
      <c r="F537" s="694">
        <v>8400</v>
      </c>
      <c r="G537" s="694">
        <v>8400</v>
      </c>
      <c r="H537" s="690"/>
      <c r="I537" s="690"/>
      <c r="J537" s="690"/>
      <c r="K537" s="154"/>
      <c r="L537" s="155"/>
      <c r="M537" s="692"/>
      <c r="N537" s="154"/>
      <c r="O537" s="689"/>
      <c r="P537" s="689"/>
      <c r="Q537" s="689"/>
      <c r="R537" s="689"/>
      <c r="S537" s="689"/>
      <c r="T537" s="693"/>
      <c r="U537" s="693"/>
      <c r="V537" s="693"/>
      <c r="W537" s="693"/>
      <c r="X537" s="693"/>
      <c r="Y537" s="693"/>
      <c r="Z537" s="693"/>
      <c r="AA537" s="693"/>
      <c r="AB537" s="693"/>
      <c r="AC537" s="693"/>
      <c r="AD537" s="693"/>
      <c r="AE537" s="693"/>
      <c r="AF537" s="693"/>
    </row>
    <row r="538" spans="1:32" x14ac:dyDescent="0.35">
      <c r="A538" s="313"/>
      <c r="B538" s="293"/>
      <c r="C538" s="221" t="s">
        <v>502</v>
      </c>
      <c r="D538" s="689"/>
      <c r="E538" s="690"/>
      <c r="F538" s="694">
        <v>94800</v>
      </c>
      <c r="G538" s="694">
        <v>94800</v>
      </c>
      <c r="H538" s="690"/>
      <c r="I538" s="690"/>
      <c r="J538" s="690"/>
      <c r="K538" s="154"/>
      <c r="L538" s="155"/>
      <c r="M538" s="692"/>
      <c r="N538" s="154"/>
      <c r="O538" s="689"/>
      <c r="P538" s="689"/>
      <c r="Q538" s="689"/>
      <c r="R538" s="689"/>
      <c r="S538" s="689"/>
      <c r="T538" s="693"/>
      <c r="U538" s="693"/>
      <c r="V538" s="693"/>
      <c r="W538" s="693"/>
      <c r="X538" s="693"/>
      <c r="Y538" s="693"/>
      <c r="Z538" s="693"/>
      <c r="AA538" s="693"/>
      <c r="AB538" s="693"/>
      <c r="AC538" s="693"/>
      <c r="AD538" s="693"/>
      <c r="AE538" s="693"/>
      <c r="AF538" s="693"/>
    </row>
    <row r="539" spans="1:32" x14ac:dyDescent="0.35">
      <c r="A539" s="313"/>
      <c r="B539" s="293"/>
      <c r="C539" s="221" t="s">
        <v>503</v>
      </c>
      <c r="D539" s="689"/>
      <c r="E539" s="690"/>
      <c r="F539" s="694">
        <v>112800</v>
      </c>
      <c r="G539" s="694">
        <v>112800</v>
      </c>
      <c r="H539" s="690"/>
      <c r="I539" s="690"/>
      <c r="J539" s="690"/>
      <c r="K539" s="154"/>
      <c r="L539" s="155"/>
      <c r="M539" s="692"/>
      <c r="N539" s="154"/>
      <c r="O539" s="689"/>
      <c r="P539" s="689"/>
      <c r="Q539" s="689"/>
      <c r="R539" s="689"/>
      <c r="S539" s="689"/>
      <c r="T539" s="693"/>
      <c r="U539" s="693"/>
      <c r="V539" s="693"/>
      <c r="W539" s="693"/>
      <c r="X539" s="693"/>
      <c r="Y539" s="693"/>
      <c r="Z539" s="693"/>
      <c r="AA539" s="693"/>
      <c r="AB539" s="693"/>
      <c r="AC539" s="693"/>
      <c r="AD539" s="693"/>
      <c r="AE539" s="693"/>
      <c r="AF539" s="693"/>
    </row>
    <row r="540" spans="1:32" x14ac:dyDescent="0.35">
      <c r="A540" s="313"/>
      <c r="B540" s="293"/>
      <c r="C540" s="221" t="s">
        <v>504</v>
      </c>
      <c r="D540" s="689"/>
      <c r="E540" s="690"/>
      <c r="F540" s="694">
        <v>537600</v>
      </c>
      <c r="G540" s="694">
        <v>537600</v>
      </c>
      <c r="H540" s="690"/>
      <c r="I540" s="690"/>
      <c r="J540" s="690"/>
      <c r="K540" s="154"/>
      <c r="L540" s="155"/>
      <c r="M540" s="692"/>
      <c r="N540" s="154"/>
      <c r="O540" s="689"/>
      <c r="P540" s="689"/>
      <c r="Q540" s="689"/>
      <c r="R540" s="689"/>
      <c r="S540" s="689"/>
      <c r="T540" s="693"/>
      <c r="U540" s="693"/>
      <c r="V540" s="693"/>
      <c r="W540" s="693"/>
      <c r="X540" s="693"/>
      <c r="Y540" s="693"/>
      <c r="Z540" s="693"/>
      <c r="AA540" s="693"/>
      <c r="AB540" s="693"/>
      <c r="AC540" s="693"/>
      <c r="AD540" s="693"/>
      <c r="AE540" s="693"/>
      <c r="AF540" s="693"/>
    </row>
    <row r="541" spans="1:32" x14ac:dyDescent="0.35">
      <c r="A541" s="313"/>
      <c r="B541" s="293"/>
      <c r="C541" s="221" t="s">
        <v>505</v>
      </c>
      <c r="D541" s="689"/>
      <c r="E541" s="690"/>
      <c r="F541" s="694">
        <v>266400</v>
      </c>
      <c r="G541" s="694">
        <v>266400</v>
      </c>
      <c r="H541" s="690"/>
      <c r="I541" s="690"/>
      <c r="J541" s="690"/>
      <c r="K541" s="154"/>
      <c r="L541" s="155"/>
      <c r="M541" s="692"/>
      <c r="N541" s="154"/>
      <c r="O541" s="689"/>
      <c r="P541" s="689"/>
      <c r="Q541" s="689"/>
      <c r="R541" s="689"/>
      <c r="S541" s="689"/>
      <c r="T541" s="693"/>
      <c r="U541" s="693"/>
      <c r="V541" s="693"/>
      <c r="W541" s="693"/>
      <c r="X541" s="693"/>
      <c r="Y541" s="693"/>
      <c r="Z541" s="693"/>
      <c r="AA541" s="693"/>
      <c r="AB541" s="693"/>
      <c r="AC541" s="693"/>
      <c r="AD541" s="693"/>
      <c r="AE541" s="693"/>
      <c r="AF541" s="693"/>
    </row>
    <row r="542" spans="1:32" x14ac:dyDescent="0.35">
      <c r="A542" s="313"/>
      <c r="B542" s="293"/>
      <c r="C542" s="221" t="s">
        <v>506</v>
      </c>
      <c r="D542" s="689"/>
      <c r="E542" s="690"/>
      <c r="F542" s="694">
        <v>70300</v>
      </c>
      <c r="G542" s="694">
        <v>70300</v>
      </c>
      <c r="H542" s="690"/>
      <c r="I542" s="690"/>
      <c r="J542" s="690"/>
      <c r="K542" s="154"/>
      <c r="L542" s="155"/>
      <c r="M542" s="692"/>
      <c r="N542" s="154"/>
      <c r="O542" s="689"/>
      <c r="P542" s="689"/>
      <c r="Q542" s="689"/>
      <c r="R542" s="689"/>
      <c r="S542" s="689"/>
      <c r="T542" s="693"/>
      <c r="U542" s="693"/>
      <c r="V542" s="693"/>
      <c r="W542" s="693"/>
      <c r="X542" s="693"/>
      <c r="Y542" s="693"/>
      <c r="Z542" s="693"/>
      <c r="AA542" s="693"/>
      <c r="AB542" s="693"/>
      <c r="AC542" s="693"/>
      <c r="AD542" s="693"/>
      <c r="AE542" s="693"/>
      <c r="AF542" s="693"/>
    </row>
    <row r="543" spans="1:32" x14ac:dyDescent="0.35">
      <c r="A543" s="313"/>
      <c r="B543" s="293"/>
      <c r="C543" s="221" t="s">
        <v>507</v>
      </c>
      <c r="D543" s="689"/>
      <c r="E543" s="690"/>
      <c r="F543" s="694">
        <v>395500</v>
      </c>
      <c r="G543" s="694">
        <v>395500</v>
      </c>
      <c r="H543" s="690"/>
      <c r="I543" s="690"/>
      <c r="J543" s="690"/>
      <c r="K543" s="154"/>
      <c r="L543" s="155"/>
      <c r="M543" s="692"/>
      <c r="N543" s="154"/>
      <c r="O543" s="689"/>
      <c r="P543" s="689"/>
      <c r="Q543" s="689"/>
      <c r="R543" s="689"/>
      <c r="S543" s="689"/>
      <c r="T543" s="693"/>
      <c r="U543" s="693"/>
      <c r="V543" s="693"/>
      <c r="W543" s="693"/>
      <c r="X543" s="693"/>
      <c r="Y543" s="693"/>
      <c r="Z543" s="693"/>
      <c r="AA543" s="693"/>
      <c r="AB543" s="693"/>
      <c r="AC543" s="693"/>
      <c r="AD543" s="693"/>
      <c r="AE543" s="693"/>
      <c r="AF543" s="693"/>
    </row>
    <row r="544" spans="1:32" x14ac:dyDescent="0.35">
      <c r="A544" s="313"/>
      <c r="B544" s="293"/>
      <c r="C544" s="695" t="s">
        <v>508</v>
      </c>
      <c r="D544" s="689"/>
      <c r="E544" s="690"/>
      <c r="F544" s="694">
        <v>562200</v>
      </c>
      <c r="G544" s="694">
        <v>562200</v>
      </c>
      <c r="H544" s="690"/>
      <c r="I544" s="690"/>
      <c r="J544" s="690"/>
      <c r="K544" s="154"/>
      <c r="L544" s="155"/>
      <c r="M544" s="692"/>
      <c r="N544" s="154"/>
      <c r="O544" s="689"/>
      <c r="P544" s="689"/>
      <c r="Q544" s="689"/>
      <c r="R544" s="689"/>
      <c r="S544" s="689"/>
      <c r="T544" s="693"/>
      <c r="U544" s="693"/>
      <c r="V544" s="693"/>
      <c r="W544" s="693"/>
      <c r="X544" s="693"/>
      <c r="Y544" s="693"/>
      <c r="Z544" s="693"/>
      <c r="AA544" s="693"/>
      <c r="AB544" s="693"/>
      <c r="AC544" s="693"/>
      <c r="AD544" s="693"/>
      <c r="AE544" s="693"/>
      <c r="AF544" s="693"/>
    </row>
    <row r="545" spans="1:32" x14ac:dyDescent="0.35">
      <c r="A545" s="313"/>
      <c r="B545" s="293"/>
      <c r="C545" s="695" t="s">
        <v>509</v>
      </c>
      <c r="D545" s="689"/>
      <c r="E545" s="690"/>
      <c r="F545" s="694">
        <v>538900</v>
      </c>
      <c r="G545" s="694">
        <v>538900</v>
      </c>
      <c r="H545" s="690"/>
      <c r="I545" s="690"/>
      <c r="J545" s="690"/>
      <c r="K545" s="154"/>
      <c r="L545" s="155"/>
      <c r="M545" s="692"/>
      <c r="N545" s="154"/>
      <c r="O545" s="689"/>
      <c r="P545" s="689"/>
      <c r="Q545" s="689"/>
      <c r="R545" s="689"/>
      <c r="S545" s="689"/>
      <c r="T545" s="693"/>
      <c r="U545" s="693"/>
      <c r="V545" s="693"/>
      <c r="W545" s="693"/>
      <c r="X545" s="693"/>
      <c r="Y545" s="693"/>
      <c r="Z545" s="693"/>
      <c r="AA545" s="693"/>
      <c r="AB545" s="693"/>
      <c r="AC545" s="693"/>
      <c r="AD545" s="693"/>
      <c r="AE545" s="693"/>
      <c r="AF545" s="693"/>
    </row>
    <row r="546" spans="1:32" x14ac:dyDescent="0.35">
      <c r="A546" s="313"/>
      <c r="B546" s="293"/>
      <c r="C546" s="695" t="s">
        <v>510</v>
      </c>
      <c r="D546" s="689"/>
      <c r="E546" s="690"/>
      <c r="F546" s="694">
        <v>470500</v>
      </c>
      <c r="G546" s="694">
        <v>470500</v>
      </c>
      <c r="H546" s="690"/>
      <c r="I546" s="690"/>
      <c r="J546" s="690"/>
      <c r="K546" s="154"/>
      <c r="L546" s="155"/>
      <c r="M546" s="692"/>
      <c r="N546" s="154"/>
      <c r="O546" s="689"/>
      <c r="P546" s="689"/>
      <c r="Q546" s="689"/>
      <c r="R546" s="689"/>
      <c r="S546" s="689"/>
      <c r="T546" s="693"/>
      <c r="U546" s="693"/>
      <c r="V546" s="693"/>
      <c r="W546" s="693"/>
      <c r="X546" s="693"/>
      <c r="Y546" s="693"/>
      <c r="Z546" s="693"/>
      <c r="AA546" s="693"/>
      <c r="AB546" s="693"/>
      <c r="AC546" s="693"/>
      <c r="AD546" s="693"/>
      <c r="AE546" s="693"/>
      <c r="AF546" s="693"/>
    </row>
    <row r="547" spans="1:32" x14ac:dyDescent="0.35">
      <c r="A547" s="313"/>
      <c r="B547" s="293"/>
      <c r="C547" s="221" t="s">
        <v>511</v>
      </c>
      <c r="D547" s="689"/>
      <c r="E547" s="690"/>
      <c r="F547" s="694">
        <v>56900</v>
      </c>
      <c r="G547" s="694">
        <v>56900</v>
      </c>
      <c r="H547" s="690"/>
      <c r="I547" s="690"/>
      <c r="J547" s="690"/>
      <c r="K547" s="154"/>
      <c r="L547" s="155"/>
      <c r="M547" s="692"/>
      <c r="N547" s="154"/>
      <c r="O547" s="689"/>
      <c r="P547" s="689"/>
      <c r="Q547" s="689"/>
      <c r="R547" s="689"/>
      <c r="S547" s="689"/>
      <c r="T547" s="693"/>
      <c r="U547" s="693"/>
      <c r="V547" s="693"/>
      <c r="W547" s="693"/>
      <c r="X547" s="693"/>
      <c r="Y547" s="693"/>
      <c r="Z547" s="693"/>
      <c r="AA547" s="693"/>
      <c r="AB547" s="693"/>
      <c r="AC547" s="693"/>
      <c r="AD547" s="693"/>
      <c r="AE547" s="693"/>
      <c r="AF547" s="693"/>
    </row>
    <row r="548" spans="1:32" x14ac:dyDescent="0.35">
      <c r="A548" s="313"/>
      <c r="B548" s="293"/>
      <c r="C548" s="221" t="s">
        <v>512</v>
      </c>
      <c r="D548" s="689"/>
      <c r="E548" s="690"/>
      <c r="F548" s="694">
        <v>26100</v>
      </c>
      <c r="G548" s="694">
        <v>26100</v>
      </c>
      <c r="H548" s="690"/>
      <c r="I548" s="690"/>
      <c r="J548" s="690"/>
      <c r="K548" s="154"/>
      <c r="L548" s="155"/>
      <c r="M548" s="692"/>
      <c r="N548" s="154"/>
      <c r="O548" s="689"/>
      <c r="P548" s="689"/>
      <c r="Q548" s="689"/>
      <c r="R548" s="689"/>
      <c r="S548" s="689"/>
      <c r="T548" s="693"/>
      <c r="U548" s="693"/>
      <c r="V548" s="693"/>
      <c r="W548" s="693"/>
      <c r="X548" s="693"/>
      <c r="Y548" s="693"/>
      <c r="Z548" s="693"/>
      <c r="AA548" s="693"/>
      <c r="AB548" s="693"/>
      <c r="AC548" s="693"/>
      <c r="AD548" s="693"/>
      <c r="AE548" s="693"/>
      <c r="AF548" s="693"/>
    </row>
    <row r="549" spans="1:32" x14ac:dyDescent="0.35">
      <c r="A549" s="313"/>
      <c r="B549" s="293"/>
      <c r="C549" s="221" t="s">
        <v>513</v>
      </c>
      <c r="D549" s="689"/>
      <c r="E549" s="690"/>
      <c r="F549" s="694">
        <v>25600</v>
      </c>
      <c r="G549" s="694">
        <v>25600</v>
      </c>
      <c r="H549" s="690"/>
      <c r="I549" s="690"/>
      <c r="J549" s="690"/>
      <c r="K549" s="154"/>
      <c r="L549" s="155"/>
      <c r="M549" s="692"/>
      <c r="N549" s="154"/>
      <c r="O549" s="689"/>
      <c r="P549" s="689"/>
      <c r="Q549" s="689"/>
      <c r="R549" s="689"/>
      <c r="S549" s="689"/>
      <c r="T549" s="693"/>
      <c r="U549" s="693"/>
      <c r="V549" s="693"/>
      <c r="W549" s="693"/>
      <c r="X549" s="693"/>
      <c r="Y549" s="693"/>
      <c r="Z549" s="693"/>
      <c r="AA549" s="693"/>
      <c r="AB549" s="693"/>
      <c r="AC549" s="693"/>
      <c r="AD549" s="693"/>
      <c r="AE549" s="693"/>
      <c r="AF549" s="693"/>
    </row>
    <row r="550" spans="1:32" x14ac:dyDescent="0.35">
      <c r="A550" s="313"/>
      <c r="B550" s="293"/>
      <c r="C550" s="221" t="s">
        <v>676</v>
      </c>
      <c r="D550" s="689"/>
      <c r="E550" s="690"/>
      <c r="F550" s="694">
        <v>23800</v>
      </c>
      <c r="G550" s="694">
        <v>23800</v>
      </c>
      <c r="H550" s="690"/>
      <c r="I550" s="690"/>
      <c r="J550" s="690"/>
      <c r="K550" s="154"/>
      <c r="L550" s="155"/>
      <c r="M550" s="692"/>
      <c r="N550" s="154"/>
      <c r="O550" s="689"/>
      <c r="P550" s="689"/>
      <c r="Q550" s="689"/>
      <c r="R550" s="689"/>
      <c r="S550" s="689"/>
      <c r="T550" s="693"/>
      <c r="U550" s="693"/>
      <c r="V550" s="693"/>
      <c r="W550" s="693"/>
      <c r="X550" s="693"/>
      <c r="Y550" s="693"/>
      <c r="Z550" s="693"/>
      <c r="AA550" s="693"/>
      <c r="AB550" s="693"/>
      <c r="AC550" s="693"/>
      <c r="AD550" s="693"/>
      <c r="AE550" s="693"/>
      <c r="AF550" s="693"/>
    </row>
    <row r="551" spans="1:32" x14ac:dyDescent="0.35">
      <c r="A551" s="313"/>
      <c r="B551" s="293"/>
      <c r="C551" s="221" t="s">
        <v>514</v>
      </c>
      <c r="D551" s="689"/>
      <c r="E551" s="690"/>
      <c r="F551" s="694">
        <v>19200</v>
      </c>
      <c r="G551" s="694">
        <v>19200</v>
      </c>
      <c r="H551" s="690"/>
      <c r="I551" s="690"/>
      <c r="J551" s="690"/>
      <c r="K551" s="154"/>
      <c r="L551" s="155"/>
      <c r="M551" s="692"/>
      <c r="N551" s="154"/>
      <c r="O551" s="689"/>
      <c r="P551" s="689"/>
      <c r="Q551" s="689"/>
      <c r="R551" s="689"/>
      <c r="S551" s="689"/>
      <c r="T551" s="693"/>
      <c r="U551" s="693"/>
      <c r="V551" s="693"/>
      <c r="W551" s="693"/>
      <c r="X551" s="693"/>
      <c r="Y551" s="693"/>
      <c r="Z551" s="693"/>
      <c r="AA551" s="693"/>
      <c r="AB551" s="693"/>
      <c r="AC551" s="693"/>
      <c r="AD551" s="693"/>
      <c r="AE551" s="693"/>
      <c r="AF551" s="693"/>
    </row>
    <row r="552" spans="1:32" x14ac:dyDescent="0.35">
      <c r="A552" s="313"/>
      <c r="B552" s="293"/>
      <c r="C552" s="695" t="s">
        <v>515</v>
      </c>
      <c r="D552" s="689"/>
      <c r="E552" s="690"/>
      <c r="F552" s="694">
        <v>42300</v>
      </c>
      <c r="G552" s="694">
        <v>42300</v>
      </c>
      <c r="H552" s="690"/>
      <c r="I552" s="690"/>
      <c r="J552" s="690"/>
      <c r="K552" s="154"/>
      <c r="L552" s="155"/>
      <c r="M552" s="692"/>
      <c r="N552" s="154"/>
      <c r="O552" s="689"/>
      <c r="P552" s="689"/>
      <c r="Q552" s="689"/>
      <c r="R552" s="689"/>
      <c r="S552" s="689"/>
      <c r="T552" s="693"/>
      <c r="U552" s="693"/>
      <c r="V552" s="693"/>
      <c r="W552" s="693"/>
      <c r="X552" s="693"/>
      <c r="Y552" s="693"/>
      <c r="Z552" s="693"/>
      <c r="AA552" s="693"/>
      <c r="AB552" s="693"/>
      <c r="AC552" s="693"/>
      <c r="AD552" s="693"/>
      <c r="AE552" s="693"/>
      <c r="AF552" s="693"/>
    </row>
    <row r="553" spans="1:32" x14ac:dyDescent="0.35">
      <c r="A553" s="313"/>
      <c r="B553" s="293"/>
      <c r="C553" s="221" t="s">
        <v>516</v>
      </c>
      <c r="D553" s="689"/>
      <c r="E553" s="690"/>
      <c r="F553" s="694">
        <v>47400</v>
      </c>
      <c r="G553" s="694">
        <v>47400</v>
      </c>
      <c r="H553" s="690"/>
      <c r="I553" s="690"/>
      <c r="J553" s="690"/>
      <c r="K553" s="154"/>
      <c r="L553" s="155"/>
      <c r="M553" s="692"/>
      <c r="N553" s="154"/>
      <c r="O553" s="689"/>
      <c r="P553" s="689"/>
      <c r="Q553" s="689"/>
      <c r="R553" s="689"/>
      <c r="S553" s="689"/>
      <c r="T553" s="693"/>
      <c r="U553" s="693"/>
      <c r="V553" s="693"/>
      <c r="W553" s="693"/>
      <c r="X553" s="693"/>
      <c r="Y553" s="693"/>
      <c r="Z553" s="693"/>
      <c r="AA553" s="693"/>
      <c r="AB553" s="693"/>
      <c r="AC553" s="693"/>
      <c r="AD553" s="693"/>
      <c r="AE553" s="693"/>
      <c r="AF553" s="693"/>
    </row>
    <row r="554" spans="1:32" x14ac:dyDescent="0.35">
      <c r="A554" s="313"/>
      <c r="B554" s="293"/>
      <c r="C554" s="221" t="s">
        <v>517</v>
      </c>
      <c r="D554" s="689"/>
      <c r="E554" s="690"/>
      <c r="F554" s="694">
        <v>24100</v>
      </c>
      <c r="G554" s="694">
        <v>24100</v>
      </c>
      <c r="H554" s="690"/>
      <c r="I554" s="690"/>
      <c r="J554" s="690"/>
      <c r="K554" s="154"/>
      <c r="L554" s="155"/>
      <c r="M554" s="692"/>
      <c r="N554" s="154"/>
      <c r="O554" s="689"/>
      <c r="P554" s="689"/>
      <c r="Q554" s="689"/>
      <c r="R554" s="689"/>
      <c r="S554" s="689"/>
      <c r="T554" s="693"/>
      <c r="U554" s="693"/>
      <c r="V554" s="693"/>
      <c r="W554" s="693"/>
      <c r="X554" s="693"/>
      <c r="Y554" s="693"/>
      <c r="Z554" s="693"/>
      <c r="AA554" s="693"/>
      <c r="AB554" s="693"/>
      <c r="AC554" s="693"/>
      <c r="AD554" s="693"/>
      <c r="AE554" s="693"/>
      <c r="AF554" s="693"/>
    </row>
    <row r="555" spans="1:32" x14ac:dyDescent="0.35">
      <c r="A555" s="313"/>
      <c r="B555" s="293"/>
      <c r="C555" s="221" t="s">
        <v>518</v>
      </c>
      <c r="D555" s="689"/>
      <c r="E555" s="690"/>
      <c r="F555" s="694">
        <v>62400</v>
      </c>
      <c r="G555" s="694">
        <v>62400</v>
      </c>
      <c r="H555" s="690"/>
      <c r="I555" s="690"/>
      <c r="J555" s="690"/>
      <c r="K555" s="154"/>
      <c r="L555" s="155"/>
      <c r="M555" s="692"/>
      <c r="N555" s="154"/>
      <c r="O555" s="689"/>
      <c r="P555" s="689"/>
      <c r="Q555" s="689"/>
      <c r="R555" s="689"/>
      <c r="S555" s="689"/>
      <c r="T555" s="693"/>
      <c r="U555" s="693"/>
      <c r="V555" s="693"/>
      <c r="W555" s="693"/>
      <c r="X555" s="693"/>
      <c r="Y555" s="693"/>
      <c r="Z555" s="693"/>
      <c r="AA555" s="693"/>
      <c r="AB555" s="693"/>
      <c r="AC555" s="693"/>
      <c r="AD555" s="693"/>
      <c r="AE555" s="693"/>
      <c r="AF555" s="693"/>
    </row>
    <row r="556" spans="1:32" x14ac:dyDescent="0.35">
      <c r="A556" s="313"/>
      <c r="B556" s="293"/>
      <c r="C556" s="695" t="s">
        <v>519</v>
      </c>
      <c r="D556" s="689"/>
      <c r="E556" s="690"/>
      <c r="F556" s="694">
        <v>62700.000000000007</v>
      </c>
      <c r="G556" s="694">
        <v>62700.000000000007</v>
      </c>
      <c r="H556" s="690"/>
      <c r="I556" s="690"/>
      <c r="J556" s="690"/>
      <c r="K556" s="154"/>
      <c r="L556" s="155"/>
      <c r="M556" s="692"/>
      <c r="N556" s="154"/>
      <c r="O556" s="689"/>
      <c r="P556" s="689"/>
      <c r="Q556" s="689"/>
      <c r="R556" s="689"/>
      <c r="S556" s="689"/>
      <c r="T556" s="693"/>
      <c r="U556" s="693"/>
      <c r="V556" s="693"/>
      <c r="W556" s="693"/>
      <c r="X556" s="693"/>
      <c r="Y556" s="693"/>
      <c r="Z556" s="693"/>
      <c r="AA556" s="693"/>
      <c r="AB556" s="693"/>
      <c r="AC556" s="693"/>
      <c r="AD556" s="693"/>
      <c r="AE556" s="693"/>
      <c r="AF556" s="693"/>
    </row>
    <row r="557" spans="1:32" x14ac:dyDescent="0.35">
      <c r="A557" s="313"/>
      <c r="B557" s="293"/>
      <c r="C557" s="221" t="s">
        <v>520</v>
      </c>
      <c r="D557" s="689"/>
      <c r="E557" s="690"/>
      <c r="F557" s="694">
        <v>43300</v>
      </c>
      <c r="G557" s="694">
        <v>43300</v>
      </c>
      <c r="H557" s="690"/>
      <c r="I557" s="690"/>
      <c r="J557" s="690"/>
      <c r="K557" s="154"/>
      <c r="L557" s="155"/>
      <c r="M557" s="692"/>
      <c r="N557" s="154"/>
      <c r="O557" s="689"/>
      <c r="P557" s="689"/>
      <c r="Q557" s="689"/>
      <c r="R557" s="689"/>
      <c r="S557" s="689"/>
      <c r="T557" s="693"/>
      <c r="U557" s="693"/>
      <c r="V557" s="693"/>
      <c r="W557" s="693"/>
      <c r="X557" s="693"/>
      <c r="Y557" s="693"/>
      <c r="Z557" s="693"/>
      <c r="AA557" s="693"/>
      <c r="AB557" s="693"/>
      <c r="AC557" s="693"/>
      <c r="AD557" s="693"/>
      <c r="AE557" s="693"/>
      <c r="AF557" s="693"/>
    </row>
    <row r="558" spans="1:32" x14ac:dyDescent="0.35">
      <c r="A558" s="313"/>
      <c r="B558" s="293"/>
      <c r="C558" s="221" t="s">
        <v>521</v>
      </c>
      <c r="D558" s="689"/>
      <c r="E558" s="690"/>
      <c r="F558" s="694">
        <v>30900</v>
      </c>
      <c r="G558" s="694">
        <v>30900</v>
      </c>
      <c r="H558" s="690"/>
      <c r="I558" s="690"/>
      <c r="J558" s="690"/>
      <c r="K558" s="154"/>
      <c r="L558" s="155"/>
      <c r="M558" s="692"/>
      <c r="N558" s="154"/>
      <c r="O558" s="689"/>
      <c r="P558" s="689"/>
      <c r="Q558" s="689"/>
      <c r="R558" s="689"/>
      <c r="S558" s="689"/>
      <c r="T558" s="693"/>
      <c r="U558" s="693"/>
      <c r="V558" s="693"/>
      <c r="W558" s="693"/>
      <c r="X558" s="693"/>
      <c r="Y558" s="693"/>
      <c r="Z558" s="693"/>
      <c r="AA558" s="693"/>
      <c r="AB558" s="693"/>
      <c r="AC558" s="693"/>
      <c r="AD558" s="693"/>
      <c r="AE558" s="693"/>
      <c r="AF558" s="693"/>
    </row>
    <row r="559" spans="1:32" x14ac:dyDescent="0.35">
      <c r="A559" s="313"/>
      <c r="B559" s="293"/>
      <c r="C559" s="221" t="s">
        <v>522</v>
      </c>
      <c r="D559" s="689"/>
      <c r="E559" s="690"/>
      <c r="F559" s="694">
        <v>16100</v>
      </c>
      <c r="G559" s="694">
        <v>16100</v>
      </c>
      <c r="H559" s="690"/>
      <c r="I559" s="690"/>
      <c r="J559" s="690"/>
      <c r="K559" s="154"/>
      <c r="L559" s="155"/>
      <c r="M559" s="692"/>
      <c r="N559" s="154"/>
      <c r="O559" s="689"/>
      <c r="P559" s="689"/>
      <c r="Q559" s="689"/>
      <c r="R559" s="689"/>
      <c r="S559" s="689"/>
      <c r="T559" s="693"/>
      <c r="U559" s="693"/>
      <c r="V559" s="693"/>
      <c r="W559" s="693"/>
      <c r="X559" s="693"/>
      <c r="Y559" s="693"/>
      <c r="Z559" s="693"/>
      <c r="AA559" s="693"/>
      <c r="AB559" s="693"/>
      <c r="AC559" s="693"/>
      <c r="AD559" s="693"/>
      <c r="AE559" s="693"/>
      <c r="AF559" s="693"/>
    </row>
    <row r="560" spans="1:32" x14ac:dyDescent="0.35">
      <c r="A560" s="313"/>
      <c r="B560" s="293"/>
      <c r="C560" s="695" t="s">
        <v>523</v>
      </c>
      <c r="D560" s="689"/>
      <c r="E560" s="690"/>
      <c r="F560" s="694">
        <v>27800</v>
      </c>
      <c r="G560" s="694">
        <v>27800</v>
      </c>
      <c r="H560" s="690"/>
      <c r="I560" s="690"/>
      <c r="J560" s="690"/>
      <c r="K560" s="154"/>
      <c r="L560" s="155"/>
      <c r="M560" s="692"/>
      <c r="N560" s="154"/>
      <c r="O560" s="689"/>
      <c r="P560" s="689"/>
      <c r="Q560" s="689"/>
      <c r="R560" s="689"/>
      <c r="S560" s="689"/>
      <c r="T560" s="693"/>
      <c r="U560" s="693"/>
      <c r="V560" s="693"/>
      <c r="W560" s="693"/>
      <c r="X560" s="693"/>
      <c r="Y560" s="693"/>
      <c r="Z560" s="693"/>
      <c r="AA560" s="693"/>
      <c r="AB560" s="693"/>
      <c r="AC560" s="693"/>
      <c r="AD560" s="693"/>
      <c r="AE560" s="693"/>
      <c r="AF560" s="693"/>
    </row>
    <row r="561" spans="1:32" x14ac:dyDescent="0.35">
      <c r="A561" s="313"/>
      <c r="B561" s="293"/>
      <c r="C561" s="221" t="s">
        <v>524</v>
      </c>
      <c r="D561" s="689"/>
      <c r="E561" s="690"/>
      <c r="F561" s="694">
        <v>19100</v>
      </c>
      <c r="G561" s="694">
        <v>19100</v>
      </c>
      <c r="H561" s="690"/>
      <c r="I561" s="690"/>
      <c r="J561" s="690"/>
      <c r="K561" s="154"/>
      <c r="L561" s="155"/>
      <c r="M561" s="692"/>
      <c r="N561" s="154"/>
      <c r="O561" s="689"/>
      <c r="P561" s="689"/>
      <c r="Q561" s="689"/>
      <c r="R561" s="689"/>
      <c r="S561" s="689"/>
      <c r="T561" s="693"/>
      <c r="U561" s="693"/>
      <c r="V561" s="693"/>
      <c r="W561" s="693"/>
      <c r="X561" s="693"/>
      <c r="Y561" s="693"/>
      <c r="Z561" s="693"/>
      <c r="AA561" s="693"/>
      <c r="AB561" s="693"/>
      <c r="AC561" s="693"/>
      <c r="AD561" s="693"/>
      <c r="AE561" s="693"/>
      <c r="AF561" s="693"/>
    </row>
    <row r="562" spans="1:32" x14ac:dyDescent="0.35">
      <c r="A562" s="313"/>
      <c r="B562" s="293"/>
      <c r="C562" s="221" t="s">
        <v>525</v>
      </c>
      <c r="D562" s="689"/>
      <c r="E562" s="690"/>
      <c r="F562" s="694">
        <v>12700</v>
      </c>
      <c r="G562" s="694">
        <v>12700</v>
      </c>
      <c r="H562" s="690"/>
      <c r="I562" s="690"/>
      <c r="J562" s="690"/>
      <c r="K562" s="154"/>
      <c r="L562" s="155"/>
      <c r="M562" s="692"/>
      <c r="N562" s="154"/>
      <c r="O562" s="689"/>
      <c r="P562" s="689"/>
      <c r="Q562" s="689"/>
      <c r="R562" s="689"/>
      <c r="S562" s="689"/>
      <c r="T562" s="693"/>
      <c r="U562" s="693"/>
      <c r="V562" s="693"/>
      <c r="W562" s="693"/>
      <c r="X562" s="693"/>
      <c r="Y562" s="693"/>
      <c r="Z562" s="693"/>
      <c r="AA562" s="693"/>
      <c r="AB562" s="693"/>
      <c r="AC562" s="693"/>
      <c r="AD562" s="693"/>
      <c r="AE562" s="693"/>
      <c r="AF562" s="693"/>
    </row>
    <row r="563" spans="1:32" x14ac:dyDescent="0.35">
      <c r="A563" s="313"/>
      <c r="B563" s="293"/>
      <c r="C563" s="221" t="s">
        <v>526</v>
      </c>
      <c r="D563" s="689"/>
      <c r="E563" s="690"/>
      <c r="F563" s="694">
        <v>26500</v>
      </c>
      <c r="G563" s="694">
        <v>26500</v>
      </c>
      <c r="H563" s="690"/>
      <c r="I563" s="690"/>
      <c r="J563" s="690"/>
      <c r="K563" s="154"/>
      <c r="L563" s="155"/>
      <c r="M563" s="692"/>
      <c r="N563" s="154"/>
      <c r="O563" s="689"/>
      <c r="P563" s="689"/>
      <c r="Q563" s="689"/>
      <c r="R563" s="689"/>
      <c r="S563" s="689"/>
      <c r="T563" s="693"/>
      <c r="U563" s="693"/>
      <c r="V563" s="693"/>
      <c r="W563" s="693"/>
      <c r="X563" s="693"/>
      <c r="Y563" s="693"/>
      <c r="Z563" s="693"/>
      <c r="AA563" s="693"/>
      <c r="AB563" s="693"/>
      <c r="AC563" s="693"/>
      <c r="AD563" s="693"/>
      <c r="AE563" s="693"/>
      <c r="AF563" s="693"/>
    </row>
    <row r="564" spans="1:32" x14ac:dyDescent="0.35">
      <c r="A564" s="313"/>
      <c r="B564" s="293"/>
      <c r="C564" s="221" t="s">
        <v>527</v>
      </c>
      <c r="D564" s="689"/>
      <c r="E564" s="690"/>
      <c r="F564" s="694">
        <v>86000</v>
      </c>
      <c r="G564" s="694">
        <v>86000</v>
      </c>
      <c r="H564" s="690"/>
      <c r="I564" s="690"/>
      <c r="J564" s="690"/>
      <c r="K564" s="154"/>
      <c r="L564" s="155"/>
      <c r="M564" s="692"/>
      <c r="N564" s="154"/>
      <c r="O564" s="689"/>
      <c r="P564" s="689"/>
      <c r="Q564" s="689"/>
      <c r="R564" s="689"/>
      <c r="S564" s="689"/>
      <c r="T564" s="693"/>
      <c r="U564" s="693"/>
      <c r="V564" s="693"/>
      <c r="W564" s="693"/>
      <c r="X564" s="693"/>
      <c r="Y564" s="693"/>
      <c r="Z564" s="693"/>
      <c r="AA564" s="693"/>
      <c r="AB564" s="693"/>
      <c r="AC564" s="693"/>
      <c r="AD564" s="693"/>
      <c r="AE564" s="693"/>
      <c r="AF564" s="693"/>
    </row>
    <row r="565" spans="1:32" x14ac:dyDescent="0.35">
      <c r="A565" s="313"/>
      <c r="B565" s="293"/>
      <c r="C565" s="221" t="s">
        <v>528</v>
      </c>
      <c r="D565" s="689"/>
      <c r="E565" s="690"/>
      <c r="F565" s="694">
        <v>33000</v>
      </c>
      <c r="G565" s="694">
        <v>33000</v>
      </c>
      <c r="H565" s="690"/>
      <c r="I565" s="690"/>
      <c r="J565" s="690"/>
      <c r="K565" s="154"/>
      <c r="L565" s="155"/>
      <c r="M565" s="692"/>
      <c r="N565" s="154"/>
      <c r="O565" s="689"/>
      <c r="P565" s="689"/>
      <c r="Q565" s="689"/>
      <c r="R565" s="689"/>
      <c r="S565" s="689"/>
      <c r="T565" s="693"/>
      <c r="U565" s="693"/>
      <c r="V565" s="693"/>
      <c r="W565" s="693"/>
      <c r="X565" s="693"/>
      <c r="Y565" s="693"/>
      <c r="Z565" s="693"/>
      <c r="AA565" s="693"/>
      <c r="AB565" s="693"/>
      <c r="AC565" s="693"/>
      <c r="AD565" s="693"/>
      <c r="AE565" s="693"/>
      <c r="AF565" s="693"/>
    </row>
    <row r="566" spans="1:32" x14ac:dyDescent="0.35">
      <c r="A566" s="313"/>
      <c r="B566" s="293"/>
      <c r="C566" s="221" t="s">
        <v>529</v>
      </c>
      <c r="D566" s="689"/>
      <c r="E566" s="690"/>
      <c r="F566" s="694">
        <v>131400</v>
      </c>
      <c r="G566" s="694">
        <v>131400</v>
      </c>
      <c r="H566" s="690"/>
      <c r="I566" s="690"/>
      <c r="J566" s="690"/>
      <c r="K566" s="154"/>
      <c r="L566" s="155"/>
      <c r="M566" s="692"/>
      <c r="N566" s="154"/>
      <c r="O566" s="689"/>
      <c r="P566" s="689"/>
      <c r="Q566" s="689"/>
      <c r="R566" s="689"/>
      <c r="S566" s="689"/>
      <c r="T566" s="693"/>
      <c r="U566" s="693"/>
      <c r="V566" s="693"/>
      <c r="W566" s="693"/>
      <c r="X566" s="693"/>
      <c r="Y566" s="693"/>
      <c r="Z566" s="693"/>
      <c r="AA566" s="693"/>
      <c r="AB566" s="693"/>
      <c r="AC566" s="693"/>
      <c r="AD566" s="693"/>
      <c r="AE566" s="693"/>
      <c r="AF566" s="693"/>
    </row>
    <row r="567" spans="1:32" x14ac:dyDescent="0.35">
      <c r="A567" s="313"/>
      <c r="B567" s="293"/>
      <c r="C567" s="695" t="s">
        <v>530</v>
      </c>
      <c r="D567" s="689"/>
      <c r="E567" s="690"/>
      <c r="F567" s="694">
        <v>9500</v>
      </c>
      <c r="G567" s="694">
        <v>9500</v>
      </c>
      <c r="H567" s="690"/>
      <c r="I567" s="690"/>
      <c r="J567" s="690"/>
      <c r="K567" s="154"/>
      <c r="L567" s="155"/>
      <c r="M567" s="692"/>
      <c r="N567" s="154"/>
      <c r="O567" s="689"/>
      <c r="P567" s="689"/>
      <c r="Q567" s="689"/>
      <c r="R567" s="689"/>
      <c r="S567" s="689"/>
      <c r="T567" s="693"/>
      <c r="U567" s="693"/>
      <c r="V567" s="693"/>
      <c r="W567" s="693"/>
      <c r="X567" s="693"/>
      <c r="Y567" s="693"/>
      <c r="Z567" s="693"/>
      <c r="AA567" s="693"/>
      <c r="AB567" s="693"/>
      <c r="AC567" s="693"/>
      <c r="AD567" s="693"/>
      <c r="AE567" s="693"/>
      <c r="AF567" s="693"/>
    </row>
    <row r="568" spans="1:32" x14ac:dyDescent="0.35">
      <c r="A568" s="313"/>
      <c r="B568" s="293"/>
      <c r="C568" s="695" t="s">
        <v>531</v>
      </c>
      <c r="D568" s="689"/>
      <c r="E568" s="690"/>
      <c r="F568" s="694">
        <v>5500</v>
      </c>
      <c r="G568" s="694">
        <v>5500</v>
      </c>
      <c r="H568" s="690"/>
      <c r="I568" s="690"/>
      <c r="J568" s="690"/>
      <c r="K568" s="154"/>
      <c r="L568" s="155"/>
      <c r="M568" s="692"/>
      <c r="N568" s="154"/>
      <c r="O568" s="689"/>
      <c r="P568" s="689"/>
      <c r="Q568" s="689"/>
      <c r="R568" s="689"/>
      <c r="S568" s="689"/>
      <c r="T568" s="693"/>
      <c r="U568" s="693"/>
      <c r="V568" s="693"/>
      <c r="W568" s="693"/>
      <c r="X568" s="693"/>
      <c r="Y568" s="693"/>
      <c r="Z568" s="693"/>
      <c r="AA568" s="693"/>
      <c r="AB568" s="693"/>
      <c r="AC568" s="693"/>
      <c r="AD568" s="693"/>
      <c r="AE568" s="693"/>
      <c r="AF568" s="693"/>
    </row>
    <row r="569" spans="1:32" x14ac:dyDescent="0.35">
      <c r="A569" s="313"/>
      <c r="B569" s="293"/>
      <c r="C569" s="221" t="s">
        <v>532</v>
      </c>
      <c r="D569" s="689"/>
      <c r="E569" s="690"/>
      <c r="F569" s="694">
        <v>488300</v>
      </c>
      <c r="G569" s="694">
        <v>488300</v>
      </c>
      <c r="H569" s="690"/>
      <c r="I569" s="690"/>
      <c r="J569" s="690"/>
      <c r="K569" s="154"/>
      <c r="L569" s="155"/>
      <c r="M569" s="692"/>
      <c r="N569" s="154"/>
      <c r="O569" s="689"/>
      <c r="P569" s="689"/>
      <c r="Q569" s="689"/>
      <c r="R569" s="689"/>
      <c r="S569" s="689"/>
      <c r="T569" s="693"/>
      <c r="U569" s="693"/>
      <c r="V569" s="693"/>
      <c r="W569" s="693"/>
      <c r="X569" s="693"/>
      <c r="Y569" s="693"/>
      <c r="Z569" s="693"/>
      <c r="AA569" s="693"/>
      <c r="AB569" s="693"/>
      <c r="AC569" s="693"/>
      <c r="AD569" s="693"/>
      <c r="AE569" s="693"/>
      <c r="AF569" s="693"/>
    </row>
    <row r="570" spans="1:32" x14ac:dyDescent="0.35">
      <c r="A570" s="313"/>
      <c r="B570" s="293"/>
      <c r="C570" s="221" t="s">
        <v>533</v>
      </c>
      <c r="D570" s="689"/>
      <c r="E570" s="690"/>
      <c r="F570" s="694">
        <v>248400</v>
      </c>
      <c r="G570" s="694">
        <v>248400</v>
      </c>
      <c r="H570" s="690"/>
      <c r="I570" s="690"/>
      <c r="J570" s="690"/>
      <c r="K570" s="154"/>
      <c r="L570" s="155"/>
      <c r="M570" s="692"/>
      <c r="N570" s="154"/>
      <c r="O570" s="689"/>
      <c r="P570" s="689"/>
      <c r="Q570" s="689"/>
      <c r="R570" s="689"/>
      <c r="S570" s="689"/>
      <c r="T570" s="693"/>
      <c r="U570" s="693"/>
      <c r="V570" s="693"/>
      <c r="W570" s="693"/>
      <c r="X570" s="693"/>
      <c r="Y570" s="693"/>
      <c r="Z570" s="693"/>
      <c r="AA570" s="693"/>
      <c r="AB570" s="693"/>
      <c r="AC570" s="693"/>
      <c r="AD570" s="693"/>
      <c r="AE570" s="693"/>
      <c r="AF570" s="693"/>
    </row>
    <row r="571" spans="1:32" x14ac:dyDescent="0.35">
      <c r="A571" s="313"/>
      <c r="B571" s="293"/>
      <c r="C571" s="221" t="s">
        <v>534</v>
      </c>
      <c r="D571" s="689"/>
      <c r="E571" s="690"/>
      <c r="F571" s="694">
        <v>25000</v>
      </c>
      <c r="G571" s="694">
        <v>25000</v>
      </c>
      <c r="H571" s="690"/>
      <c r="I571" s="690"/>
      <c r="J571" s="690"/>
      <c r="K571" s="154"/>
      <c r="L571" s="155"/>
      <c r="M571" s="692"/>
      <c r="N571" s="154"/>
      <c r="O571" s="689"/>
      <c r="P571" s="689"/>
      <c r="Q571" s="689"/>
      <c r="R571" s="689"/>
      <c r="S571" s="689"/>
      <c r="T571" s="693"/>
      <c r="U571" s="693"/>
      <c r="V571" s="693"/>
      <c r="W571" s="693"/>
      <c r="X571" s="693"/>
      <c r="Y571" s="693"/>
      <c r="Z571" s="693"/>
      <c r="AA571" s="693"/>
      <c r="AB571" s="693"/>
      <c r="AC571" s="693"/>
      <c r="AD571" s="693"/>
      <c r="AE571" s="693"/>
      <c r="AF571" s="693"/>
    </row>
    <row r="572" spans="1:32" x14ac:dyDescent="0.35">
      <c r="A572" s="313"/>
      <c r="B572" s="293"/>
      <c r="C572" s="221" t="s">
        <v>535</v>
      </c>
      <c r="D572" s="689"/>
      <c r="E572" s="690"/>
      <c r="F572" s="694">
        <v>127500</v>
      </c>
      <c r="G572" s="694">
        <v>127500</v>
      </c>
      <c r="H572" s="690"/>
      <c r="I572" s="690"/>
      <c r="J572" s="690"/>
      <c r="K572" s="154"/>
      <c r="L572" s="155"/>
      <c r="M572" s="692"/>
      <c r="N572" s="154"/>
      <c r="O572" s="689"/>
      <c r="P572" s="689"/>
      <c r="Q572" s="689"/>
      <c r="R572" s="689"/>
      <c r="S572" s="689"/>
      <c r="T572" s="693"/>
      <c r="U572" s="693"/>
      <c r="V572" s="693"/>
      <c r="W572" s="693"/>
      <c r="X572" s="693"/>
      <c r="Y572" s="693"/>
      <c r="Z572" s="693"/>
      <c r="AA572" s="693"/>
      <c r="AB572" s="693"/>
      <c r="AC572" s="693"/>
      <c r="AD572" s="693"/>
      <c r="AE572" s="693"/>
      <c r="AF572" s="693"/>
    </row>
    <row r="573" spans="1:32" x14ac:dyDescent="0.35">
      <c r="A573" s="313"/>
      <c r="B573" s="293"/>
      <c r="C573" s="221" t="s">
        <v>538</v>
      </c>
      <c r="D573" s="689"/>
      <c r="E573" s="690"/>
      <c r="F573" s="694">
        <v>56800</v>
      </c>
      <c r="G573" s="694">
        <v>56800</v>
      </c>
      <c r="H573" s="690"/>
      <c r="I573" s="690"/>
      <c r="J573" s="690"/>
      <c r="K573" s="154"/>
      <c r="L573" s="155"/>
      <c r="M573" s="692"/>
      <c r="N573" s="154"/>
      <c r="O573" s="689"/>
      <c r="P573" s="689"/>
      <c r="Q573" s="689"/>
      <c r="R573" s="689"/>
      <c r="S573" s="689"/>
      <c r="T573" s="693"/>
      <c r="U573" s="693"/>
      <c r="V573" s="693"/>
      <c r="W573" s="693"/>
      <c r="X573" s="693"/>
      <c r="Y573" s="693"/>
      <c r="Z573" s="693"/>
      <c r="AA573" s="693"/>
      <c r="AB573" s="693"/>
      <c r="AC573" s="693"/>
      <c r="AD573" s="693"/>
      <c r="AE573" s="693"/>
      <c r="AF573" s="693"/>
    </row>
    <row r="574" spans="1:32" x14ac:dyDescent="0.35">
      <c r="A574" s="313"/>
      <c r="B574" s="293"/>
      <c r="C574" s="221" t="s">
        <v>536</v>
      </c>
      <c r="D574" s="689"/>
      <c r="E574" s="690"/>
      <c r="F574" s="694">
        <v>288500</v>
      </c>
      <c r="G574" s="694">
        <v>288500</v>
      </c>
      <c r="H574" s="690"/>
      <c r="I574" s="690"/>
      <c r="J574" s="690"/>
      <c r="K574" s="154"/>
      <c r="L574" s="155"/>
      <c r="M574" s="692"/>
      <c r="N574" s="154"/>
      <c r="O574" s="689"/>
      <c r="P574" s="689"/>
      <c r="Q574" s="689"/>
      <c r="R574" s="689"/>
      <c r="S574" s="689"/>
      <c r="T574" s="693"/>
      <c r="U574" s="693"/>
      <c r="V574" s="693"/>
      <c r="W574" s="693"/>
      <c r="X574" s="693"/>
      <c r="Y574" s="693"/>
      <c r="Z574" s="693"/>
      <c r="AA574" s="693"/>
      <c r="AB574" s="693"/>
      <c r="AC574" s="693"/>
      <c r="AD574" s="693"/>
      <c r="AE574" s="693"/>
      <c r="AF574" s="693"/>
    </row>
    <row r="575" spans="1:32" x14ac:dyDescent="0.35">
      <c r="A575" s="313"/>
      <c r="B575" s="293"/>
      <c r="C575" s="221" t="s">
        <v>537</v>
      </c>
      <c r="D575" s="689"/>
      <c r="E575" s="690"/>
      <c r="F575" s="694">
        <v>631300</v>
      </c>
      <c r="G575" s="694">
        <v>631300</v>
      </c>
      <c r="H575" s="690"/>
      <c r="I575" s="690"/>
      <c r="J575" s="690"/>
      <c r="K575" s="154"/>
      <c r="L575" s="155"/>
      <c r="M575" s="692"/>
      <c r="N575" s="154"/>
      <c r="O575" s="689"/>
      <c r="P575" s="689"/>
      <c r="Q575" s="689"/>
      <c r="R575" s="689"/>
      <c r="S575" s="689"/>
      <c r="T575" s="693"/>
      <c r="U575" s="693"/>
      <c r="V575" s="693"/>
      <c r="W575" s="693"/>
      <c r="X575" s="693"/>
      <c r="Y575" s="693"/>
      <c r="Z575" s="693"/>
      <c r="AA575" s="693"/>
      <c r="AB575" s="693"/>
      <c r="AC575" s="693"/>
      <c r="AD575" s="693"/>
      <c r="AE575" s="693"/>
      <c r="AF575" s="693"/>
    </row>
    <row r="576" spans="1:32" x14ac:dyDescent="0.35">
      <c r="A576" s="313"/>
      <c r="B576" s="293"/>
      <c r="C576" s="221" t="s">
        <v>539</v>
      </c>
      <c r="D576" s="689"/>
      <c r="E576" s="690"/>
      <c r="F576" s="694">
        <v>576900</v>
      </c>
      <c r="G576" s="694">
        <v>576900</v>
      </c>
      <c r="H576" s="690"/>
      <c r="I576" s="690"/>
      <c r="J576" s="690"/>
      <c r="K576" s="154"/>
      <c r="L576" s="155"/>
      <c r="M576" s="692"/>
      <c r="N576" s="154"/>
      <c r="O576" s="689"/>
      <c r="P576" s="689"/>
      <c r="Q576" s="689"/>
      <c r="R576" s="689"/>
      <c r="S576" s="689"/>
      <c r="T576" s="693"/>
      <c r="U576" s="693"/>
      <c r="V576" s="693"/>
      <c r="W576" s="693"/>
      <c r="X576" s="693"/>
      <c r="Y576" s="693"/>
      <c r="Z576" s="693"/>
      <c r="AA576" s="693"/>
      <c r="AB576" s="693"/>
      <c r="AC576" s="693"/>
      <c r="AD576" s="693"/>
      <c r="AE576" s="693"/>
      <c r="AF576" s="693"/>
    </row>
    <row r="577" spans="1:32" x14ac:dyDescent="0.35">
      <c r="A577" s="313"/>
      <c r="B577" s="293"/>
      <c r="C577" s="221" t="s">
        <v>540</v>
      </c>
      <c r="D577" s="689"/>
      <c r="E577" s="690"/>
      <c r="F577" s="694">
        <v>22500</v>
      </c>
      <c r="G577" s="694">
        <v>22500</v>
      </c>
      <c r="H577" s="690"/>
      <c r="I577" s="690"/>
      <c r="J577" s="690"/>
      <c r="K577" s="154"/>
      <c r="L577" s="155"/>
      <c r="M577" s="692"/>
      <c r="N577" s="154"/>
      <c r="O577" s="689"/>
      <c r="P577" s="689"/>
      <c r="Q577" s="689"/>
      <c r="R577" s="689"/>
      <c r="S577" s="689"/>
      <c r="T577" s="693"/>
      <c r="U577" s="693"/>
      <c r="V577" s="693"/>
      <c r="W577" s="693"/>
      <c r="X577" s="693"/>
      <c r="Y577" s="693"/>
      <c r="Z577" s="693"/>
      <c r="AA577" s="693"/>
      <c r="AB577" s="693"/>
      <c r="AC577" s="693"/>
      <c r="AD577" s="693"/>
      <c r="AE577" s="693"/>
      <c r="AF577" s="693"/>
    </row>
    <row r="578" spans="1:32" x14ac:dyDescent="0.35">
      <c r="A578" s="313"/>
      <c r="B578" s="293"/>
      <c r="C578" s="221" t="s">
        <v>541</v>
      </c>
      <c r="D578" s="689"/>
      <c r="E578" s="690"/>
      <c r="F578" s="694">
        <v>9700</v>
      </c>
      <c r="G578" s="694">
        <v>9700</v>
      </c>
      <c r="H578" s="690"/>
      <c r="I578" s="690"/>
      <c r="J578" s="690"/>
      <c r="K578" s="154"/>
      <c r="L578" s="155"/>
      <c r="M578" s="692"/>
      <c r="N578" s="154"/>
      <c r="O578" s="689"/>
      <c r="P578" s="689"/>
      <c r="Q578" s="689"/>
      <c r="R578" s="689"/>
      <c r="S578" s="689"/>
      <c r="T578" s="693"/>
      <c r="U578" s="693"/>
      <c r="V578" s="693"/>
      <c r="W578" s="693"/>
      <c r="X578" s="693"/>
      <c r="Y578" s="693"/>
      <c r="Z578" s="693"/>
      <c r="AA578" s="693"/>
      <c r="AB578" s="693"/>
      <c r="AC578" s="693"/>
      <c r="AD578" s="693"/>
      <c r="AE578" s="693"/>
      <c r="AF578" s="693"/>
    </row>
    <row r="579" spans="1:32" x14ac:dyDescent="0.35">
      <c r="A579" s="313"/>
      <c r="B579" s="293"/>
      <c r="C579" s="221" t="s">
        <v>542</v>
      </c>
      <c r="D579" s="689"/>
      <c r="E579" s="690"/>
      <c r="F579" s="694">
        <v>35100</v>
      </c>
      <c r="G579" s="694">
        <v>35100</v>
      </c>
      <c r="H579" s="690"/>
      <c r="I579" s="690"/>
      <c r="J579" s="690"/>
      <c r="K579" s="154"/>
      <c r="L579" s="155"/>
      <c r="M579" s="692"/>
      <c r="N579" s="154"/>
      <c r="O579" s="689"/>
      <c r="P579" s="689"/>
      <c r="Q579" s="689"/>
      <c r="R579" s="689"/>
      <c r="S579" s="689"/>
      <c r="T579" s="693"/>
      <c r="U579" s="693"/>
      <c r="V579" s="693"/>
      <c r="W579" s="693"/>
      <c r="X579" s="693"/>
      <c r="Y579" s="693"/>
      <c r="Z579" s="693"/>
      <c r="AA579" s="693"/>
      <c r="AB579" s="693"/>
      <c r="AC579" s="693"/>
      <c r="AD579" s="693"/>
      <c r="AE579" s="693"/>
      <c r="AF579" s="693"/>
    </row>
    <row r="580" spans="1:32" x14ac:dyDescent="0.35">
      <c r="A580" s="313"/>
      <c r="B580" s="293"/>
      <c r="C580" s="221" t="s">
        <v>543</v>
      </c>
      <c r="D580" s="689"/>
      <c r="E580" s="690"/>
      <c r="F580" s="694">
        <v>25500</v>
      </c>
      <c r="G580" s="694">
        <v>25500</v>
      </c>
      <c r="H580" s="690"/>
      <c r="I580" s="690"/>
      <c r="J580" s="690"/>
      <c r="K580" s="154"/>
      <c r="L580" s="155"/>
      <c r="M580" s="692"/>
      <c r="N580" s="154"/>
      <c r="O580" s="689"/>
      <c r="P580" s="689"/>
      <c r="Q580" s="689"/>
      <c r="R580" s="689"/>
      <c r="S580" s="689"/>
      <c r="T580" s="693"/>
      <c r="U580" s="693"/>
      <c r="V580" s="693"/>
      <c r="W580" s="693"/>
      <c r="X580" s="693"/>
      <c r="Y580" s="693"/>
      <c r="Z580" s="693"/>
      <c r="AA580" s="693"/>
      <c r="AB580" s="693"/>
      <c r="AC580" s="693"/>
      <c r="AD580" s="693"/>
      <c r="AE580" s="693"/>
      <c r="AF580" s="693"/>
    </row>
    <row r="581" spans="1:32" x14ac:dyDescent="0.35">
      <c r="A581" s="313"/>
      <c r="B581" s="293"/>
      <c r="C581" s="221" t="s">
        <v>544</v>
      </c>
      <c r="D581" s="689"/>
      <c r="E581" s="690"/>
      <c r="F581" s="694">
        <v>100500</v>
      </c>
      <c r="G581" s="694">
        <v>100500</v>
      </c>
      <c r="H581" s="690"/>
      <c r="I581" s="690"/>
      <c r="J581" s="690"/>
      <c r="K581" s="154"/>
      <c r="L581" s="155"/>
      <c r="M581" s="692"/>
      <c r="N581" s="154"/>
      <c r="O581" s="689"/>
      <c r="P581" s="689"/>
      <c r="Q581" s="689"/>
      <c r="R581" s="689"/>
      <c r="S581" s="689"/>
      <c r="T581" s="693"/>
      <c r="U581" s="693"/>
      <c r="V581" s="693"/>
      <c r="W581" s="693"/>
      <c r="X581" s="693"/>
      <c r="Y581" s="693"/>
      <c r="Z581" s="693"/>
      <c r="AA581" s="693"/>
      <c r="AB581" s="693"/>
      <c r="AC581" s="693"/>
      <c r="AD581" s="693"/>
      <c r="AE581" s="693"/>
      <c r="AF581" s="693"/>
    </row>
    <row r="582" spans="1:32" x14ac:dyDescent="0.35">
      <c r="A582" s="313"/>
      <c r="B582" s="293"/>
      <c r="C582" s="695" t="s">
        <v>545</v>
      </c>
      <c r="D582" s="689"/>
      <c r="E582" s="690"/>
      <c r="F582" s="694">
        <v>45200</v>
      </c>
      <c r="G582" s="694">
        <v>45200</v>
      </c>
      <c r="H582" s="690"/>
      <c r="I582" s="690"/>
      <c r="J582" s="690"/>
      <c r="K582" s="154"/>
      <c r="L582" s="155"/>
      <c r="M582" s="692"/>
      <c r="N582" s="154"/>
      <c r="O582" s="689"/>
      <c r="P582" s="689"/>
      <c r="Q582" s="689"/>
      <c r="R582" s="689"/>
      <c r="S582" s="689"/>
      <c r="T582" s="693"/>
      <c r="U582" s="693"/>
      <c r="V582" s="693"/>
      <c r="W582" s="693"/>
      <c r="X582" s="693"/>
      <c r="Y582" s="693"/>
      <c r="Z582" s="693"/>
      <c r="AA582" s="693"/>
      <c r="AB582" s="693"/>
      <c r="AC582" s="693"/>
      <c r="AD582" s="693"/>
      <c r="AE582" s="693"/>
      <c r="AF582" s="693"/>
    </row>
    <row r="583" spans="1:32" x14ac:dyDescent="0.35">
      <c r="A583" s="313"/>
      <c r="B583" s="293"/>
      <c r="C583" s="695" t="s">
        <v>546</v>
      </c>
      <c r="D583" s="689"/>
      <c r="E583" s="690"/>
      <c r="F583" s="694">
        <v>105800</v>
      </c>
      <c r="G583" s="694">
        <v>105800</v>
      </c>
      <c r="H583" s="690"/>
      <c r="I583" s="690"/>
      <c r="J583" s="690"/>
      <c r="K583" s="154"/>
      <c r="L583" s="155"/>
      <c r="M583" s="692"/>
      <c r="N583" s="154"/>
      <c r="O583" s="689"/>
      <c r="P583" s="689"/>
      <c r="Q583" s="689"/>
      <c r="R583" s="689"/>
      <c r="S583" s="689"/>
      <c r="T583" s="693"/>
      <c r="U583" s="693"/>
      <c r="V583" s="693"/>
      <c r="W583" s="693"/>
      <c r="X583" s="693"/>
      <c r="Y583" s="693"/>
      <c r="Z583" s="693"/>
      <c r="AA583" s="693"/>
      <c r="AB583" s="693"/>
      <c r="AC583" s="693"/>
      <c r="AD583" s="693"/>
      <c r="AE583" s="693"/>
      <c r="AF583" s="693"/>
    </row>
    <row r="584" spans="1:32" x14ac:dyDescent="0.35">
      <c r="A584" s="313"/>
      <c r="B584" s="293"/>
      <c r="C584" s="221" t="s">
        <v>547</v>
      </c>
      <c r="D584" s="689"/>
      <c r="E584" s="690"/>
      <c r="F584" s="694">
        <v>41000</v>
      </c>
      <c r="G584" s="694">
        <v>41000</v>
      </c>
      <c r="H584" s="690"/>
      <c r="I584" s="690"/>
      <c r="J584" s="690"/>
      <c r="K584" s="154"/>
      <c r="L584" s="155"/>
      <c r="M584" s="692"/>
      <c r="N584" s="154"/>
      <c r="O584" s="689"/>
      <c r="P584" s="689"/>
      <c r="Q584" s="689"/>
      <c r="R584" s="689"/>
      <c r="S584" s="689"/>
      <c r="T584" s="693"/>
      <c r="U584" s="693"/>
      <c r="V584" s="693"/>
      <c r="W584" s="693"/>
      <c r="X584" s="693"/>
      <c r="Y584" s="693"/>
      <c r="Z584" s="693"/>
      <c r="AA584" s="693"/>
      <c r="AB584" s="693"/>
      <c r="AC584" s="693"/>
      <c r="AD584" s="693"/>
      <c r="AE584" s="693"/>
      <c r="AF584" s="693"/>
    </row>
    <row r="585" spans="1:32" x14ac:dyDescent="0.35">
      <c r="A585" s="313"/>
      <c r="B585" s="293"/>
      <c r="C585" s="695" t="s">
        <v>548</v>
      </c>
      <c r="D585" s="689"/>
      <c r="E585" s="690"/>
      <c r="F585" s="694">
        <v>67700</v>
      </c>
      <c r="G585" s="694">
        <v>67700</v>
      </c>
      <c r="H585" s="690"/>
      <c r="I585" s="690"/>
      <c r="J585" s="690"/>
      <c r="K585" s="154"/>
      <c r="L585" s="155"/>
      <c r="M585" s="692"/>
      <c r="N585" s="154"/>
      <c r="O585" s="689"/>
      <c r="P585" s="689"/>
      <c r="Q585" s="689"/>
      <c r="R585" s="689"/>
      <c r="S585" s="689"/>
      <c r="T585" s="693"/>
      <c r="U585" s="693"/>
      <c r="V585" s="693"/>
      <c r="W585" s="693"/>
      <c r="X585" s="693"/>
      <c r="Y585" s="693"/>
      <c r="Z585" s="693"/>
      <c r="AA585" s="693"/>
      <c r="AB585" s="693"/>
      <c r="AC585" s="693"/>
      <c r="AD585" s="693"/>
      <c r="AE585" s="693"/>
      <c r="AF585" s="693"/>
    </row>
    <row r="586" spans="1:32" x14ac:dyDescent="0.35">
      <c r="A586" s="313"/>
      <c r="B586" s="72" t="s">
        <v>552</v>
      </c>
      <c r="C586" s="125"/>
      <c r="D586" s="689"/>
      <c r="E586" s="690">
        <v>11808400</v>
      </c>
      <c r="F586" s="691">
        <f>+F587+F591</f>
        <v>2780100</v>
      </c>
      <c r="G586" s="691">
        <f>+G587+G591</f>
        <v>2780100</v>
      </c>
      <c r="H586" s="690"/>
      <c r="I586" s="690">
        <f t="shared" ref="I586" si="209">+G586-H586</f>
        <v>2780100</v>
      </c>
      <c r="J586" s="690">
        <f t="shared" ref="J586" si="210">+E586-G586</f>
        <v>9028300</v>
      </c>
      <c r="K586" s="154">
        <f>+K934+K974</f>
        <v>9124100</v>
      </c>
      <c r="L586" s="155">
        <f>+L934+L974</f>
        <v>13007367.949999999</v>
      </c>
      <c r="M586" s="692">
        <f>+M934+M974</f>
        <v>20233700</v>
      </c>
      <c r="N586" s="154">
        <f>+N934+N974</f>
        <v>19702800</v>
      </c>
      <c r="O586" s="689">
        <v>63222400</v>
      </c>
      <c r="P586" s="689">
        <v>0</v>
      </c>
      <c r="Q586" s="689">
        <f t="shared" ref="Q586" si="211">+O586-P586</f>
        <v>63222400</v>
      </c>
      <c r="R586" s="689">
        <v>13804289.58</v>
      </c>
      <c r="S586" s="689">
        <v>0</v>
      </c>
      <c r="T586" s="693">
        <f>Q950-R950-S950</f>
        <v>-2250000</v>
      </c>
      <c r="U586" s="693">
        <f t="shared" ref="U586:AF586" si="212">+U934+U974</f>
        <v>20108000</v>
      </c>
      <c r="V586" s="693">
        <f t="shared" si="212"/>
        <v>21314500</v>
      </c>
      <c r="W586" s="693">
        <f t="shared" si="212"/>
        <v>22593400</v>
      </c>
      <c r="X586" s="693">
        <f t="shared" si="212"/>
        <v>23949000</v>
      </c>
      <c r="Y586" s="693">
        <f t="shared" si="212"/>
        <v>119745000</v>
      </c>
      <c r="Z586" s="693">
        <f t="shared" si="212"/>
        <v>119745000</v>
      </c>
      <c r="AA586" s="693">
        <f t="shared" si="212"/>
        <v>71847000</v>
      </c>
      <c r="AB586" s="693">
        <f t="shared" si="212"/>
        <v>14759100</v>
      </c>
      <c r="AC586" s="693">
        <f t="shared" si="212"/>
        <v>0</v>
      </c>
      <c r="AD586" s="693">
        <f t="shared" si="212"/>
        <v>14759100</v>
      </c>
      <c r="AE586" s="693">
        <f t="shared" si="212"/>
        <v>14759100</v>
      </c>
      <c r="AF586" s="693">
        <f t="shared" si="212"/>
        <v>0</v>
      </c>
    </row>
    <row r="587" spans="1:32" x14ac:dyDescent="0.35">
      <c r="A587" s="313"/>
      <c r="B587" s="293" t="s">
        <v>553</v>
      </c>
      <c r="C587" s="125"/>
      <c r="D587" s="689"/>
      <c r="E587" s="690"/>
      <c r="F587" s="694">
        <f>SUM(F588:F590)</f>
        <v>1448700</v>
      </c>
      <c r="G587" s="694">
        <f>SUM(G588:G590)</f>
        <v>1448700</v>
      </c>
      <c r="H587" s="690"/>
      <c r="I587" s="690"/>
      <c r="J587" s="690"/>
      <c r="K587" s="154"/>
      <c r="L587" s="155"/>
      <c r="M587" s="692"/>
      <c r="N587" s="154"/>
      <c r="O587" s="689"/>
      <c r="P587" s="689"/>
      <c r="Q587" s="689"/>
      <c r="R587" s="689"/>
      <c r="S587" s="689"/>
      <c r="T587" s="693"/>
      <c r="U587" s="693"/>
      <c r="V587" s="693"/>
      <c r="W587" s="693"/>
      <c r="X587" s="693"/>
      <c r="Y587" s="693"/>
      <c r="Z587" s="693"/>
      <c r="AA587" s="693"/>
      <c r="AB587" s="693"/>
      <c r="AC587" s="693"/>
      <c r="AD587" s="693"/>
      <c r="AE587" s="693"/>
      <c r="AF587" s="693"/>
    </row>
    <row r="588" spans="1:32" x14ac:dyDescent="0.35">
      <c r="A588" s="313"/>
      <c r="B588" s="293"/>
      <c r="C588" s="221" t="s">
        <v>549</v>
      </c>
      <c r="D588" s="689"/>
      <c r="E588" s="690"/>
      <c r="F588" s="694">
        <v>406400</v>
      </c>
      <c r="G588" s="694">
        <v>406400</v>
      </c>
      <c r="H588" s="690"/>
      <c r="I588" s="690"/>
      <c r="J588" s="690"/>
      <c r="K588" s="154"/>
      <c r="L588" s="155"/>
      <c r="M588" s="692"/>
      <c r="N588" s="154"/>
      <c r="O588" s="689"/>
      <c r="P588" s="689"/>
      <c r="Q588" s="689"/>
      <c r="R588" s="689"/>
      <c r="S588" s="689"/>
      <c r="T588" s="693"/>
      <c r="U588" s="693"/>
      <c r="V588" s="693"/>
      <c r="W588" s="693"/>
      <c r="X588" s="693"/>
      <c r="Y588" s="693"/>
      <c r="Z588" s="693"/>
      <c r="AA588" s="693"/>
      <c r="AB588" s="693"/>
      <c r="AC588" s="693"/>
      <c r="AD588" s="693"/>
      <c r="AE588" s="693"/>
      <c r="AF588" s="693"/>
    </row>
    <row r="589" spans="1:32" x14ac:dyDescent="0.35">
      <c r="A589" s="313"/>
      <c r="B589" s="293"/>
      <c r="C589" s="221" t="s">
        <v>550</v>
      </c>
      <c r="D589" s="689"/>
      <c r="E589" s="690"/>
      <c r="F589" s="694">
        <v>269100</v>
      </c>
      <c r="G589" s="694">
        <v>269100</v>
      </c>
      <c r="H589" s="690"/>
      <c r="I589" s="690"/>
      <c r="J589" s="690"/>
      <c r="K589" s="154"/>
      <c r="L589" s="155"/>
      <c r="M589" s="692"/>
      <c r="N589" s="154"/>
      <c r="O589" s="689"/>
      <c r="P589" s="689"/>
      <c r="Q589" s="689"/>
      <c r="R589" s="689"/>
      <c r="S589" s="689"/>
      <c r="T589" s="693"/>
      <c r="U589" s="693"/>
      <c r="V589" s="693"/>
      <c r="W589" s="693"/>
      <c r="X589" s="693"/>
      <c r="Y589" s="693"/>
      <c r="Z589" s="693"/>
      <c r="AA589" s="693"/>
      <c r="AB589" s="693"/>
      <c r="AC589" s="693"/>
      <c r="AD589" s="693"/>
      <c r="AE589" s="693"/>
      <c r="AF589" s="693"/>
    </row>
    <row r="590" spans="1:32" x14ac:dyDescent="0.35">
      <c r="A590" s="313"/>
      <c r="B590" s="293"/>
      <c r="C590" s="221" t="s">
        <v>551</v>
      </c>
      <c r="D590" s="689"/>
      <c r="E590" s="690"/>
      <c r="F590" s="694">
        <v>773200</v>
      </c>
      <c r="G590" s="694">
        <v>773200</v>
      </c>
      <c r="H590" s="690"/>
      <c r="I590" s="690"/>
      <c r="J590" s="690"/>
      <c r="K590" s="154"/>
      <c r="L590" s="155"/>
      <c r="M590" s="692"/>
      <c r="N590" s="154"/>
      <c r="O590" s="689"/>
      <c r="P590" s="689"/>
      <c r="Q590" s="689"/>
      <c r="R590" s="689"/>
      <c r="S590" s="689"/>
      <c r="T590" s="693"/>
      <c r="U590" s="693"/>
      <c r="V590" s="693"/>
      <c r="W590" s="693"/>
      <c r="X590" s="693"/>
      <c r="Y590" s="693"/>
      <c r="Z590" s="693"/>
      <c r="AA590" s="693"/>
      <c r="AB590" s="693"/>
      <c r="AC590" s="693"/>
      <c r="AD590" s="693"/>
      <c r="AE590" s="693"/>
      <c r="AF590" s="693"/>
    </row>
    <row r="591" spans="1:32" x14ac:dyDescent="0.35">
      <c r="A591" s="313"/>
      <c r="B591" s="293" t="s">
        <v>654</v>
      </c>
      <c r="C591" s="125"/>
      <c r="D591" s="689"/>
      <c r="E591" s="690"/>
      <c r="F591" s="694">
        <f>+F592</f>
        <v>1331400</v>
      </c>
      <c r="G591" s="694">
        <f>+G592</f>
        <v>1331400</v>
      </c>
      <c r="H591" s="690"/>
      <c r="I591" s="690"/>
      <c r="J591" s="690"/>
      <c r="K591" s="154"/>
      <c r="L591" s="155"/>
      <c r="M591" s="692"/>
      <c r="N591" s="154"/>
      <c r="O591" s="689"/>
      <c r="P591" s="689"/>
      <c r="Q591" s="689"/>
      <c r="R591" s="689"/>
      <c r="S591" s="689"/>
      <c r="T591" s="693"/>
      <c r="U591" s="693"/>
      <c r="V591" s="693"/>
      <c r="W591" s="693"/>
      <c r="X591" s="693"/>
      <c r="Y591" s="693"/>
      <c r="Z591" s="693"/>
      <c r="AA591" s="693"/>
      <c r="AB591" s="693"/>
      <c r="AC591" s="693"/>
      <c r="AD591" s="693"/>
      <c r="AE591" s="693"/>
      <c r="AF591" s="693"/>
    </row>
    <row r="592" spans="1:32" x14ac:dyDescent="0.35">
      <c r="A592" s="313"/>
      <c r="B592" s="293"/>
      <c r="C592" s="221" t="s">
        <v>655</v>
      </c>
      <c r="D592" s="689"/>
      <c r="E592" s="690"/>
      <c r="F592" s="694">
        <v>1331400</v>
      </c>
      <c r="G592" s="694">
        <v>1331400</v>
      </c>
      <c r="H592" s="690"/>
      <c r="I592" s="690"/>
      <c r="J592" s="690"/>
      <c r="K592" s="154"/>
      <c r="L592" s="155"/>
      <c r="M592" s="692"/>
      <c r="N592" s="154"/>
      <c r="O592" s="689"/>
      <c r="P592" s="689"/>
      <c r="Q592" s="689"/>
      <c r="R592" s="689"/>
      <c r="S592" s="689"/>
      <c r="T592" s="693"/>
      <c r="U592" s="693"/>
      <c r="V592" s="693"/>
      <c r="W592" s="693"/>
      <c r="X592" s="693"/>
      <c r="Y592" s="693"/>
      <c r="Z592" s="693"/>
      <c r="AA592" s="693"/>
      <c r="AB592" s="693"/>
      <c r="AC592" s="693"/>
      <c r="AD592" s="693"/>
      <c r="AE592" s="693"/>
      <c r="AF592" s="693"/>
    </row>
    <row r="593" spans="1:32" x14ac:dyDescent="0.35">
      <c r="A593" s="313"/>
      <c r="B593" s="72" t="s">
        <v>554</v>
      </c>
      <c r="C593" s="125"/>
      <c r="D593" s="689"/>
      <c r="E593" s="690">
        <v>11808400</v>
      </c>
      <c r="F593" s="691">
        <f>+F594</f>
        <v>3434700</v>
      </c>
      <c r="G593" s="691">
        <f>+G594</f>
        <v>3434700</v>
      </c>
      <c r="H593" s="690"/>
      <c r="I593" s="690">
        <f t="shared" ref="I593" si="213">+G593-H593</f>
        <v>3434700</v>
      </c>
      <c r="J593" s="690">
        <f t="shared" ref="J593" si="214">+E593-G593</f>
        <v>8373700</v>
      </c>
      <c r="K593" s="154">
        <f>+K939+K979</f>
        <v>732000</v>
      </c>
      <c r="L593" s="155">
        <f>+L939+L979</f>
        <v>738288.41</v>
      </c>
      <c r="M593" s="692">
        <f>+M939+M979</f>
        <v>684400</v>
      </c>
      <c r="N593" s="154">
        <f>+N939+N979</f>
        <v>684400</v>
      </c>
      <c r="O593" s="689">
        <v>63222400</v>
      </c>
      <c r="P593" s="689">
        <v>0</v>
      </c>
      <c r="Q593" s="689">
        <f t="shared" ref="Q593" si="215">+O593-P593</f>
        <v>63222400</v>
      </c>
      <c r="R593" s="689">
        <v>13804289.58</v>
      </c>
      <c r="S593" s="689">
        <v>0</v>
      </c>
      <c r="T593" s="693">
        <f>Q955-R955-S955</f>
        <v>10206.34</v>
      </c>
      <c r="U593" s="693">
        <f t="shared" ref="U593:AF593" si="216">+U939+U979</f>
        <v>822000</v>
      </c>
      <c r="V593" s="693">
        <f t="shared" si="216"/>
        <v>1066900</v>
      </c>
      <c r="W593" s="693">
        <f t="shared" si="216"/>
        <v>1173600</v>
      </c>
      <c r="X593" s="693">
        <f t="shared" si="216"/>
        <v>1291000</v>
      </c>
      <c r="Y593" s="693">
        <f t="shared" si="216"/>
        <v>6455000</v>
      </c>
      <c r="Z593" s="693">
        <f t="shared" si="216"/>
        <v>6455000</v>
      </c>
      <c r="AA593" s="693">
        <f t="shared" si="216"/>
        <v>3873000</v>
      </c>
      <c r="AB593" s="693">
        <f t="shared" si="216"/>
        <v>969900</v>
      </c>
      <c r="AC593" s="693">
        <f t="shared" si="216"/>
        <v>0</v>
      </c>
      <c r="AD593" s="693">
        <f t="shared" si="216"/>
        <v>969900</v>
      </c>
      <c r="AE593" s="693">
        <f t="shared" si="216"/>
        <v>969900</v>
      </c>
      <c r="AF593" s="693">
        <f t="shared" si="216"/>
        <v>0</v>
      </c>
    </row>
    <row r="594" spans="1:32" x14ac:dyDescent="0.35">
      <c r="A594" s="313"/>
      <c r="B594" s="293" t="s">
        <v>555</v>
      </c>
      <c r="C594" s="125"/>
      <c r="D594" s="689"/>
      <c r="E594" s="690"/>
      <c r="F594" s="694">
        <f>SUM(F595:F634)</f>
        <v>3434700</v>
      </c>
      <c r="G594" s="694">
        <f>SUM(G595:G634)</f>
        <v>3434700</v>
      </c>
      <c r="H594" s="690"/>
      <c r="I594" s="690"/>
      <c r="J594" s="690"/>
      <c r="K594" s="154"/>
      <c r="L594" s="155"/>
      <c r="M594" s="692"/>
      <c r="N594" s="154"/>
      <c r="O594" s="689"/>
      <c r="P594" s="689"/>
      <c r="Q594" s="689"/>
      <c r="R594" s="689"/>
      <c r="S594" s="689"/>
      <c r="T594" s="693"/>
      <c r="U594" s="693"/>
      <c r="V594" s="693"/>
      <c r="W594" s="693"/>
      <c r="X594" s="693"/>
      <c r="Y594" s="693"/>
      <c r="Z594" s="693"/>
      <c r="AA594" s="693"/>
      <c r="AB594" s="693"/>
      <c r="AC594" s="693"/>
      <c r="AD594" s="693"/>
      <c r="AE594" s="693"/>
      <c r="AF594" s="693"/>
    </row>
    <row r="595" spans="1:32" x14ac:dyDescent="0.35">
      <c r="A595" s="313"/>
      <c r="B595" s="293"/>
      <c r="C595" s="221" t="s">
        <v>566</v>
      </c>
      <c r="D595" s="689"/>
      <c r="E595" s="690"/>
      <c r="F595" s="694">
        <v>33400</v>
      </c>
      <c r="G595" s="694">
        <v>33400</v>
      </c>
      <c r="H595" s="690"/>
      <c r="I595" s="690"/>
      <c r="J595" s="690"/>
      <c r="K595" s="154"/>
      <c r="L595" s="155"/>
      <c r="M595" s="692"/>
      <c r="N595" s="154"/>
      <c r="O595" s="689"/>
      <c r="P595" s="689"/>
      <c r="Q595" s="689"/>
      <c r="R595" s="689"/>
      <c r="S595" s="689"/>
      <c r="T595" s="693"/>
      <c r="U595" s="693"/>
      <c r="V595" s="693"/>
      <c r="W595" s="693"/>
      <c r="X595" s="693"/>
      <c r="Y595" s="693"/>
      <c r="Z595" s="693"/>
      <c r="AA595" s="693"/>
      <c r="AB595" s="693"/>
      <c r="AC595" s="693"/>
      <c r="AD595" s="693"/>
      <c r="AE595" s="693"/>
      <c r="AF595" s="693"/>
    </row>
    <row r="596" spans="1:32" x14ac:dyDescent="0.35">
      <c r="A596" s="313"/>
      <c r="B596" s="293"/>
      <c r="C596" s="221" t="s">
        <v>567</v>
      </c>
      <c r="D596" s="689"/>
      <c r="E596" s="690"/>
      <c r="F596" s="694">
        <v>223400</v>
      </c>
      <c r="G596" s="694">
        <v>223400</v>
      </c>
      <c r="H596" s="690"/>
      <c r="I596" s="690"/>
      <c r="J596" s="690"/>
      <c r="K596" s="154"/>
      <c r="L596" s="155"/>
      <c r="M596" s="692"/>
      <c r="N596" s="154"/>
      <c r="O596" s="689"/>
      <c r="P596" s="689"/>
      <c r="Q596" s="689"/>
      <c r="R596" s="689"/>
      <c r="S596" s="689"/>
      <c r="T596" s="693"/>
      <c r="U596" s="693"/>
      <c r="V596" s="693"/>
      <c r="W596" s="693"/>
      <c r="X596" s="693"/>
      <c r="Y596" s="693"/>
      <c r="Z596" s="693"/>
      <c r="AA596" s="693"/>
      <c r="AB596" s="693"/>
      <c r="AC596" s="693"/>
      <c r="AD596" s="693"/>
      <c r="AE596" s="693"/>
      <c r="AF596" s="693"/>
    </row>
    <row r="597" spans="1:32" x14ac:dyDescent="0.35">
      <c r="A597" s="313"/>
      <c r="B597" s="293"/>
      <c r="C597" s="221" t="s">
        <v>568</v>
      </c>
      <c r="D597" s="689"/>
      <c r="E597" s="690"/>
      <c r="F597" s="694">
        <v>373700</v>
      </c>
      <c r="G597" s="694">
        <v>373700</v>
      </c>
      <c r="H597" s="690"/>
      <c r="I597" s="690"/>
      <c r="J597" s="690"/>
      <c r="K597" s="154"/>
      <c r="L597" s="155"/>
      <c r="M597" s="692"/>
      <c r="N597" s="154"/>
      <c r="O597" s="689"/>
      <c r="P597" s="689"/>
      <c r="Q597" s="689"/>
      <c r="R597" s="689"/>
      <c r="S597" s="689"/>
      <c r="T597" s="693"/>
      <c r="U597" s="693"/>
      <c r="V597" s="693"/>
      <c r="W597" s="693"/>
      <c r="X597" s="693"/>
      <c r="Y597" s="693"/>
      <c r="Z597" s="693"/>
      <c r="AA597" s="693"/>
      <c r="AB597" s="693"/>
      <c r="AC597" s="693"/>
      <c r="AD597" s="693"/>
      <c r="AE597" s="693"/>
      <c r="AF597" s="693"/>
    </row>
    <row r="598" spans="1:32" x14ac:dyDescent="0.35">
      <c r="A598" s="313"/>
      <c r="B598" s="293"/>
      <c r="C598" s="221" t="s">
        <v>569</v>
      </c>
      <c r="D598" s="689"/>
      <c r="E598" s="690"/>
      <c r="F598" s="694">
        <v>41100</v>
      </c>
      <c r="G598" s="694">
        <v>41100</v>
      </c>
      <c r="H598" s="690"/>
      <c r="I598" s="690"/>
      <c r="J598" s="690"/>
      <c r="K598" s="154"/>
      <c r="L598" s="155"/>
      <c r="M598" s="692"/>
      <c r="N598" s="154"/>
      <c r="O598" s="689"/>
      <c r="P598" s="689"/>
      <c r="Q598" s="689"/>
      <c r="R598" s="689"/>
      <c r="S598" s="689"/>
      <c r="T598" s="693"/>
      <c r="U598" s="693"/>
      <c r="V598" s="693"/>
      <c r="W598" s="693"/>
      <c r="X598" s="693"/>
      <c r="Y598" s="693"/>
      <c r="Z598" s="693"/>
      <c r="AA598" s="693"/>
      <c r="AB598" s="693"/>
      <c r="AC598" s="693"/>
      <c r="AD598" s="693"/>
      <c r="AE598" s="693"/>
      <c r="AF598" s="693"/>
    </row>
    <row r="599" spans="1:32" x14ac:dyDescent="0.35">
      <c r="A599" s="313"/>
      <c r="B599" s="293"/>
      <c r="C599" s="221" t="s">
        <v>570</v>
      </c>
      <c r="D599" s="689"/>
      <c r="E599" s="690"/>
      <c r="F599" s="694">
        <v>29500</v>
      </c>
      <c r="G599" s="694">
        <v>29500</v>
      </c>
      <c r="H599" s="690"/>
      <c r="I599" s="690"/>
      <c r="J599" s="690"/>
      <c r="K599" s="154"/>
      <c r="L599" s="155"/>
      <c r="M599" s="692"/>
      <c r="N599" s="154"/>
      <c r="O599" s="689"/>
      <c r="P599" s="689"/>
      <c r="Q599" s="689"/>
      <c r="R599" s="689"/>
      <c r="S599" s="689"/>
      <c r="T599" s="693"/>
      <c r="U599" s="693"/>
      <c r="V599" s="693"/>
      <c r="W599" s="693"/>
      <c r="X599" s="693"/>
      <c r="Y599" s="693"/>
      <c r="Z599" s="693"/>
      <c r="AA599" s="693"/>
      <c r="AB599" s="693"/>
      <c r="AC599" s="693"/>
      <c r="AD599" s="693"/>
      <c r="AE599" s="693"/>
      <c r="AF599" s="693"/>
    </row>
    <row r="600" spans="1:32" x14ac:dyDescent="0.35">
      <c r="A600" s="313"/>
      <c r="B600" s="293"/>
      <c r="C600" s="221" t="s">
        <v>571</v>
      </c>
      <c r="D600" s="689"/>
      <c r="E600" s="690"/>
      <c r="F600" s="694">
        <v>7500</v>
      </c>
      <c r="G600" s="694">
        <v>7500</v>
      </c>
      <c r="H600" s="690"/>
      <c r="I600" s="690"/>
      <c r="J600" s="690"/>
      <c r="K600" s="154"/>
      <c r="L600" s="155"/>
      <c r="M600" s="692"/>
      <c r="N600" s="154"/>
      <c r="O600" s="689"/>
      <c r="P600" s="689"/>
      <c r="Q600" s="689"/>
      <c r="R600" s="689"/>
      <c r="S600" s="689"/>
      <c r="T600" s="693"/>
      <c r="U600" s="693"/>
      <c r="V600" s="693"/>
      <c r="W600" s="693"/>
      <c r="X600" s="693"/>
      <c r="Y600" s="693"/>
      <c r="Z600" s="693"/>
      <c r="AA600" s="693"/>
      <c r="AB600" s="693"/>
      <c r="AC600" s="693"/>
      <c r="AD600" s="693"/>
      <c r="AE600" s="693"/>
      <c r="AF600" s="693"/>
    </row>
    <row r="601" spans="1:32" x14ac:dyDescent="0.35">
      <c r="A601" s="313"/>
      <c r="B601" s="293"/>
      <c r="C601" s="221" t="s">
        <v>572</v>
      </c>
      <c r="D601" s="689"/>
      <c r="E601" s="690"/>
      <c r="F601" s="694">
        <v>7000</v>
      </c>
      <c r="G601" s="694">
        <v>7000</v>
      </c>
      <c r="H601" s="690"/>
      <c r="I601" s="690"/>
      <c r="J601" s="690"/>
      <c r="K601" s="154"/>
      <c r="L601" s="155"/>
      <c r="M601" s="692"/>
      <c r="N601" s="154"/>
      <c r="O601" s="689"/>
      <c r="P601" s="689"/>
      <c r="Q601" s="689"/>
      <c r="R601" s="689"/>
      <c r="S601" s="689"/>
      <c r="T601" s="693"/>
      <c r="U601" s="693"/>
      <c r="V601" s="693"/>
      <c r="W601" s="693"/>
      <c r="X601" s="693"/>
      <c r="Y601" s="693"/>
      <c r="Z601" s="693"/>
      <c r="AA601" s="693"/>
      <c r="AB601" s="693"/>
      <c r="AC601" s="693"/>
      <c r="AD601" s="693"/>
      <c r="AE601" s="693"/>
      <c r="AF601" s="693"/>
    </row>
    <row r="602" spans="1:32" x14ac:dyDescent="0.35">
      <c r="A602" s="313"/>
      <c r="B602" s="293"/>
      <c r="C602" s="695" t="s">
        <v>573</v>
      </c>
      <c r="D602" s="689"/>
      <c r="E602" s="690"/>
      <c r="F602" s="694">
        <v>175000</v>
      </c>
      <c r="G602" s="694">
        <v>175000</v>
      </c>
      <c r="H602" s="690"/>
      <c r="I602" s="690"/>
      <c r="J602" s="690"/>
      <c r="K602" s="154"/>
      <c r="L602" s="155"/>
      <c r="M602" s="692"/>
      <c r="N602" s="154"/>
      <c r="O602" s="689"/>
      <c r="P602" s="689"/>
      <c r="Q602" s="689"/>
      <c r="R602" s="689"/>
      <c r="S602" s="689"/>
      <c r="T602" s="693"/>
      <c r="U602" s="693"/>
      <c r="V602" s="693"/>
      <c r="W602" s="693"/>
      <c r="X602" s="693"/>
      <c r="Y602" s="693"/>
      <c r="Z602" s="693"/>
      <c r="AA602" s="693"/>
      <c r="AB602" s="693"/>
      <c r="AC602" s="693"/>
      <c r="AD602" s="693"/>
      <c r="AE602" s="693"/>
      <c r="AF602" s="693"/>
    </row>
    <row r="603" spans="1:32" x14ac:dyDescent="0.35">
      <c r="A603" s="313"/>
      <c r="B603" s="293"/>
      <c r="C603" s="221" t="s">
        <v>574</v>
      </c>
      <c r="D603" s="689"/>
      <c r="E603" s="690"/>
      <c r="F603" s="694">
        <v>36100</v>
      </c>
      <c r="G603" s="694">
        <v>36100</v>
      </c>
      <c r="H603" s="690"/>
      <c r="I603" s="690"/>
      <c r="J603" s="690"/>
      <c r="K603" s="154"/>
      <c r="L603" s="155"/>
      <c r="M603" s="692"/>
      <c r="N603" s="154"/>
      <c r="O603" s="689"/>
      <c r="P603" s="689"/>
      <c r="Q603" s="689"/>
      <c r="R603" s="689"/>
      <c r="S603" s="689"/>
      <c r="T603" s="693"/>
      <c r="U603" s="693"/>
      <c r="V603" s="693"/>
      <c r="W603" s="693"/>
      <c r="X603" s="693"/>
      <c r="Y603" s="693"/>
      <c r="Z603" s="693"/>
      <c r="AA603" s="693"/>
      <c r="AB603" s="693"/>
      <c r="AC603" s="693"/>
      <c r="AD603" s="693"/>
      <c r="AE603" s="693"/>
      <c r="AF603" s="693"/>
    </row>
    <row r="604" spans="1:32" x14ac:dyDescent="0.35">
      <c r="A604" s="313"/>
      <c r="B604" s="293"/>
      <c r="C604" s="695" t="s">
        <v>575</v>
      </c>
      <c r="D604" s="689"/>
      <c r="E604" s="690"/>
      <c r="F604" s="694">
        <v>5200</v>
      </c>
      <c r="G604" s="694">
        <v>5200</v>
      </c>
      <c r="H604" s="690"/>
      <c r="I604" s="690"/>
      <c r="J604" s="690"/>
      <c r="K604" s="154"/>
      <c r="L604" s="155"/>
      <c r="M604" s="692"/>
      <c r="N604" s="154"/>
      <c r="O604" s="689"/>
      <c r="P604" s="689"/>
      <c r="Q604" s="689"/>
      <c r="R604" s="689"/>
      <c r="S604" s="689"/>
      <c r="T604" s="693"/>
      <c r="U604" s="693"/>
      <c r="V604" s="693"/>
      <c r="W604" s="693"/>
      <c r="X604" s="693"/>
      <c r="Y604" s="693"/>
      <c r="Z604" s="693"/>
      <c r="AA604" s="693"/>
      <c r="AB604" s="693"/>
      <c r="AC604" s="693"/>
      <c r="AD604" s="693"/>
      <c r="AE604" s="693"/>
      <c r="AF604" s="693"/>
    </row>
    <row r="605" spans="1:32" x14ac:dyDescent="0.35">
      <c r="A605" s="313"/>
      <c r="B605" s="293"/>
      <c r="C605" s="695" t="s">
        <v>576</v>
      </c>
      <c r="D605" s="689"/>
      <c r="E605" s="690"/>
      <c r="F605" s="694">
        <v>39100</v>
      </c>
      <c r="G605" s="694">
        <v>39100</v>
      </c>
      <c r="H605" s="690"/>
      <c r="I605" s="690"/>
      <c r="J605" s="690"/>
      <c r="K605" s="154"/>
      <c r="L605" s="155"/>
      <c r="M605" s="692"/>
      <c r="N605" s="154"/>
      <c r="O605" s="689"/>
      <c r="P605" s="689"/>
      <c r="Q605" s="689"/>
      <c r="R605" s="689"/>
      <c r="S605" s="689"/>
      <c r="T605" s="693"/>
      <c r="U605" s="693"/>
      <c r="V605" s="693"/>
      <c r="W605" s="693"/>
      <c r="X605" s="693"/>
      <c r="Y605" s="693"/>
      <c r="Z605" s="693"/>
      <c r="AA605" s="693"/>
      <c r="AB605" s="693"/>
      <c r="AC605" s="693"/>
      <c r="AD605" s="693"/>
      <c r="AE605" s="693"/>
      <c r="AF605" s="693"/>
    </row>
    <row r="606" spans="1:32" x14ac:dyDescent="0.35">
      <c r="A606" s="313"/>
      <c r="B606" s="293"/>
      <c r="C606" s="695" t="s">
        <v>577</v>
      </c>
      <c r="D606" s="689"/>
      <c r="E606" s="690"/>
      <c r="F606" s="694">
        <v>33700</v>
      </c>
      <c r="G606" s="694">
        <v>33700</v>
      </c>
      <c r="H606" s="690"/>
      <c r="I606" s="690"/>
      <c r="J606" s="690"/>
      <c r="K606" s="154"/>
      <c r="L606" s="155"/>
      <c r="M606" s="692"/>
      <c r="N606" s="154"/>
      <c r="O606" s="689"/>
      <c r="P606" s="689"/>
      <c r="Q606" s="689"/>
      <c r="R606" s="689"/>
      <c r="S606" s="689"/>
      <c r="T606" s="693"/>
      <c r="U606" s="693"/>
      <c r="V606" s="693"/>
      <c r="W606" s="693"/>
      <c r="X606" s="693"/>
      <c r="Y606" s="693"/>
      <c r="Z606" s="693"/>
      <c r="AA606" s="693"/>
      <c r="AB606" s="693"/>
      <c r="AC606" s="693"/>
      <c r="AD606" s="693"/>
      <c r="AE606" s="693"/>
      <c r="AF606" s="693"/>
    </row>
    <row r="607" spans="1:32" x14ac:dyDescent="0.35">
      <c r="A607" s="313"/>
      <c r="B607" s="293"/>
      <c r="C607" s="221" t="s">
        <v>578</v>
      </c>
      <c r="D607" s="689"/>
      <c r="E607" s="690"/>
      <c r="F607" s="694">
        <v>255100</v>
      </c>
      <c r="G607" s="694">
        <v>255100</v>
      </c>
      <c r="H607" s="690"/>
      <c r="I607" s="690"/>
      <c r="J607" s="690"/>
      <c r="K607" s="154"/>
      <c r="L607" s="155"/>
      <c r="M607" s="692"/>
      <c r="N607" s="154"/>
      <c r="O607" s="689"/>
      <c r="P607" s="689"/>
      <c r="Q607" s="689"/>
      <c r="R607" s="689"/>
      <c r="S607" s="689"/>
      <c r="T607" s="693"/>
      <c r="U607" s="693"/>
      <c r="V607" s="693"/>
      <c r="W607" s="693"/>
      <c r="X607" s="693"/>
      <c r="Y607" s="693"/>
      <c r="Z607" s="693"/>
      <c r="AA607" s="693"/>
      <c r="AB607" s="693"/>
      <c r="AC607" s="693"/>
      <c r="AD607" s="693"/>
      <c r="AE607" s="693"/>
      <c r="AF607" s="693"/>
    </row>
    <row r="608" spans="1:32" x14ac:dyDescent="0.35">
      <c r="A608" s="313"/>
      <c r="B608" s="293"/>
      <c r="C608" s="221" t="s">
        <v>579</v>
      </c>
      <c r="D608" s="689"/>
      <c r="E608" s="690"/>
      <c r="F608" s="694">
        <v>58900</v>
      </c>
      <c r="G608" s="694">
        <v>58900</v>
      </c>
      <c r="H608" s="690"/>
      <c r="I608" s="690"/>
      <c r="J608" s="690"/>
      <c r="K608" s="154"/>
      <c r="L608" s="155"/>
      <c r="M608" s="692"/>
      <c r="N608" s="154"/>
      <c r="O608" s="689"/>
      <c r="P608" s="689"/>
      <c r="Q608" s="689"/>
      <c r="R608" s="689"/>
      <c r="S608" s="689"/>
      <c r="T608" s="693"/>
      <c r="U608" s="693"/>
      <c r="V608" s="693"/>
      <c r="W608" s="693"/>
      <c r="X608" s="693"/>
      <c r="Y608" s="693"/>
      <c r="Z608" s="693"/>
      <c r="AA608" s="693"/>
      <c r="AB608" s="693"/>
      <c r="AC608" s="693"/>
      <c r="AD608" s="693"/>
      <c r="AE608" s="693"/>
      <c r="AF608" s="693"/>
    </row>
    <row r="609" spans="1:32" x14ac:dyDescent="0.35">
      <c r="A609" s="313"/>
      <c r="B609" s="293"/>
      <c r="C609" s="221" t="s">
        <v>580</v>
      </c>
      <c r="D609" s="689"/>
      <c r="E609" s="690"/>
      <c r="F609" s="694">
        <v>14100</v>
      </c>
      <c r="G609" s="694">
        <v>14100</v>
      </c>
      <c r="H609" s="690"/>
      <c r="I609" s="690"/>
      <c r="J609" s="690"/>
      <c r="K609" s="154"/>
      <c r="L609" s="155"/>
      <c r="M609" s="692"/>
      <c r="N609" s="154"/>
      <c r="O609" s="689"/>
      <c r="P609" s="689"/>
      <c r="Q609" s="689"/>
      <c r="R609" s="689"/>
      <c r="S609" s="689"/>
      <c r="T609" s="693"/>
      <c r="U609" s="693"/>
      <c r="V609" s="693"/>
      <c r="W609" s="693"/>
      <c r="X609" s="693"/>
      <c r="Y609" s="693"/>
      <c r="Z609" s="693"/>
      <c r="AA609" s="693"/>
      <c r="AB609" s="693"/>
      <c r="AC609" s="693"/>
      <c r="AD609" s="693"/>
      <c r="AE609" s="693"/>
      <c r="AF609" s="693"/>
    </row>
    <row r="610" spans="1:32" x14ac:dyDescent="0.35">
      <c r="A610" s="313"/>
      <c r="B610" s="293"/>
      <c r="C610" s="221" t="s">
        <v>581</v>
      </c>
      <c r="D610" s="689"/>
      <c r="E610" s="690"/>
      <c r="F610" s="694">
        <v>18900</v>
      </c>
      <c r="G610" s="694">
        <v>18900</v>
      </c>
      <c r="H610" s="690"/>
      <c r="I610" s="690"/>
      <c r="J610" s="690"/>
      <c r="K610" s="154"/>
      <c r="L610" s="155"/>
      <c r="M610" s="692"/>
      <c r="N610" s="154"/>
      <c r="O610" s="689"/>
      <c r="P610" s="689"/>
      <c r="Q610" s="689"/>
      <c r="R610" s="689"/>
      <c r="S610" s="689"/>
      <c r="T610" s="693"/>
      <c r="U610" s="693"/>
      <c r="V610" s="693"/>
      <c r="W610" s="693"/>
      <c r="X610" s="693"/>
      <c r="Y610" s="693"/>
      <c r="Z610" s="693"/>
      <c r="AA610" s="693"/>
      <c r="AB610" s="693"/>
      <c r="AC610" s="693"/>
      <c r="AD610" s="693"/>
      <c r="AE610" s="693"/>
      <c r="AF610" s="693"/>
    </row>
    <row r="611" spans="1:32" x14ac:dyDescent="0.35">
      <c r="A611" s="313"/>
      <c r="B611" s="293"/>
      <c r="C611" s="695" t="s">
        <v>582</v>
      </c>
      <c r="D611" s="689"/>
      <c r="E611" s="690"/>
      <c r="F611" s="694">
        <v>33900</v>
      </c>
      <c r="G611" s="694">
        <v>33900</v>
      </c>
      <c r="H611" s="690"/>
      <c r="I611" s="690"/>
      <c r="J611" s="690"/>
      <c r="K611" s="154"/>
      <c r="L611" s="155"/>
      <c r="M611" s="692"/>
      <c r="N611" s="154"/>
      <c r="O611" s="689"/>
      <c r="P611" s="689"/>
      <c r="Q611" s="689"/>
      <c r="R611" s="689"/>
      <c r="S611" s="689"/>
      <c r="T611" s="693"/>
      <c r="U611" s="693"/>
      <c r="V611" s="693"/>
      <c r="W611" s="693"/>
      <c r="X611" s="693"/>
      <c r="Y611" s="693"/>
      <c r="Z611" s="693"/>
      <c r="AA611" s="693"/>
      <c r="AB611" s="693"/>
      <c r="AC611" s="693"/>
      <c r="AD611" s="693"/>
      <c r="AE611" s="693"/>
      <c r="AF611" s="693"/>
    </row>
    <row r="612" spans="1:32" x14ac:dyDescent="0.35">
      <c r="A612" s="313"/>
      <c r="B612" s="293"/>
      <c r="C612" s="221" t="s">
        <v>583</v>
      </c>
      <c r="D612" s="689"/>
      <c r="E612" s="690"/>
      <c r="F612" s="694">
        <v>20700</v>
      </c>
      <c r="G612" s="694">
        <v>20700</v>
      </c>
      <c r="H612" s="690"/>
      <c r="I612" s="690"/>
      <c r="J612" s="690"/>
      <c r="K612" s="154"/>
      <c r="L612" s="155"/>
      <c r="M612" s="692"/>
      <c r="N612" s="154"/>
      <c r="O612" s="689"/>
      <c r="P612" s="689"/>
      <c r="Q612" s="689"/>
      <c r="R612" s="689"/>
      <c r="S612" s="689"/>
      <c r="T612" s="693"/>
      <c r="U612" s="693"/>
      <c r="V612" s="693"/>
      <c r="W612" s="693"/>
      <c r="X612" s="693"/>
      <c r="Y612" s="693"/>
      <c r="Z612" s="693"/>
      <c r="AA612" s="693"/>
      <c r="AB612" s="693"/>
      <c r="AC612" s="693"/>
      <c r="AD612" s="693"/>
      <c r="AE612" s="693"/>
      <c r="AF612" s="693"/>
    </row>
    <row r="613" spans="1:32" x14ac:dyDescent="0.35">
      <c r="A613" s="313"/>
      <c r="B613" s="293"/>
      <c r="C613" s="221" t="s">
        <v>584</v>
      </c>
      <c r="D613" s="689"/>
      <c r="E613" s="690"/>
      <c r="F613" s="694">
        <v>40500</v>
      </c>
      <c r="G613" s="694">
        <v>40500</v>
      </c>
      <c r="H613" s="690"/>
      <c r="I613" s="690"/>
      <c r="J613" s="690"/>
      <c r="K613" s="154"/>
      <c r="L613" s="155"/>
      <c r="M613" s="692"/>
      <c r="N613" s="154"/>
      <c r="O613" s="689"/>
      <c r="P613" s="689"/>
      <c r="Q613" s="689"/>
      <c r="R613" s="689"/>
      <c r="S613" s="689"/>
      <c r="T613" s="693"/>
      <c r="U613" s="693"/>
      <c r="V613" s="693"/>
      <c r="W613" s="693"/>
      <c r="X613" s="693"/>
      <c r="Y613" s="693"/>
      <c r="Z613" s="693"/>
      <c r="AA613" s="693"/>
      <c r="AB613" s="693"/>
      <c r="AC613" s="693"/>
      <c r="AD613" s="693"/>
      <c r="AE613" s="693"/>
      <c r="AF613" s="693"/>
    </row>
    <row r="614" spans="1:32" x14ac:dyDescent="0.35">
      <c r="A614" s="313"/>
      <c r="B614" s="293"/>
      <c r="C614" s="221" t="s">
        <v>677</v>
      </c>
      <c r="D614" s="689"/>
      <c r="E614" s="690"/>
      <c r="F614" s="694">
        <v>59100</v>
      </c>
      <c r="G614" s="694">
        <v>59100</v>
      </c>
      <c r="H614" s="690"/>
      <c r="I614" s="690"/>
      <c r="J614" s="690"/>
      <c r="K614" s="154"/>
      <c r="L614" s="155"/>
      <c r="M614" s="692"/>
      <c r="N614" s="154"/>
      <c r="O614" s="689"/>
      <c r="P614" s="689"/>
      <c r="Q614" s="689"/>
      <c r="R614" s="689"/>
      <c r="S614" s="689"/>
      <c r="T614" s="693"/>
      <c r="U614" s="693"/>
      <c r="V614" s="693"/>
      <c r="W614" s="693"/>
      <c r="X614" s="693"/>
      <c r="Y614" s="693"/>
      <c r="Z614" s="693"/>
      <c r="AA614" s="693"/>
      <c r="AB614" s="693"/>
      <c r="AC614" s="693"/>
      <c r="AD614" s="693"/>
      <c r="AE614" s="693"/>
      <c r="AF614" s="693"/>
    </row>
    <row r="615" spans="1:32" x14ac:dyDescent="0.35">
      <c r="A615" s="313"/>
      <c r="B615" s="293"/>
      <c r="C615" s="221" t="s">
        <v>585</v>
      </c>
      <c r="D615" s="689"/>
      <c r="E615" s="690"/>
      <c r="F615" s="694">
        <v>5500</v>
      </c>
      <c r="G615" s="694">
        <v>5500</v>
      </c>
      <c r="H615" s="690"/>
      <c r="I615" s="690"/>
      <c r="J615" s="690"/>
      <c r="K615" s="154"/>
      <c r="L615" s="155"/>
      <c r="M615" s="692"/>
      <c r="N615" s="154"/>
      <c r="O615" s="689"/>
      <c r="P615" s="689"/>
      <c r="Q615" s="689"/>
      <c r="R615" s="689"/>
      <c r="S615" s="689"/>
      <c r="T615" s="693"/>
      <c r="U615" s="693"/>
      <c r="V615" s="693"/>
      <c r="W615" s="693"/>
      <c r="X615" s="693"/>
      <c r="Y615" s="693"/>
      <c r="Z615" s="693"/>
      <c r="AA615" s="693"/>
      <c r="AB615" s="693"/>
      <c r="AC615" s="693"/>
      <c r="AD615" s="693"/>
      <c r="AE615" s="693"/>
      <c r="AF615" s="693"/>
    </row>
    <row r="616" spans="1:32" x14ac:dyDescent="0.35">
      <c r="A616" s="313"/>
      <c r="B616" s="293"/>
      <c r="C616" s="695" t="s">
        <v>678</v>
      </c>
      <c r="D616" s="689"/>
      <c r="E616" s="690"/>
      <c r="F616" s="694">
        <v>6300</v>
      </c>
      <c r="G616" s="694">
        <v>6300</v>
      </c>
      <c r="H616" s="690"/>
      <c r="I616" s="690"/>
      <c r="J616" s="690"/>
      <c r="K616" s="154"/>
      <c r="L616" s="155"/>
      <c r="M616" s="692"/>
      <c r="N616" s="154"/>
      <c r="O616" s="689"/>
      <c r="P616" s="689"/>
      <c r="Q616" s="689"/>
      <c r="R616" s="689"/>
      <c r="S616" s="689"/>
      <c r="T616" s="693"/>
      <c r="U616" s="693"/>
      <c r="V616" s="693"/>
      <c r="W616" s="693"/>
      <c r="X616" s="693"/>
      <c r="Y616" s="693"/>
      <c r="Z616" s="693"/>
      <c r="AA616" s="693"/>
      <c r="AB616" s="693"/>
      <c r="AC616" s="693"/>
      <c r="AD616" s="693"/>
      <c r="AE616" s="693"/>
      <c r="AF616" s="693"/>
    </row>
    <row r="617" spans="1:32" x14ac:dyDescent="0.35">
      <c r="A617" s="313"/>
      <c r="B617" s="293"/>
      <c r="C617" s="221" t="s">
        <v>586</v>
      </c>
      <c r="D617" s="689"/>
      <c r="E617" s="690"/>
      <c r="F617" s="694">
        <v>44300</v>
      </c>
      <c r="G617" s="694">
        <v>44300</v>
      </c>
      <c r="H617" s="690"/>
      <c r="I617" s="690"/>
      <c r="J617" s="690"/>
      <c r="K617" s="154"/>
      <c r="L617" s="155"/>
      <c r="M617" s="692"/>
      <c r="N617" s="154"/>
      <c r="O617" s="689"/>
      <c r="P617" s="689"/>
      <c r="Q617" s="689"/>
      <c r="R617" s="689"/>
      <c r="S617" s="689"/>
      <c r="T617" s="693"/>
      <c r="U617" s="693"/>
      <c r="V617" s="693"/>
      <c r="W617" s="693"/>
      <c r="X617" s="693"/>
      <c r="Y617" s="693"/>
      <c r="Z617" s="693"/>
      <c r="AA617" s="693"/>
      <c r="AB617" s="693"/>
      <c r="AC617" s="693"/>
      <c r="AD617" s="693"/>
      <c r="AE617" s="693"/>
      <c r="AF617" s="693"/>
    </row>
    <row r="618" spans="1:32" x14ac:dyDescent="0.35">
      <c r="A618" s="313"/>
      <c r="B618" s="293"/>
      <c r="C618" s="221" t="s">
        <v>587</v>
      </c>
      <c r="D618" s="689"/>
      <c r="E618" s="690"/>
      <c r="F618" s="694">
        <v>345200</v>
      </c>
      <c r="G618" s="694">
        <v>345200</v>
      </c>
      <c r="H618" s="690"/>
      <c r="I618" s="690"/>
      <c r="J618" s="690"/>
      <c r="K618" s="154"/>
      <c r="L618" s="155"/>
      <c r="M618" s="692"/>
      <c r="N618" s="154"/>
      <c r="O618" s="689"/>
      <c r="P618" s="689"/>
      <c r="Q618" s="689"/>
      <c r="R618" s="689"/>
      <c r="S618" s="689"/>
      <c r="T618" s="693"/>
      <c r="U618" s="693"/>
      <c r="V618" s="693"/>
      <c r="W618" s="693"/>
      <c r="X618" s="693"/>
      <c r="Y618" s="693"/>
      <c r="Z618" s="693"/>
      <c r="AA618" s="693"/>
      <c r="AB618" s="693"/>
      <c r="AC618" s="693"/>
      <c r="AD618" s="693"/>
      <c r="AE618" s="693"/>
      <c r="AF618" s="693"/>
    </row>
    <row r="619" spans="1:32" x14ac:dyDescent="0.35">
      <c r="A619" s="313"/>
      <c r="B619" s="293"/>
      <c r="C619" s="221" t="s">
        <v>588</v>
      </c>
      <c r="D619" s="689"/>
      <c r="E619" s="690"/>
      <c r="F619" s="694">
        <v>43200</v>
      </c>
      <c r="G619" s="694">
        <v>43200</v>
      </c>
      <c r="H619" s="690"/>
      <c r="I619" s="690"/>
      <c r="J619" s="690"/>
      <c r="K619" s="154"/>
      <c r="L619" s="155"/>
      <c r="M619" s="692"/>
      <c r="N619" s="154"/>
      <c r="O619" s="689"/>
      <c r="P619" s="689"/>
      <c r="Q619" s="689"/>
      <c r="R619" s="689"/>
      <c r="S619" s="689"/>
      <c r="T619" s="693"/>
      <c r="U619" s="693"/>
      <c r="V619" s="693"/>
      <c r="W619" s="693"/>
      <c r="X619" s="693"/>
      <c r="Y619" s="693"/>
      <c r="Z619" s="693"/>
      <c r="AA619" s="693"/>
      <c r="AB619" s="693"/>
      <c r="AC619" s="693"/>
      <c r="AD619" s="693"/>
      <c r="AE619" s="693"/>
      <c r="AF619" s="693"/>
    </row>
    <row r="620" spans="1:32" x14ac:dyDescent="0.35">
      <c r="A620" s="313"/>
      <c r="B620" s="293"/>
      <c r="C620" s="221" t="s">
        <v>589</v>
      </c>
      <c r="D620" s="689"/>
      <c r="E620" s="690"/>
      <c r="F620" s="694">
        <v>33600</v>
      </c>
      <c r="G620" s="694">
        <v>33600</v>
      </c>
      <c r="H620" s="690"/>
      <c r="I620" s="690"/>
      <c r="J620" s="690"/>
      <c r="K620" s="154"/>
      <c r="L620" s="155"/>
      <c r="M620" s="692"/>
      <c r="N620" s="154"/>
      <c r="O620" s="689"/>
      <c r="P620" s="689"/>
      <c r="Q620" s="689"/>
      <c r="R620" s="689"/>
      <c r="S620" s="689"/>
      <c r="T620" s="693"/>
      <c r="U620" s="693"/>
      <c r="V620" s="693"/>
      <c r="W620" s="693"/>
      <c r="X620" s="693"/>
      <c r="Y620" s="693"/>
      <c r="Z620" s="693"/>
      <c r="AA620" s="693"/>
      <c r="AB620" s="693"/>
      <c r="AC620" s="693"/>
      <c r="AD620" s="693"/>
      <c r="AE620" s="693"/>
      <c r="AF620" s="693"/>
    </row>
    <row r="621" spans="1:32" x14ac:dyDescent="0.35">
      <c r="A621" s="313"/>
      <c r="B621" s="293"/>
      <c r="C621" s="221" t="s">
        <v>590</v>
      </c>
      <c r="D621" s="689"/>
      <c r="E621" s="690"/>
      <c r="F621" s="694">
        <v>72300</v>
      </c>
      <c r="G621" s="694">
        <v>72300</v>
      </c>
      <c r="H621" s="690"/>
      <c r="I621" s="690"/>
      <c r="J621" s="690"/>
      <c r="K621" s="154"/>
      <c r="L621" s="155"/>
      <c r="M621" s="692"/>
      <c r="N621" s="154"/>
      <c r="O621" s="689"/>
      <c r="P621" s="689"/>
      <c r="Q621" s="689"/>
      <c r="R621" s="689"/>
      <c r="S621" s="689"/>
      <c r="T621" s="693"/>
      <c r="U621" s="693"/>
      <c r="V621" s="693"/>
      <c r="W621" s="693"/>
      <c r="X621" s="693"/>
      <c r="Y621" s="693"/>
      <c r="Z621" s="693"/>
      <c r="AA621" s="693"/>
      <c r="AB621" s="693"/>
      <c r="AC621" s="693"/>
      <c r="AD621" s="693"/>
      <c r="AE621" s="693"/>
      <c r="AF621" s="693"/>
    </row>
    <row r="622" spans="1:32" x14ac:dyDescent="0.35">
      <c r="A622" s="313"/>
      <c r="B622" s="293"/>
      <c r="C622" s="221" t="s">
        <v>591</v>
      </c>
      <c r="D622" s="689"/>
      <c r="E622" s="690"/>
      <c r="F622" s="694">
        <v>105000</v>
      </c>
      <c r="G622" s="694">
        <v>105000</v>
      </c>
      <c r="H622" s="690"/>
      <c r="I622" s="690"/>
      <c r="J622" s="690"/>
      <c r="K622" s="154"/>
      <c r="L622" s="155"/>
      <c r="M622" s="692"/>
      <c r="N622" s="154"/>
      <c r="O622" s="689"/>
      <c r="P622" s="689"/>
      <c r="Q622" s="689"/>
      <c r="R622" s="689"/>
      <c r="S622" s="689"/>
      <c r="T622" s="693"/>
      <c r="U622" s="693"/>
      <c r="V622" s="693"/>
      <c r="W622" s="693"/>
      <c r="X622" s="693"/>
      <c r="Y622" s="693"/>
      <c r="Z622" s="693"/>
      <c r="AA622" s="693"/>
      <c r="AB622" s="693"/>
      <c r="AC622" s="693"/>
      <c r="AD622" s="693"/>
      <c r="AE622" s="693"/>
      <c r="AF622" s="693"/>
    </row>
    <row r="623" spans="1:32" x14ac:dyDescent="0.35">
      <c r="A623" s="313"/>
      <c r="B623" s="293"/>
      <c r="C623" s="221" t="s">
        <v>592</v>
      </c>
      <c r="D623" s="689"/>
      <c r="E623" s="690"/>
      <c r="F623" s="694">
        <v>29100</v>
      </c>
      <c r="G623" s="694">
        <v>29100</v>
      </c>
      <c r="H623" s="690"/>
      <c r="I623" s="690"/>
      <c r="J623" s="690"/>
      <c r="K623" s="154"/>
      <c r="L623" s="155"/>
      <c r="M623" s="692"/>
      <c r="N623" s="154"/>
      <c r="O623" s="689"/>
      <c r="P623" s="689"/>
      <c r="Q623" s="689"/>
      <c r="R623" s="689"/>
      <c r="S623" s="689"/>
      <c r="T623" s="693"/>
      <c r="U623" s="693"/>
      <c r="V623" s="693"/>
      <c r="W623" s="693"/>
      <c r="X623" s="693"/>
      <c r="Y623" s="693"/>
      <c r="Z623" s="693"/>
      <c r="AA623" s="693"/>
      <c r="AB623" s="693"/>
      <c r="AC623" s="693"/>
      <c r="AD623" s="693"/>
      <c r="AE623" s="693"/>
      <c r="AF623" s="693"/>
    </row>
    <row r="624" spans="1:32" x14ac:dyDescent="0.35">
      <c r="A624" s="313"/>
      <c r="B624" s="293"/>
      <c r="C624" s="695" t="s">
        <v>593</v>
      </c>
      <c r="D624" s="689"/>
      <c r="E624" s="690"/>
      <c r="F624" s="694">
        <v>36100</v>
      </c>
      <c r="G624" s="694">
        <v>36100</v>
      </c>
      <c r="H624" s="690"/>
      <c r="I624" s="690"/>
      <c r="J624" s="690"/>
      <c r="K624" s="154"/>
      <c r="L624" s="155"/>
      <c r="M624" s="692"/>
      <c r="N624" s="154"/>
      <c r="O624" s="689"/>
      <c r="P624" s="689"/>
      <c r="Q624" s="689"/>
      <c r="R624" s="689"/>
      <c r="S624" s="689"/>
      <c r="T624" s="693"/>
      <c r="U624" s="693"/>
      <c r="V624" s="693"/>
      <c r="W624" s="693"/>
      <c r="X624" s="693"/>
      <c r="Y624" s="693"/>
      <c r="Z624" s="693"/>
      <c r="AA624" s="693"/>
      <c r="AB624" s="693"/>
      <c r="AC624" s="693"/>
      <c r="AD624" s="693"/>
      <c r="AE624" s="693"/>
      <c r="AF624" s="693"/>
    </row>
    <row r="625" spans="1:32" x14ac:dyDescent="0.35">
      <c r="A625" s="313"/>
      <c r="B625" s="293"/>
      <c r="C625" s="221" t="s">
        <v>594</v>
      </c>
      <c r="D625" s="689"/>
      <c r="E625" s="690"/>
      <c r="F625" s="694">
        <v>17400</v>
      </c>
      <c r="G625" s="694">
        <v>17400</v>
      </c>
      <c r="H625" s="690"/>
      <c r="I625" s="690"/>
      <c r="J625" s="690"/>
      <c r="K625" s="154"/>
      <c r="L625" s="155"/>
      <c r="M625" s="692"/>
      <c r="N625" s="154"/>
      <c r="O625" s="689"/>
      <c r="P625" s="689"/>
      <c r="Q625" s="689"/>
      <c r="R625" s="689"/>
      <c r="S625" s="689"/>
      <c r="T625" s="693"/>
      <c r="U625" s="693"/>
      <c r="V625" s="693"/>
      <c r="W625" s="693"/>
      <c r="X625" s="693"/>
      <c r="Y625" s="693"/>
      <c r="Z625" s="693"/>
      <c r="AA625" s="693"/>
      <c r="AB625" s="693"/>
      <c r="AC625" s="693"/>
      <c r="AD625" s="693"/>
      <c r="AE625" s="693"/>
      <c r="AF625" s="693"/>
    </row>
    <row r="626" spans="1:32" x14ac:dyDescent="0.35">
      <c r="A626" s="313"/>
      <c r="B626" s="293"/>
      <c r="C626" s="221" t="s">
        <v>595</v>
      </c>
      <c r="D626" s="689"/>
      <c r="E626" s="690"/>
      <c r="F626" s="694">
        <v>147500</v>
      </c>
      <c r="G626" s="694">
        <v>147500</v>
      </c>
      <c r="H626" s="690"/>
      <c r="I626" s="690"/>
      <c r="J626" s="690"/>
      <c r="K626" s="154"/>
      <c r="L626" s="155"/>
      <c r="M626" s="692"/>
      <c r="N626" s="154"/>
      <c r="O626" s="689"/>
      <c r="P626" s="689"/>
      <c r="Q626" s="689"/>
      <c r="R626" s="689"/>
      <c r="S626" s="689"/>
      <c r="T626" s="693"/>
      <c r="U626" s="693"/>
      <c r="V626" s="693"/>
      <c r="W626" s="693"/>
      <c r="X626" s="693"/>
      <c r="Y626" s="693"/>
      <c r="Z626" s="693"/>
      <c r="AA626" s="693"/>
      <c r="AB626" s="693"/>
      <c r="AC626" s="693"/>
      <c r="AD626" s="693"/>
      <c r="AE626" s="693"/>
      <c r="AF626" s="693"/>
    </row>
    <row r="627" spans="1:32" x14ac:dyDescent="0.35">
      <c r="A627" s="313"/>
      <c r="B627" s="293"/>
      <c r="C627" s="221" t="s">
        <v>596</v>
      </c>
      <c r="D627" s="689"/>
      <c r="E627" s="690"/>
      <c r="F627" s="694">
        <v>34700</v>
      </c>
      <c r="G627" s="694">
        <v>34700</v>
      </c>
      <c r="H627" s="690"/>
      <c r="I627" s="690"/>
      <c r="J627" s="690"/>
      <c r="K627" s="154"/>
      <c r="L627" s="155"/>
      <c r="M627" s="692"/>
      <c r="N627" s="154"/>
      <c r="O627" s="689"/>
      <c r="P627" s="689"/>
      <c r="Q627" s="689"/>
      <c r="R627" s="689"/>
      <c r="S627" s="689"/>
      <c r="T627" s="693"/>
      <c r="U627" s="693"/>
      <c r="V627" s="693"/>
      <c r="W627" s="693"/>
      <c r="X627" s="693"/>
      <c r="Y627" s="693"/>
      <c r="Z627" s="693"/>
      <c r="AA627" s="693"/>
      <c r="AB627" s="693"/>
      <c r="AC627" s="693"/>
      <c r="AD627" s="693"/>
      <c r="AE627" s="693"/>
      <c r="AF627" s="693"/>
    </row>
    <row r="628" spans="1:32" x14ac:dyDescent="0.35">
      <c r="A628" s="313"/>
      <c r="B628" s="293"/>
      <c r="C628" s="221" t="s">
        <v>597</v>
      </c>
      <c r="D628" s="689"/>
      <c r="E628" s="690"/>
      <c r="F628" s="694">
        <v>32900</v>
      </c>
      <c r="G628" s="694">
        <v>32900</v>
      </c>
      <c r="H628" s="690"/>
      <c r="I628" s="690"/>
      <c r="J628" s="690"/>
      <c r="K628" s="154"/>
      <c r="L628" s="155"/>
      <c r="M628" s="692"/>
      <c r="N628" s="154"/>
      <c r="O628" s="689"/>
      <c r="P628" s="689"/>
      <c r="Q628" s="689"/>
      <c r="R628" s="689"/>
      <c r="S628" s="689"/>
      <c r="T628" s="693"/>
      <c r="U628" s="693"/>
      <c r="V628" s="693"/>
      <c r="W628" s="693"/>
      <c r="X628" s="693"/>
      <c r="Y628" s="693"/>
      <c r="Z628" s="693"/>
      <c r="AA628" s="693"/>
      <c r="AB628" s="693"/>
      <c r="AC628" s="693"/>
      <c r="AD628" s="693"/>
      <c r="AE628" s="693"/>
      <c r="AF628" s="693"/>
    </row>
    <row r="629" spans="1:32" x14ac:dyDescent="0.35">
      <c r="A629" s="313"/>
      <c r="B629" s="293"/>
      <c r="C629" s="695" t="s">
        <v>598</v>
      </c>
      <c r="D629" s="689"/>
      <c r="E629" s="690"/>
      <c r="F629" s="694">
        <v>74300</v>
      </c>
      <c r="G629" s="694">
        <v>74300</v>
      </c>
      <c r="H629" s="690"/>
      <c r="I629" s="690"/>
      <c r="J629" s="690"/>
      <c r="K629" s="154"/>
      <c r="L629" s="155"/>
      <c r="M629" s="692"/>
      <c r="N629" s="154"/>
      <c r="O629" s="689"/>
      <c r="P629" s="689"/>
      <c r="Q629" s="689"/>
      <c r="R629" s="689"/>
      <c r="S629" s="689"/>
      <c r="T629" s="693"/>
      <c r="U629" s="693"/>
      <c r="V629" s="693"/>
      <c r="W629" s="693"/>
      <c r="X629" s="693"/>
      <c r="Y629" s="693"/>
      <c r="Z629" s="693"/>
      <c r="AA629" s="693"/>
      <c r="AB629" s="693"/>
      <c r="AC629" s="693"/>
      <c r="AD629" s="693"/>
      <c r="AE629" s="693"/>
      <c r="AF629" s="693"/>
    </row>
    <row r="630" spans="1:32" x14ac:dyDescent="0.35">
      <c r="A630" s="313"/>
      <c r="B630" s="293"/>
      <c r="C630" s="221" t="s">
        <v>599</v>
      </c>
      <c r="D630" s="689"/>
      <c r="E630" s="690"/>
      <c r="F630" s="694">
        <v>766300</v>
      </c>
      <c r="G630" s="694">
        <v>766300</v>
      </c>
      <c r="H630" s="690"/>
      <c r="I630" s="690"/>
      <c r="J630" s="690"/>
      <c r="K630" s="154"/>
      <c r="L630" s="155"/>
      <c r="M630" s="692"/>
      <c r="N630" s="154"/>
      <c r="O630" s="689"/>
      <c r="P630" s="689"/>
      <c r="Q630" s="689"/>
      <c r="R630" s="689"/>
      <c r="S630" s="689"/>
      <c r="T630" s="693"/>
      <c r="U630" s="693"/>
      <c r="V630" s="693"/>
      <c r="W630" s="693"/>
      <c r="X630" s="693"/>
      <c r="Y630" s="693"/>
      <c r="Z630" s="693"/>
      <c r="AA630" s="693"/>
      <c r="AB630" s="693"/>
      <c r="AC630" s="693"/>
      <c r="AD630" s="693"/>
      <c r="AE630" s="693"/>
      <c r="AF630" s="693"/>
    </row>
    <row r="631" spans="1:32" x14ac:dyDescent="0.35">
      <c r="A631" s="313"/>
      <c r="B631" s="293"/>
      <c r="C631" s="221" t="s">
        <v>600</v>
      </c>
      <c r="D631" s="689"/>
      <c r="E631" s="690"/>
      <c r="F631" s="694">
        <v>31000</v>
      </c>
      <c r="G631" s="694">
        <v>31000</v>
      </c>
      <c r="H631" s="690"/>
      <c r="I631" s="690"/>
      <c r="J631" s="690"/>
      <c r="K631" s="154"/>
      <c r="L631" s="155"/>
      <c r="M631" s="692"/>
      <c r="N631" s="154"/>
      <c r="O631" s="689"/>
      <c r="P631" s="689"/>
      <c r="Q631" s="689"/>
      <c r="R631" s="689"/>
      <c r="S631" s="689"/>
      <c r="T631" s="693"/>
      <c r="U631" s="693"/>
      <c r="V631" s="693"/>
      <c r="W631" s="693"/>
      <c r="X631" s="693"/>
      <c r="Y631" s="693"/>
      <c r="Z631" s="693"/>
      <c r="AA631" s="693"/>
      <c r="AB631" s="693"/>
      <c r="AC631" s="693"/>
      <c r="AD631" s="693"/>
      <c r="AE631" s="693"/>
      <c r="AF631" s="693"/>
    </row>
    <row r="632" spans="1:32" x14ac:dyDescent="0.35">
      <c r="A632" s="313"/>
      <c r="B632" s="293"/>
      <c r="C632" s="221" t="s">
        <v>601</v>
      </c>
      <c r="D632" s="689"/>
      <c r="E632" s="690"/>
      <c r="F632" s="694">
        <v>27400</v>
      </c>
      <c r="G632" s="694">
        <v>27400</v>
      </c>
      <c r="H632" s="690"/>
      <c r="I632" s="690"/>
      <c r="J632" s="690"/>
      <c r="K632" s="154"/>
      <c r="L632" s="155"/>
      <c r="M632" s="692"/>
      <c r="N632" s="154"/>
      <c r="O632" s="689"/>
      <c r="P632" s="689"/>
      <c r="Q632" s="689"/>
      <c r="R632" s="689"/>
      <c r="S632" s="689"/>
      <c r="T632" s="693"/>
      <c r="U632" s="693"/>
      <c r="V632" s="693"/>
      <c r="W632" s="693"/>
      <c r="X632" s="693"/>
      <c r="Y632" s="693"/>
      <c r="Z632" s="693"/>
      <c r="AA632" s="693"/>
      <c r="AB632" s="693"/>
      <c r="AC632" s="693"/>
      <c r="AD632" s="693"/>
      <c r="AE632" s="693"/>
      <c r="AF632" s="693"/>
    </row>
    <row r="633" spans="1:32" x14ac:dyDescent="0.35">
      <c r="A633" s="313"/>
      <c r="B633" s="293"/>
      <c r="C633" s="695" t="s">
        <v>602</v>
      </c>
      <c r="D633" s="689"/>
      <c r="E633" s="690"/>
      <c r="F633" s="694">
        <v>40200</v>
      </c>
      <c r="G633" s="694">
        <v>40200</v>
      </c>
      <c r="H633" s="690"/>
      <c r="I633" s="690"/>
      <c r="J633" s="690"/>
      <c r="K633" s="154"/>
      <c r="L633" s="155"/>
      <c r="M633" s="692"/>
      <c r="N633" s="154"/>
      <c r="O633" s="689"/>
      <c r="P633" s="689"/>
      <c r="Q633" s="689"/>
      <c r="R633" s="689"/>
      <c r="S633" s="689"/>
      <c r="T633" s="693"/>
      <c r="U633" s="693"/>
      <c r="V633" s="693"/>
      <c r="W633" s="693"/>
      <c r="X633" s="693"/>
      <c r="Y633" s="693"/>
      <c r="Z633" s="693"/>
      <c r="AA633" s="693"/>
      <c r="AB633" s="693"/>
      <c r="AC633" s="693"/>
      <c r="AD633" s="693"/>
      <c r="AE633" s="693"/>
      <c r="AF633" s="693"/>
    </row>
    <row r="634" spans="1:32" x14ac:dyDescent="0.35">
      <c r="A634" s="313"/>
      <c r="B634" s="293"/>
      <c r="C634" s="221" t="s">
        <v>603</v>
      </c>
      <c r="D634" s="689"/>
      <c r="E634" s="690"/>
      <c r="F634" s="694">
        <v>36500</v>
      </c>
      <c r="G634" s="694">
        <v>36500</v>
      </c>
      <c r="H634" s="690"/>
      <c r="I634" s="690"/>
      <c r="J634" s="690"/>
      <c r="K634" s="154"/>
      <c r="L634" s="155"/>
      <c r="M634" s="692"/>
      <c r="N634" s="154"/>
      <c r="O634" s="689"/>
      <c r="P634" s="689"/>
      <c r="Q634" s="689"/>
      <c r="R634" s="689"/>
      <c r="S634" s="689"/>
      <c r="T634" s="693"/>
      <c r="U634" s="693"/>
      <c r="V634" s="693"/>
      <c r="W634" s="693"/>
      <c r="X634" s="693"/>
      <c r="Y634" s="693"/>
      <c r="Z634" s="693"/>
      <c r="AA634" s="693"/>
      <c r="AB634" s="693"/>
      <c r="AC634" s="693"/>
      <c r="AD634" s="693"/>
      <c r="AE634" s="693"/>
      <c r="AF634" s="693"/>
    </row>
    <row r="635" spans="1:32" x14ac:dyDescent="0.35">
      <c r="A635" s="313"/>
      <c r="B635" s="72" t="s">
        <v>556</v>
      </c>
      <c r="C635" s="125"/>
      <c r="D635" s="689"/>
      <c r="E635" s="690">
        <v>11808400</v>
      </c>
      <c r="F635" s="691">
        <f>+F636</f>
        <v>429200</v>
      </c>
      <c r="G635" s="691">
        <f>+G636</f>
        <v>429200</v>
      </c>
      <c r="H635" s="690"/>
      <c r="I635" s="690">
        <f t="shared" ref="I635" si="217">+G635-H635</f>
        <v>429200</v>
      </c>
      <c r="J635" s="690">
        <f t="shared" ref="J635" si="218">+E635-G635</f>
        <v>11379200</v>
      </c>
      <c r="K635" s="154">
        <f>+K981+K1021</f>
        <v>0</v>
      </c>
      <c r="L635" s="155">
        <f>+L981+L1021</f>
        <v>0</v>
      </c>
      <c r="M635" s="692">
        <f>+M981+M1021</f>
        <v>0</v>
      </c>
      <c r="N635" s="154">
        <f>+N981+N1021</f>
        <v>0</v>
      </c>
      <c r="O635" s="689">
        <v>63222400</v>
      </c>
      <c r="P635" s="689">
        <v>0</v>
      </c>
      <c r="Q635" s="689">
        <f t="shared" ref="Q635" si="219">+O635-P635</f>
        <v>63222400</v>
      </c>
      <c r="R635" s="689">
        <v>13804289.58</v>
      </c>
      <c r="S635" s="689">
        <v>0</v>
      </c>
      <c r="T635" s="693">
        <f>Q997-R997-S997</f>
        <v>0</v>
      </c>
      <c r="U635" s="693">
        <f t="shared" ref="U635:AF635" si="220">+U981+U1021</f>
        <v>0</v>
      </c>
      <c r="V635" s="693">
        <f t="shared" si="220"/>
        <v>0</v>
      </c>
      <c r="W635" s="693">
        <f t="shared" si="220"/>
        <v>0</v>
      </c>
      <c r="X635" s="693">
        <f t="shared" si="220"/>
        <v>0</v>
      </c>
      <c r="Y635" s="693">
        <f t="shared" si="220"/>
        <v>0</v>
      </c>
      <c r="Z635" s="693">
        <f t="shared" si="220"/>
        <v>0</v>
      </c>
      <c r="AA635" s="693">
        <f t="shared" si="220"/>
        <v>0</v>
      </c>
      <c r="AB635" s="693">
        <f t="shared" si="220"/>
        <v>0</v>
      </c>
      <c r="AC635" s="693">
        <f t="shared" si="220"/>
        <v>0</v>
      </c>
      <c r="AD635" s="693">
        <f t="shared" si="220"/>
        <v>0</v>
      </c>
      <c r="AE635" s="693">
        <f t="shared" si="220"/>
        <v>0</v>
      </c>
      <c r="AF635" s="693">
        <f t="shared" si="220"/>
        <v>0</v>
      </c>
    </row>
    <row r="636" spans="1:32" x14ac:dyDescent="0.35">
      <c r="A636" s="313"/>
      <c r="B636" s="293" t="s">
        <v>557</v>
      </c>
      <c r="C636" s="125"/>
      <c r="D636" s="689"/>
      <c r="E636" s="690"/>
      <c r="F636" s="694">
        <f>SUM(F637:F644)</f>
        <v>429200</v>
      </c>
      <c r="G636" s="694">
        <f>SUM(G637:G644)</f>
        <v>429200</v>
      </c>
      <c r="H636" s="690"/>
      <c r="I636" s="690"/>
      <c r="J636" s="690"/>
      <c r="K636" s="154"/>
      <c r="L636" s="155"/>
      <c r="M636" s="692"/>
      <c r="N636" s="154"/>
      <c r="O636" s="689"/>
      <c r="P636" s="689"/>
      <c r="Q636" s="689"/>
      <c r="R636" s="689"/>
      <c r="S636" s="689"/>
      <c r="T636" s="693"/>
      <c r="U636" s="693"/>
      <c r="V636" s="693"/>
      <c r="W636" s="693"/>
      <c r="X636" s="693"/>
      <c r="Y636" s="693"/>
      <c r="Z636" s="693"/>
      <c r="AA636" s="693"/>
      <c r="AB636" s="693"/>
      <c r="AC636" s="693"/>
      <c r="AD636" s="693"/>
      <c r="AE636" s="693"/>
      <c r="AF636" s="693"/>
    </row>
    <row r="637" spans="1:32" x14ac:dyDescent="0.35">
      <c r="A637" s="313"/>
      <c r="B637" s="293"/>
      <c r="C637" s="221" t="s">
        <v>558</v>
      </c>
      <c r="D637" s="689"/>
      <c r="E637" s="690"/>
      <c r="F637" s="694">
        <v>54900</v>
      </c>
      <c r="G637" s="694">
        <v>54900</v>
      </c>
      <c r="H637" s="690"/>
      <c r="I637" s="690"/>
      <c r="J637" s="690"/>
      <c r="K637" s="154"/>
      <c r="L637" s="155"/>
      <c r="M637" s="692"/>
      <c r="N637" s="154"/>
      <c r="O637" s="689"/>
      <c r="P637" s="689"/>
      <c r="Q637" s="689"/>
      <c r="R637" s="689"/>
      <c r="S637" s="689"/>
      <c r="T637" s="693"/>
      <c r="U637" s="693"/>
      <c r="V637" s="693"/>
      <c r="W637" s="693"/>
      <c r="X637" s="693"/>
      <c r="Y637" s="693"/>
      <c r="Z637" s="693"/>
      <c r="AA637" s="693"/>
      <c r="AB637" s="693"/>
      <c r="AC637" s="693"/>
      <c r="AD637" s="693"/>
      <c r="AE637" s="693"/>
      <c r="AF637" s="693"/>
    </row>
    <row r="638" spans="1:32" x14ac:dyDescent="0.35">
      <c r="A638" s="313"/>
      <c r="B638" s="293"/>
      <c r="C638" s="695" t="s">
        <v>559</v>
      </c>
      <c r="D638" s="689"/>
      <c r="E638" s="690"/>
      <c r="F638" s="694">
        <v>13600</v>
      </c>
      <c r="G638" s="694">
        <v>13600</v>
      </c>
      <c r="H638" s="690"/>
      <c r="I638" s="690"/>
      <c r="J638" s="690"/>
      <c r="K638" s="154"/>
      <c r="L638" s="155"/>
      <c r="M638" s="692"/>
      <c r="N638" s="154"/>
      <c r="O638" s="689"/>
      <c r="P638" s="689"/>
      <c r="Q638" s="689"/>
      <c r="R638" s="689"/>
      <c r="S638" s="689"/>
      <c r="T638" s="693"/>
      <c r="U638" s="693"/>
      <c r="V638" s="693"/>
      <c r="W638" s="693"/>
      <c r="X638" s="693"/>
      <c r="Y638" s="693"/>
      <c r="Z638" s="693"/>
      <c r="AA638" s="693"/>
      <c r="AB638" s="693"/>
      <c r="AC638" s="693"/>
      <c r="AD638" s="693"/>
      <c r="AE638" s="693"/>
      <c r="AF638" s="693"/>
    </row>
    <row r="639" spans="1:32" x14ac:dyDescent="0.35">
      <c r="A639" s="313"/>
      <c r="B639" s="293"/>
      <c r="C639" s="221" t="s">
        <v>560</v>
      </c>
      <c r="D639" s="689"/>
      <c r="E639" s="690"/>
      <c r="F639" s="694">
        <v>36100</v>
      </c>
      <c r="G639" s="694">
        <v>36100</v>
      </c>
      <c r="H639" s="690"/>
      <c r="I639" s="690"/>
      <c r="J639" s="690"/>
      <c r="K639" s="154"/>
      <c r="L639" s="155"/>
      <c r="M639" s="692"/>
      <c r="N639" s="154"/>
      <c r="O639" s="689"/>
      <c r="P639" s="689"/>
      <c r="Q639" s="689"/>
      <c r="R639" s="689"/>
      <c r="S639" s="689"/>
      <c r="T639" s="693"/>
      <c r="U639" s="693"/>
      <c r="V639" s="693"/>
      <c r="W639" s="693"/>
      <c r="X639" s="693"/>
      <c r="Y639" s="693"/>
      <c r="Z639" s="693"/>
      <c r="AA639" s="693"/>
      <c r="AB639" s="693"/>
      <c r="AC639" s="693"/>
      <c r="AD639" s="693"/>
      <c r="AE639" s="693"/>
      <c r="AF639" s="693"/>
    </row>
    <row r="640" spans="1:32" x14ac:dyDescent="0.35">
      <c r="A640" s="313"/>
      <c r="B640" s="293"/>
      <c r="C640" s="221" t="s">
        <v>561</v>
      </c>
      <c r="D640" s="689"/>
      <c r="E640" s="690"/>
      <c r="F640" s="694">
        <v>108300</v>
      </c>
      <c r="G640" s="694">
        <v>108300</v>
      </c>
      <c r="H640" s="690"/>
      <c r="I640" s="690"/>
      <c r="J640" s="690"/>
      <c r="K640" s="154"/>
      <c r="L640" s="155"/>
      <c r="M640" s="692"/>
      <c r="N640" s="154"/>
      <c r="O640" s="689"/>
      <c r="P640" s="689"/>
      <c r="Q640" s="689"/>
      <c r="R640" s="689"/>
      <c r="S640" s="689"/>
      <c r="T640" s="693"/>
      <c r="U640" s="693"/>
      <c r="V640" s="693"/>
      <c r="W640" s="693"/>
      <c r="X640" s="693"/>
      <c r="Y640" s="693"/>
      <c r="Z640" s="693"/>
      <c r="AA640" s="693"/>
      <c r="AB640" s="693"/>
      <c r="AC640" s="693"/>
      <c r="AD640" s="693"/>
      <c r="AE640" s="693"/>
      <c r="AF640" s="693"/>
    </row>
    <row r="641" spans="1:32" x14ac:dyDescent="0.35">
      <c r="A641" s="313"/>
      <c r="B641" s="293"/>
      <c r="C641" s="221" t="s">
        <v>562</v>
      </c>
      <c r="D641" s="689"/>
      <c r="E641" s="690"/>
      <c r="F641" s="694">
        <v>124900</v>
      </c>
      <c r="G641" s="694">
        <v>124900</v>
      </c>
      <c r="H641" s="690"/>
      <c r="I641" s="690"/>
      <c r="J641" s="690"/>
      <c r="K641" s="154"/>
      <c r="L641" s="155"/>
      <c r="M641" s="692"/>
      <c r="N641" s="154"/>
      <c r="O641" s="689"/>
      <c r="P641" s="689"/>
      <c r="Q641" s="689"/>
      <c r="R641" s="689"/>
      <c r="S641" s="689"/>
      <c r="T641" s="693"/>
      <c r="U641" s="693"/>
      <c r="V641" s="693"/>
      <c r="W641" s="693"/>
      <c r="X641" s="693"/>
      <c r="Y641" s="693"/>
      <c r="Z641" s="693"/>
      <c r="AA641" s="693"/>
      <c r="AB641" s="693"/>
      <c r="AC641" s="693"/>
      <c r="AD641" s="693"/>
      <c r="AE641" s="693"/>
      <c r="AF641" s="693"/>
    </row>
    <row r="642" spans="1:32" x14ac:dyDescent="0.35">
      <c r="A642" s="313"/>
      <c r="B642" s="293"/>
      <c r="C642" s="221" t="s">
        <v>563</v>
      </c>
      <c r="D642" s="689"/>
      <c r="E642" s="690"/>
      <c r="F642" s="694">
        <v>18000</v>
      </c>
      <c r="G642" s="694">
        <v>18000</v>
      </c>
      <c r="H642" s="690"/>
      <c r="I642" s="690"/>
      <c r="J642" s="690"/>
      <c r="K642" s="154"/>
      <c r="L642" s="155"/>
      <c r="M642" s="692"/>
      <c r="N642" s="154"/>
      <c r="O642" s="689"/>
      <c r="P642" s="689"/>
      <c r="Q642" s="689"/>
      <c r="R642" s="689"/>
      <c r="S642" s="689"/>
      <c r="T642" s="693"/>
      <c r="U642" s="693"/>
      <c r="V642" s="693"/>
      <c r="W642" s="693"/>
      <c r="X642" s="693"/>
      <c r="Y642" s="693"/>
      <c r="Z642" s="693"/>
      <c r="AA642" s="693"/>
      <c r="AB642" s="693"/>
      <c r="AC642" s="693"/>
      <c r="AD642" s="693"/>
      <c r="AE642" s="693"/>
      <c r="AF642" s="693"/>
    </row>
    <row r="643" spans="1:32" x14ac:dyDescent="0.35">
      <c r="A643" s="313"/>
      <c r="B643" s="293"/>
      <c r="C643" s="695" t="s">
        <v>564</v>
      </c>
      <c r="D643" s="689"/>
      <c r="E643" s="690"/>
      <c r="F643" s="694">
        <v>48600</v>
      </c>
      <c r="G643" s="694">
        <v>48600</v>
      </c>
      <c r="H643" s="690"/>
      <c r="I643" s="690"/>
      <c r="J643" s="690"/>
      <c r="K643" s="154"/>
      <c r="L643" s="155"/>
      <c r="M643" s="692"/>
      <c r="N643" s="154"/>
      <c r="O643" s="689"/>
      <c r="P643" s="689"/>
      <c r="Q643" s="689"/>
      <c r="R643" s="689"/>
      <c r="S643" s="689"/>
      <c r="T643" s="693"/>
      <c r="U643" s="693"/>
      <c r="V643" s="693"/>
      <c r="W643" s="693"/>
      <c r="X643" s="693"/>
      <c r="Y643" s="693"/>
      <c r="Z643" s="693"/>
      <c r="AA643" s="693"/>
      <c r="AB643" s="693"/>
      <c r="AC643" s="693"/>
      <c r="AD643" s="693"/>
      <c r="AE643" s="693"/>
      <c r="AF643" s="693"/>
    </row>
    <row r="644" spans="1:32" x14ac:dyDescent="0.35">
      <c r="A644" s="313"/>
      <c r="B644" s="293"/>
      <c r="C644" s="695" t="s">
        <v>565</v>
      </c>
      <c r="D644" s="689"/>
      <c r="E644" s="690"/>
      <c r="F644" s="694">
        <v>24800</v>
      </c>
      <c r="G644" s="694">
        <v>24800</v>
      </c>
      <c r="H644" s="690"/>
      <c r="I644" s="690"/>
      <c r="J644" s="690"/>
      <c r="K644" s="154"/>
      <c r="L644" s="155"/>
      <c r="M644" s="692"/>
      <c r="N644" s="154"/>
      <c r="O644" s="689"/>
      <c r="P644" s="689"/>
      <c r="Q644" s="689"/>
      <c r="R644" s="689"/>
      <c r="S644" s="689"/>
      <c r="T644" s="693"/>
      <c r="U644" s="693"/>
      <c r="V644" s="693"/>
      <c r="W644" s="693"/>
      <c r="X644" s="693"/>
      <c r="Y644" s="693"/>
      <c r="Z644" s="693"/>
      <c r="AA644" s="693"/>
      <c r="AB644" s="693"/>
      <c r="AC644" s="693"/>
      <c r="AD644" s="693"/>
      <c r="AE644" s="693"/>
      <c r="AF644" s="693"/>
    </row>
    <row r="645" spans="1:32" x14ac:dyDescent="0.35">
      <c r="A645" s="313"/>
      <c r="B645" s="72" t="s">
        <v>604</v>
      </c>
      <c r="C645" s="125"/>
      <c r="D645" s="689"/>
      <c r="E645" s="690">
        <v>11808400</v>
      </c>
      <c r="F645" s="691">
        <f>+F646</f>
        <v>262300</v>
      </c>
      <c r="G645" s="691">
        <f>+G646</f>
        <v>262300</v>
      </c>
      <c r="H645" s="690"/>
      <c r="I645" s="690">
        <f t="shared" ref="I645" si="221">+G645-H645</f>
        <v>262300</v>
      </c>
      <c r="J645" s="690">
        <f t="shared" ref="J645" si="222">+E645-G645</f>
        <v>11546100</v>
      </c>
      <c r="K645" s="154">
        <f>+K991+K1031</f>
        <v>0</v>
      </c>
      <c r="L645" s="155">
        <f>+L991+L1031</f>
        <v>0</v>
      </c>
      <c r="M645" s="692">
        <f>+M991+M1031</f>
        <v>0</v>
      </c>
      <c r="N645" s="154">
        <f>+N991+N1031</f>
        <v>0</v>
      </c>
      <c r="O645" s="689">
        <v>63222400</v>
      </c>
      <c r="P645" s="689">
        <v>0</v>
      </c>
      <c r="Q645" s="689">
        <f t="shared" ref="Q645" si="223">+O645-P645</f>
        <v>63222400</v>
      </c>
      <c r="R645" s="689">
        <v>13804289.58</v>
      </c>
      <c r="S645" s="689">
        <v>0</v>
      </c>
      <c r="T645" s="693">
        <f>Q1007-R1007-S1007</f>
        <v>0</v>
      </c>
      <c r="U645" s="693">
        <f t="shared" ref="U645:AF645" si="224">+U991+U1031</f>
        <v>0</v>
      </c>
      <c r="V645" s="693">
        <f t="shared" si="224"/>
        <v>0</v>
      </c>
      <c r="W645" s="693">
        <f t="shared" si="224"/>
        <v>0</v>
      </c>
      <c r="X645" s="693">
        <f t="shared" si="224"/>
        <v>0</v>
      </c>
      <c r="Y645" s="693">
        <f t="shared" si="224"/>
        <v>0</v>
      </c>
      <c r="Z645" s="693">
        <f t="shared" si="224"/>
        <v>0</v>
      </c>
      <c r="AA645" s="693">
        <f t="shared" si="224"/>
        <v>0</v>
      </c>
      <c r="AB645" s="693">
        <f t="shared" si="224"/>
        <v>0</v>
      </c>
      <c r="AC645" s="693">
        <f t="shared" si="224"/>
        <v>0</v>
      </c>
      <c r="AD645" s="693">
        <f t="shared" si="224"/>
        <v>0</v>
      </c>
      <c r="AE645" s="693">
        <f t="shared" si="224"/>
        <v>0</v>
      </c>
      <c r="AF645" s="693">
        <f t="shared" si="224"/>
        <v>0</v>
      </c>
    </row>
    <row r="646" spans="1:32" x14ac:dyDescent="0.35">
      <c r="A646" s="313"/>
      <c r="B646" s="293" t="s">
        <v>679</v>
      </c>
      <c r="C646" s="125"/>
      <c r="D646" s="689"/>
      <c r="E646" s="690"/>
      <c r="F646" s="694">
        <f>SUM(F647:F650)</f>
        <v>262300</v>
      </c>
      <c r="G646" s="694">
        <f>SUM(G647:G650)</f>
        <v>262300</v>
      </c>
      <c r="H646" s="690"/>
      <c r="I646" s="690"/>
      <c r="J646" s="690"/>
      <c r="K646" s="154"/>
      <c r="L646" s="155"/>
      <c r="M646" s="692"/>
      <c r="N646" s="154"/>
      <c r="O646" s="689"/>
      <c r="P646" s="689"/>
      <c r="Q646" s="689"/>
      <c r="R646" s="689"/>
      <c r="S646" s="689"/>
      <c r="T646" s="693"/>
      <c r="U646" s="693"/>
      <c r="V646" s="693"/>
      <c r="W646" s="693"/>
      <c r="X646" s="693"/>
      <c r="Y646" s="693"/>
      <c r="Z646" s="693"/>
      <c r="AA646" s="693"/>
      <c r="AB646" s="693"/>
      <c r="AC646" s="693"/>
      <c r="AD646" s="693"/>
      <c r="AE646" s="693"/>
      <c r="AF646" s="693"/>
    </row>
    <row r="647" spans="1:32" x14ac:dyDescent="0.35">
      <c r="A647" s="313"/>
      <c r="B647" s="293"/>
      <c r="C647" s="221" t="s">
        <v>605</v>
      </c>
      <c r="D647" s="689"/>
      <c r="E647" s="690"/>
      <c r="F647" s="694">
        <v>78100</v>
      </c>
      <c r="G647" s="694">
        <v>78100</v>
      </c>
      <c r="H647" s="690"/>
      <c r="I647" s="690"/>
      <c r="J647" s="690"/>
      <c r="K647" s="154"/>
      <c r="L647" s="155"/>
      <c r="M647" s="692"/>
      <c r="N647" s="154"/>
      <c r="O647" s="689"/>
      <c r="P647" s="689"/>
      <c r="Q647" s="689"/>
      <c r="R647" s="689"/>
      <c r="S647" s="689"/>
      <c r="T647" s="693"/>
      <c r="U647" s="693"/>
      <c r="V647" s="693"/>
      <c r="W647" s="693"/>
      <c r="X647" s="693"/>
      <c r="Y647" s="693"/>
      <c r="Z647" s="693"/>
      <c r="AA647" s="693"/>
      <c r="AB647" s="693"/>
      <c r="AC647" s="693"/>
      <c r="AD647" s="693"/>
      <c r="AE647" s="693"/>
      <c r="AF647" s="693"/>
    </row>
    <row r="648" spans="1:32" x14ac:dyDescent="0.35">
      <c r="A648" s="313"/>
      <c r="B648" s="293"/>
      <c r="C648" s="695" t="s">
        <v>606</v>
      </c>
      <c r="D648" s="689"/>
      <c r="E648" s="690"/>
      <c r="F648" s="694">
        <v>79900</v>
      </c>
      <c r="G648" s="694">
        <v>79900</v>
      </c>
      <c r="H648" s="690"/>
      <c r="I648" s="690"/>
      <c r="J648" s="690"/>
      <c r="K648" s="154"/>
      <c r="L648" s="155"/>
      <c r="M648" s="692"/>
      <c r="N648" s="154"/>
      <c r="O648" s="689"/>
      <c r="P648" s="689"/>
      <c r="Q648" s="689"/>
      <c r="R648" s="689"/>
      <c r="S648" s="689"/>
      <c r="T648" s="693"/>
      <c r="U648" s="693"/>
      <c r="V648" s="693"/>
      <c r="W648" s="693"/>
      <c r="X648" s="693"/>
      <c r="Y648" s="693"/>
      <c r="Z648" s="693"/>
      <c r="AA648" s="693"/>
      <c r="AB648" s="693"/>
      <c r="AC648" s="693"/>
      <c r="AD648" s="693"/>
      <c r="AE648" s="693"/>
      <c r="AF648" s="693"/>
    </row>
    <row r="649" spans="1:32" x14ac:dyDescent="0.35">
      <c r="A649" s="313"/>
      <c r="B649" s="293"/>
      <c r="C649" s="221" t="s">
        <v>607</v>
      </c>
      <c r="D649" s="689"/>
      <c r="E649" s="690"/>
      <c r="F649" s="694">
        <v>50400</v>
      </c>
      <c r="G649" s="694">
        <v>50400</v>
      </c>
      <c r="H649" s="690"/>
      <c r="I649" s="690"/>
      <c r="J649" s="690"/>
      <c r="K649" s="154"/>
      <c r="L649" s="155"/>
      <c r="M649" s="692"/>
      <c r="N649" s="154"/>
      <c r="O649" s="689"/>
      <c r="P649" s="689"/>
      <c r="Q649" s="689"/>
      <c r="R649" s="689"/>
      <c r="S649" s="689"/>
      <c r="T649" s="693"/>
      <c r="U649" s="693"/>
      <c r="V649" s="693"/>
      <c r="W649" s="693"/>
      <c r="X649" s="693"/>
      <c r="Y649" s="693"/>
      <c r="Z649" s="693"/>
      <c r="AA649" s="693"/>
      <c r="AB649" s="693"/>
      <c r="AC649" s="693"/>
      <c r="AD649" s="693"/>
      <c r="AE649" s="693"/>
      <c r="AF649" s="693"/>
    </row>
    <row r="650" spans="1:32" x14ac:dyDescent="0.35">
      <c r="A650" s="313"/>
      <c r="B650" s="293"/>
      <c r="C650" s="221" t="s">
        <v>608</v>
      </c>
      <c r="D650" s="689"/>
      <c r="E650" s="690"/>
      <c r="F650" s="694">
        <v>53900</v>
      </c>
      <c r="G650" s="694">
        <v>53900</v>
      </c>
      <c r="H650" s="690"/>
      <c r="I650" s="690"/>
      <c r="J650" s="690"/>
      <c r="K650" s="154"/>
      <c r="L650" s="155"/>
      <c r="M650" s="692"/>
      <c r="N650" s="154"/>
      <c r="O650" s="689"/>
      <c r="P650" s="689"/>
      <c r="Q650" s="689"/>
      <c r="R650" s="689"/>
      <c r="S650" s="689"/>
      <c r="T650" s="693"/>
      <c r="U650" s="693"/>
      <c r="V650" s="693"/>
      <c r="W650" s="693"/>
      <c r="X650" s="693"/>
      <c r="Y650" s="693"/>
      <c r="Z650" s="693"/>
      <c r="AA650" s="693"/>
      <c r="AB650" s="693"/>
      <c r="AC650" s="693"/>
      <c r="AD650" s="693"/>
      <c r="AE650" s="693"/>
      <c r="AF650" s="693"/>
    </row>
    <row r="651" spans="1:32" x14ac:dyDescent="0.35">
      <c r="A651" s="313"/>
      <c r="B651" s="72" t="s">
        <v>656</v>
      </c>
      <c r="C651" s="125"/>
      <c r="D651" s="689"/>
      <c r="E651" s="690">
        <v>11808400</v>
      </c>
      <c r="F651" s="691">
        <f>+F652</f>
        <v>44000000</v>
      </c>
      <c r="G651" s="691">
        <f>+G652</f>
        <v>38000000</v>
      </c>
      <c r="H651" s="690"/>
      <c r="I651" s="690">
        <f t="shared" ref="I651" si="225">+G651-H651</f>
        <v>38000000</v>
      </c>
      <c r="J651" s="690">
        <f t="shared" ref="J651" si="226">+E651-G651</f>
        <v>-26191600</v>
      </c>
      <c r="K651" s="154">
        <f>+K997+K1037</f>
        <v>0</v>
      </c>
      <c r="L651" s="155">
        <f>+L997+L1037</f>
        <v>0</v>
      </c>
      <c r="M651" s="692">
        <f>+M997+M1037</f>
        <v>0</v>
      </c>
      <c r="N651" s="154">
        <f>+N997+N1037</f>
        <v>0</v>
      </c>
      <c r="O651" s="689">
        <v>63222400</v>
      </c>
      <c r="P651" s="689">
        <v>0</v>
      </c>
      <c r="Q651" s="689">
        <f t="shared" ref="Q651" si="227">+O651-P651</f>
        <v>63222400</v>
      </c>
      <c r="R651" s="689">
        <v>13804289.58</v>
      </c>
      <c r="S651" s="689">
        <v>0</v>
      </c>
      <c r="T651" s="693">
        <f>Q1013-R1013-S1013</f>
        <v>0</v>
      </c>
      <c r="U651" s="693">
        <f t="shared" ref="U651:AF651" si="228">+U997+U1037</f>
        <v>0</v>
      </c>
      <c r="V651" s="693">
        <f t="shared" si="228"/>
        <v>0</v>
      </c>
      <c r="W651" s="693">
        <f t="shared" si="228"/>
        <v>0</v>
      </c>
      <c r="X651" s="693">
        <f t="shared" si="228"/>
        <v>0</v>
      </c>
      <c r="Y651" s="693">
        <f t="shared" si="228"/>
        <v>0</v>
      </c>
      <c r="Z651" s="693">
        <f t="shared" si="228"/>
        <v>0</v>
      </c>
      <c r="AA651" s="693">
        <f t="shared" si="228"/>
        <v>0</v>
      </c>
      <c r="AB651" s="693">
        <f t="shared" si="228"/>
        <v>0</v>
      </c>
      <c r="AC651" s="693">
        <f t="shared" si="228"/>
        <v>0</v>
      </c>
      <c r="AD651" s="693">
        <f t="shared" si="228"/>
        <v>0</v>
      </c>
      <c r="AE651" s="693">
        <f t="shared" si="228"/>
        <v>0</v>
      </c>
      <c r="AF651" s="693">
        <f t="shared" si="228"/>
        <v>0</v>
      </c>
    </row>
    <row r="652" spans="1:32" x14ac:dyDescent="0.35">
      <c r="A652" s="313"/>
      <c r="B652" s="293" t="s">
        <v>657</v>
      </c>
      <c r="C652" s="125"/>
      <c r="D652" s="689"/>
      <c r="E652" s="690"/>
      <c r="F652" s="694">
        <f>SUM(F653:F664)</f>
        <v>44000000</v>
      </c>
      <c r="G652" s="694">
        <f>SUM(G653:G664)</f>
        <v>38000000</v>
      </c>
      <c r="H652" s="690"/>
      <c r="I652" s="690"/>
      <c r="J652" s="690"/>
      <c r="K652" s="154"/>
      <c r="L652" s="155"/>
      <c r="M652" s="692"/>
      <c r="N652" s="154"/>
      <c r="O652" s="689"/>
      <c r="P652" s="689"/>
      <c r="Q652" s="689"/>
      <c r="R652" s="689"/>
      <c r="S652" s="689"/>
      <c r="T652" s="693"/>
      <c r="U652" s="693"/>
      <c r="V652" s="693"/>
      <c r="W652" s="693"/>
      <c r="X652" s="693"/>
      <c r="Y652" s="693"/>
      <c r="Z652" s="693"/>
      <c r="AA652" s="693"/>
      <c r="AB652" s="693"/>
      <c r="AC652" s="693"/>
      <c r="AD652" s="693"/>
      <c r="AE652" s="693"/>
      <c r="AF652" s="693"/>
    </row>
    <row r="653" spans="1:32" ht="42" x14ac:dyDescent="0.35">
      <c r="A653" s="313"/>
      <c r="B653" s="293"/>
      <c r="C653" s="695" t="s">
        <v>658</v>
      </c>
      <c r="D653" s="689"/>
      <c r="E653" s="690"/>
      <c r="F653" s="694">
        <v>4000000</v>
      </c>
      <c r="G653" s="694">
        <v>4000000</v>
      </c>
      <c r="H653" s="690"/>
      <c r="I653" s="690"/>
      <c r="J653" s="690"/>
      <c r="K653" s="154"/>
      <c r="L653" s="155"/>
      <c r="M653" s="692"/>
      <c r="N653" s="154"/>
      <c r="O653" s="689"/>
      <c r="P653" s="689"/>
      <c r="Q653" s="689"/>
      <c r="R653" s="689"/>
      <c r="S653" s="689"/>
      <c r="T653" s="693"/>
      <c r="U653" s="693"/>
      <c r="V653" s="693"/>
      <c r="W653" s="693"/>
      <c r="X653" s="693"/>
      <c r="Y653" s="693"/>
      <c r="Z653" s="693"/>
      <c r="AA653" s="693"/>
      <c r="AB653" s="693"/>
      <c r="AC653" s="693"/>
      <c r="AD653" s="693"/>
      <c r="AE653" s="693"/>
      <c r="AF653" s="693"/>
    </row>
    <row r="654" spans="1:32" ht="42" x14ac:dyDescent="0.35">
      <c r="A654" s="313"/>
      <c r="B654" s="293"/>
      <c r="C654" s="695" t="s">
        <v>659</v>
      </c>
      <c r="D654" s="689"/>
      <c r="E654" s="690"/>
      <c r="F654" s="694">
        <v>3000000</v>
      </c>
      <c r="G654" s="694">
        <v>3000000</v>
      </c>
      <c r="H654" s="690"/>
      <c r="I654" s="690"/>
      <c r="J654" s="690"/>
      <c r="K654" s="154"/>
      <c r="L654" s="155"/>
      <c r="M654" s="692"/>
      <c r="N654" s="154"/>
      <c r="O654" s="689"/>
      <c r="P654" s="689"/>
      <c r="Q654" s="689"/>
      <c r="R654" s="689"/>
      <c r="S654" s="689"/>
      <c r="T654" s="693"/>
      <c r="U654" s="693"/>
      <c r="V654" s="693"/>
      <c r="W654" s="693"/>
      <c r="X654" s="693"/>
      <c r="Y654" s="693"/>
      <c r="Z654" s="693"/>
      <c r="AA654" s="693"/>
      <c r="AB654" s="693"/>
      <c r="AC654" s="693"/>
      <c r="AD654" s="693"/>
      <c r="AE654" s="693"/>
      <c r="AF654" s="693"/>
    </row>
    <row r="655" spans="1:32" ht="42" x14ac:dyDescent="0.35">
      <c r="A655" s="313"/>
      <c r="B655" s="293"/>
      <c r="C655" s="695" t="s">
        <v>660</v>
      </c>
      <c r="D655" s="689"/>
      <c r="E655" s="690"/>
      <c r="F655" s="694">
        <v>4000000</v>
      </c>
      <c r="G655" s="694">
        <v>4000000</v>
      </c>
      <c r="H655" s="690"/>
      <c r="I655" s="690"/>
      <c r="J655" s="690"/>
      <c r="K655" s="154"/>
      <c r="L655" s="155"/>
      <c r="M655" s="692"/>
      <c r="N655" s="154"/>
      <c r="O655" s="689"/>
      <c r="P655" s="689"/>
      <c r="Q655" s="689"/>
      <c r="R655" s="689"/>
      <c r="S655" s="689"/>
      <c r="T655" s="693"/>
      <c r="U655" s="693"/>
      <c r="V655" s="693"/>
      <c r="W655" s="693"/>
      <c r="X655" s="693"/>
      <c r="Y655" s="693"/>
      <c r="Z655" s="693"/>
      <c r="AA655" s="693"/>
      <c r="AB655" s="693"/>
      <c r="AC655" s="693"/>
      <c r="AD655" s="693"/>
      <c r="AE655" s="693"/>
      <c r="AF655" s="693"/>
    </row>
    <row r="656" spans="1:32" ht="42" x14ac:dyDescent="0.35">
      <c r="A656" s="313"/>
      <c r="B656" s="293"/>
      <c r="C656" s="695" t="s">
        <v>661</v>
      </c>
      <c r="D656" s="689"/>
      <c r="E656" s="690"/>
      <c r="F656" s="694">
        <v>3000000</v>
      </c>
      <c r="G656" s="694">
        <v>3000000</v>
      </c>
      <c r="H656" s="690"/>
      <c r="I656" s="690"/>
      <c r="J656" s="690"/>
      <c r="K656" s="154"/>
      <c r="L656" s="155"/>
      <c r="M656" s="692"/>
      <c r="N656" s="154"/>
      <c r="O656" s="689"/>
      <c r="P656" s="689"/>
      <c r="Q656" s="689"/>
      <c r="R656" s="689"/>
      <c r="S656" s="689"/>
      <c r="T656" s="693"/>
      <c r="U656" s="693"/>
      <c r="V656" s="693"/>
      <c r="W656" s="693"/>
      <c r="X656" s="693"/>
      <c r="Y656" s="693"/>
      <c r="Z656" s="693"/>
      <c r="AA656" s="693"/>
      <c r="AB656" s="693"/>
      <c r="AC656" s="693"/>
      <c r="AD656" s="693"/>
      <c r="AE656" s="693"/>
      <c r="AF656" s="693"/>
    </row>
    <row r="657" spans="1:34" ht="63" x14ac:dyDescent="0.35">
      <c r="A657" s="313"/>
      <c r="B657" s="293"/>
      <c r="C657" s="696" t="s">
        <v>662</v>
      </c>
      <c r="D657" s="689"/>
      <c r="E657" s="690"/>
      <c r="F657" s="694">
        <v>4000000</v>
      </c>
      <c r="G657" s="694">
        <v>4000000</v>
      </c>
      <c r="H657" s="690"/>
      <c r="I657" s="690"/>
      <c r="J657" s="690"/>
      <c r="K657" s="154"/>
      <c r="L657" s="155"/>
      <c r="M657" s="692"/>
      <c r="N657" s="154"/>
      <c r="O657" s="689"/>
      <c r="P657" s="689"/>
      <c r="Q657" s="689"/>
      <c r="R657" s="689"/>
      <c r="S657" s="689"/>
      <c r="T657" s="693"/>
      <c r="U657" s="693"/>
      <c r="V657" s="693"/>
      <c r="W657" s="693"/>
      <c r="X657" s="693"/>
      <c r="Y657" s="693"/>
      <c r="Z657" s="693"/>
      <c r="AA657" s="693"/>
      <c r="AB657" s="693"/>
      <c r="AC657" s="693"/>
      <c r="AD657" s="693"/>
      <c r="AE657" s="693"/>
      <c r="AF657" s="693"/>
    </row>
    <row r="658" spans="1:34" ht="63" x14ac:dyDescent="0.35">
      <c r="A658" s="313"/>
      <c r="B658" s="293"/>
      <c r="C658" s="695" t="s">
        <v>663</v>
      </c>
      <c r="D658" s="689"/>
      <c r="E658" s="690"/>
      <c r="F658" s="694">
        <v>4000000</v>
      </c>
      <c r="G658" s="694">
        <v>4000000</v>
      </c>
      <c r="H658" s="690"/>
      <c r="I658" s="690"/>
      <c r="J658" s="690"/>
      <c r="K658" s="154"/>
      <c r="L658" s="155"/>
      <c r="M658" s="692"/>
      <c r="N658" s="154"/>
      <c r="O658" s="689"/>
      <c r="P658" s="689"/>
      <c r="Q658" s="689"/>
      <c r="R658" s="689"/>
      <c r="S658" s="689"/>
      <c r="T658" s="693"/>
      <c r="U658" s="693"/>
      <c r="V658" s="693"/>
      <c r="W658" s="693"/>
      <c r="X658" s="693"/>
      <c r="Y658" s="693"/>
      <c r="Z658" s="693"/>
      <c r="AA658" s="693"/>
      <c r="AB658" s="693"/>
      <c r="AC658" s="693"/>
      <c r="AD658" s="693"/>
      <c r="AE658" s="693"/>
      <c r="AF658" s="693"/>
    </row>
    <row r="659" spans="1:34" ht="63" x14ac:dyDescent="0.35">
      <c r="A659" s="313"/>
      <c r="B659" s="293"/>
      <c r="C659" s="695" t="s">
        <v>664</v>
      </c>
      <c r="D659" s="689"/>
      <c r="E659" s="690"/>
      <c r="F659" s="694">
        <v>4000000</v>
      </c>
      <c r="G659" s="694">
        <v>4000000</v>
      </c>
      <c r="H659" s="690"/>
      <c r="I659" s="690"/>
      <c r="J659" s="690"/>
      <c r="K659" s="154"/>
      <c r="L659" s="155"/>
      <c r="M659" s="692"/>
      <c r="N659" s="154"/>
      <c r="O659" s="689"/>
      <c r="P659" s="689"/>
      <c r="Q659" s="689"/>
      <c r="R659" s="689"/>
      <c r="S659" s="689"/>
      <c r="T659" s="693"/>
      <c r="U659" s="693"/>
      <c r="V659" s="693"/>
      <c r="W659" s="693"/>
      <c r="X659" s="693"/>
      <c r="Y659" s="693"/>
      <c r="Z659" s="693"/>
      <c r="AA659" s="693"/>
      <c r="AB659" s="693"/>
      <c r="AC659" s="693"/>
      <c r="AD659" s="693"/>
      <c r="AE659" s="693"/>
      <c r="AF659" s="693"/>
    </row>
    <row r="660" spans="1:34" ht="63" x14ac:dyDescent="0.35">
      <c r="A660" s="313"/>
      <c r="B660" s="293"/>
      <c r="C660" s="695" t="s">
        <v>665</v>
      </c>
      <c r="D660" s="689"/>
      <c r="E660" s="690"/>
      <c r="F660" s="694">
        <v>4000000</v>
      </c>
      <c r="G660" s="694">
        <v>4000000</v>
      </c>
      <c r="H660" s="690"/>
      <c r="I660" s="690"/>
      <c r="J660" s="690"/>
      <c r="K660" s="154"/>
      <c r="L660" s="155"/>
      <c r="M660" s="692"/>
      <c r="N660" s="154"/>
      <c r="O660" s="689"/>
      <c r="P660" s="689"/>
      <c r="Q660" s="689"/>
      <c r="R660" s="689"/>
      <c r="S660" s="689"/>
      <c r="T660" s="693"/>
      <c r="U660" s="693"/>
      <c r="V660" s="693"/>
      <c r="W660" s="693"/>
      <c r="X660" s="693"/>
      <c r="Y660" s="693"/>
      <c r="Z660" s="693"/>
      <c r="AA660" s="693"/>
      <c r="AB660" s="693"/>
      <c r="AC660" s="693"/>
      <c r="AD660" s="693"/>
      <c r="AE660" s="693"/>
      <c r="AF660" s="693"/>
    </row>
    <row r="661" spans="1:34" ht="42" x14ac:dyDescent="0.35">
      <c r="A661" s="313"/>
      <c r="B661" s="293"/>
      <c r="C661" s="695" t="s">
        <v>666</v>
      </c>
      <c r="D661" s="689"/>
      <c r="E661" s="690"/>
      <c r="F661" s="694">
        <v>4000000</v>
      </c>
      <c r="G661" s="694">
        <v>4000000</v>
      </c>
      <c r="H661" s="690"/>
      <c r="I661" s="690"/>
      <c r="J661" s="690"/>
      <c r="K661" s="154"/>
      <c r="L661" s="155"/>
      <c r="M661" s="692"/>
      <c r="N661" s="154"/>
      <c r="O661" s="689"/>
      <c r="P661" s="689"/>
      <c r="Q661" s="689"/>
      <c r="R661" s="689"/>
      <c r="S661" s="689"/>
      <c r="T661" s="693"/>
      <c r="U661" s="693"/>
      <c r="V661" s="693"/>
      <c r="W661" s="693"/>
      <c r="X661" s="693"/>
      <c r="Y661" s="693"/>
      <c r="Z661" s="693"/>
      <c r="AA661" s="693"/>
      <c r="AB661" s="693"/>
      <c r="AC661" s="693"/>
      <c r="AD661" s="693"/>
      <c r="AE661" s="693"/>
      <c r="AF661" s="693"/>
    </row>
    <row r="662" spans="1:34" ht="42" x14ac:dyDescent="0.35">
      <c r="A662" s="313"/>
      <c r="B662" s="293"/>
      <c r="C662" s="695" t="s">
        <v>667</v>
      </c>
      <c r="D662" s="689"/>
      <c r="E662" s="690"/>
      <c r="F662" s="694">
        <v>4000000</v>
      </c>
      <c r="G662" s="694">
        <v>4000000</v>
      </c>
      <c r="H662" s="690"/>
      <c r="I662" s="690"/>
      <c r="J662" s="690"/>
      <c r="K662" s="154"/>
      <c r="L662" s="155"/>
      <c r="M662" s="692"/>
      <c r="N662" s="154"/>
      <c r="O662" s="689"/>
      <c r="P662" s="689"/>
      <c r="Q662" s="689"/>
      <c r="R662" s="689"/>
      <c r="S662" s="689"/>
      <c r="T662" s="693"/>
      <c r="U662" s="693"/>
      <c r="V662" s="693"/>
      <c r="W662" s="693"/>
      <c r="X662" s="693"/>
      <c r="Y662" s="693"/>
      <c r="Z662" s="693"/>
      <c r="AA662" s="693"/>
      <c r="AB662" s="693"/>
      <c r="AC662" s="693"/>
      <c r="AD662" s="693"/>
      <c r="AE662" s="693"/>
      <c r="AF662" s="693"/>
    </row>
    <row r="663" spans="1:34" s="413" customFormat="1" ht="63" x14ac:dyDescent="0.35">
      <c r="A663" s="697"/>
      <c r="B663" s="698"/>
      <c r="C663" s="699" t="s">
        <v>668</v>
      </c>
      <c r="D663" s="700"/>
      <c r="E663" s="700"/>
      <c r="F663" s="701">
        <v>3000000</v>
      </c>
      <c r="G663" s="701">
        <v>0</v>
      </c>
      <c r="H663" s="700"/>
      <c r="I663" s="700"/>
      <c r="J663" s="700"/>
      <c r="K663" s="411"/>
      <c r="L663" s="412"/>
      <c r="M663" s="702"/>
      <c r="N663" s="411"/>
      <c r="O663" s="700"/>
      <c r="P663" s="700"/>
      <c r="Q663" s="700"/>
      <c r="R663" s="700"/>
      <c r="S663" s="700"/>
      <c r="T663" s="703"/>
      <c r="U663" s="703"/>
      <c r="V663" s="703"/>
      <c r="W663" s="703"/>
      <c r="X663" s="703"/>
      <c r="Y663" s="703"/>
      <c r="Z663" s="703"/>
      <c r="AA663" s="703"/>
      <c r="AB663" s="703"/>
      <c r="AC663" s="703"/>
      <c r="AD663" s="703"/>
      <c r="AE663" s="703"/>
      <c r="AF663" s="703"/>
      <c r="AG663" s="704"/>
      <c r="AH663" s="704"/>
    </row>
    <row r="664" spans="1:34" s="413" customFormat="1" ht="42" x14ac:dyDescent="0.35">
      <c r="A664" s="697"/>
      <c r="B664" s="698"/>
      <c r="C664" s="699" t="s">
        <v>669</v>
      </c>
      <c r="D664" s="700"/>
      <c r="E664" s="700"/>
      <c r="F664" s="701">
        <v>3000000</v>
      </c>
      <c r="G664" s="701">
        <v>0</v>
      </c>
      <c r="H664" s="700"/>
      <c r="I664" s="700"/>
      <c r="J664" s="700"/>
      <c r="K664" s="411"/>
      <c r="L664" s="412"/>
      <c r="M664" s="702"/>
      <c r="N664" s="411"/>
      <c r="O664" s="700"/>
      <c r="P664" s="700"/>
      <c r="Q664" s="700"/>
      <c r="R664" s="700"/>
      <c r="S664" s="700"/>
      <c r="T664" s="703"/>
      <c r="U664" s="703"/>
      <c r="V664" s="703"/>
      <c r="W664" s="703"/>
      <c r="X664" s="703"/>
      <c r="Y664" s="703"/>
      <c r="Z664" s="703"/>
      <c r="AA664" s="703"/>
      <c r="AB664" s="703"/>
      <c r="AC664" s="703"/>
      <c r="AD664" s="703"/>
      <c r="AE664" s="703"/>
      <c r="AF664" s="703"/>
      <c r="AG664" s="704"/>
      <c r="AH664" s="704"/>
    </row>
    <row r="665" spans="1:34" x14ac:dyDescent="0.35">
      <c r="A665" s="134"/>
      <c r="B665" s="146" t="s">
        <v>111</v>
      </c>
      <c r="C665" s="705"/>
      <c r="D665" s="706">
        <v>243663000</v>
      </c>
      <c r="E665" s="521">
        <v>252168400</v>
      </c>
      <c r="F665" s="526">
        <f>+F666+F673+F688+F700+F703+F711+F714</f>
        <v>169053800</v>
      </c>
      <c r="G665" s="526">
        <f>+G666+G673+G688+G700+G703+G711+G714</f>
        <v>164053800</v>
      </c>
      <c r="H665" s="521"/>
      <c r="I665" s="521">
        <f t="shared" si="187"/>
        <v>164053800</v>
      </c>
      <c r="J665" s="521">
        <f t="shared" si="197"/>
        <v>88114600</v>
      </c>
      <c r="K665" s="136" t="e">
        <f>+#REF!+K728</f>
        <v>#REF!</v>
      </c>
      <c r="L665" s="137" t="e">
        <f>+#REF!+L728</f>
        <v>#REF!</v>
      </c>
      <c r="M665" s="653" t="e">
        <f>+#REF!+M728</f>
        <v>#REF!</v>
      </c>
      <c r="N665" s="137" t="e">
        <f>+#REF!+N728</f>
        <v>#REF!</v>
      </c>
      <c r="O665" s="687"/>
      <c r="P665" s="707"/>
      <c r="Q665" s="687">
        <f t="shared" si="188"/>
        <v>0</v>
      </c>
      <c r="R665" s="687"/>
      <c r="S665" s="687"/>
      <c r="T665" s="654">
        <f>Q717-R717-S717</f>
        <v>-98607129.659999996</v>
      </c>
      <c r="U665" s="654">
        <f t="shared" ref="U665:AF665" si="229">SUM(U717)</f>
        <v>20000000</v>
      </c>
      <c r="V665" s="654">
        <f t="shared" si="229"/>
        <v>20000000</v>
      </c>
      <c r="W665" s="654">
        <f t="shared" si="229"/>
        <v>20000000</v>
      </c>
      <c r="X665" s="654">
        <f t="shared" si="229"/>
        <v>20000000</v>
      </c>
      <c r="Y665" s="654">
        <f t="shared" si="229"/>
        <v>100000000</v>
      </c>
      <c r="Z665" s="654">
        <f t="shared" si="229"/>
        <v>100000000</v>
      </c>
      <c r="AA665" s="654">
        <f t="shared" si="229"/>
        <v>60000000</v>
      </c>
      <c r="AB665" s="654">
        <f t="shared" si="229"/>
        <v>20000000</v>
      </c>
      <c r="AC665" s="654">
        <f t="shared" si="229"/>
        <v>0</v>
      </c>
      <c r="AD665" s="654">
        <f t="shared" si="229"/>
        <v>20000000</v>
      </c>
      <c r="AE665" s="654">
        <f t="shared" si="229"/>
        <v>20000000</v>
      </c>
      <c r="AF665" s="654">
        <f t="shared" si="229"/>
        <v>0</v>
      </c>
    </row>
    <row r="666" spans="1:34" x14ac:dyDescent="0.35">
      <c r="A666" s="313"/>
      <c r="B666" s="72" t="s">
        <v>610</v>
      </c>
      <c r="C666" s="125"/>
      <c r="D666" s="689"/>
      <c r="E666" s="690">
        <v>66984300</v>
      </c>
      <c r="F666" s="691">
        <f>+F667</f>
        <v>14483000</v>
      </c>
      <c r="G666" s="691">
        <f>+G667</f>
        <v>12483000</v>
      </c>
      <c r="H666" s="690"/>
      <c r="I666" s="690">
        <f>+G666-H666</f>
        <v>12483000</v>
      </c>
      <c r="J666" s="690">
        <f>+E666-G666</f>
        <v>54501300</v>
      </c>
      <c r="K666" s="154"/>
      <c r="L666" s="155"/>
      <c r="M666" s="692"/>
      <c r="N666" s="154"/>
      <c r="O666" s="689"/>
      <c r="P666" s="689"/>
      <c r="Q666" s="689">
        <f t="shared" si="188"/>
        <v>0</v>
      </c>
      <c r="R666" s="689"/>
      <c r="S666" s="689"/>
      <c r="T666" s="693"/>
      <c r="U666" s="693"/>
      <c r="V666" s="693"/>
      <c r="W666" s="693"/>
      <c r="X666" s="693"/>
      <c r="Y666" s="693"/>
      <c r="Z666" s="693"/>
      <c r="AA666" s="693"/>
      <c r="AB666" s="693"/>
      <c r="AC666" s="693"/>
      <c r="AD666" s="693"/>
      <c r="AE666" s="693"/>
      <c r="AF666" s="693"/>
    </row>
    <row r="667" spans="1:34" x14ac:dyDescent="0.35">
      <c r="A667" s="313"/>
      <c r="B667" s="293"/>
      <c r="C667" s="406" t="s">
        <v>609</v>
      </c>
      <c r="D667" s="689"/>
      <c r="E667" s="690"/>
      <c r="F667" s="694">
        <f>SUM(F668:F672)</f>
        <v>14483000</v>
      </c>
      <c r="G667" s="694">
        <f>SUM(G668:G672)</f>
        <v>12483000</v>
      </c>
      <c r="H667" s="690"/>
      <c r="I667" s="690"/>
      <c r="J667" s="690"/>
      <c r="K667" s="154"/>
      <c r="L667" s="155"/>
      <c r="M667" s="692"/>
      <c r="N667" s="154"/>
      <c r="O667" s="689"/>
      <c r="P667" s="689"/>
      <c r="Q667" s="689"/>
      <c r="R667" s="689"/>
      <c r="S667" s="689"/>
      <c r="T667" s="693"/>
      <c r="U667" s="693"/>
      <c r="V667" s="693"/>
      <c r="W667" s="693"/>
      <c r="X667" s="693"/>
      <c r="Y667" s="693"/>
      <c r="Z667" s="693"/>
      <c r="AA667" s="693"/>
      <c r="AB667" s="693"/>
      <c r="AC667" s="693"/>
      <c r="AD667" s="693"/>
      <c r="AE667" s="693"/>
      <c r="AF667" s="693"/>
    </row>
    <row r="668" spans="1:34" ht="42" x14ac:dyDescent="0.35">
      <c r="A668" s="313"/>
      <c r="B668" s="293"/>
      <c r="C668" s="695" t="s">
        <v>611</v>
      </c>
      <c r="D668" s="689"/>
      <c r="E668" s="690"/>
      <c r="F668" s="694">
        <v>194700</v>
      </c>
      <c r="G668" s="694">
        <v>194700</v>
      </c>
      <c r="H668" s="690"/>
      <c r="I668" s="690"/>
      <c r="J668" s="690"/>
      <c r="K668" s="154"/>
      <c r="L668" s="155"/>
      <c r="M668" s="692"/>
      <c r="N668" s="154"/>
      <c r="O668" s="689"/>
      <c r="P668" s="689"/>
      <c r="Q668" s="689"/>
      <c r="R668" s="689"/>
      <c r="S668" s="689"/>
      <c r="T668" s="693"/>
      <c r="U668" s="693"/>
      <c r="V668" s="693"/>
      <c r="W668" s="693"/>
      <c r="X668" s="693"/>
      <c r="Y668" s="693"/>
      <c r="Z668" s="693"/>
      <c r="AA668" s="693"/>
      <c r="AB668" s="693"/>
      <c r="AC668" s="693"/>
      <c r="AD668" s="693"/>
      <c r="AE668" s="693"/>
      <c r="AF668" s="693"/>
    </row>
    <row r="669" spans="1:34" ht="42" x14ac:dyDescent="0.35">
      <c r="A669" s="313"/>
      <c r="B669" s="293"/>
      <c r="C669" s="695" t="s">
        <v>612</v>
      </c>
      <c r="D669" s="689"/>
      <c r="E669" s="690"/>
      <c r="F669" s="694">
        <v>4108200</v>
      </c>
      <c r="G669" s="694">
        <v>4108200</v>
      </c>
      <c r="H669" s="690"/>
      <c r="I669" s="690"/>
      <c r="J669" s="690"/>
      <c r="K669" s="154"/>
      <c r="L669" s="155"/>
      <c r="M669" s="692"/>
      <c r="N669" s="154"/>
      <c r="O669" s="689"/>
      <c r="P669" s="689"/>
      <c r="Q669" s="689"/>
      <c r="R669" s="689"/>
      <c r="S669" s="689"/>
      <c r="T669" s="693"/>
      <c r="U669" s="693"/>
      <c r="V669" s="693"/>
      <c r="W669" s="693"/>
      <c r="X669" s="693"/>
      <c r="Y669" s="693"/>
      <c r="Z669" s="693"/>
      <c r="AA669" s="693"/>
      <c r="AB669" s="693"/>
      <c r="AC669" s="693"/>
      <c r="AD669" s="693"/>
      <c r="AE669" s="693"/>
      <c r="AF669" s="693"/>
    </row>
    <row r="670" spans="1:34" s="413" customFormat="1" x14ac:dyDescent="0.35">
      <c r="A670" s="697"/>
      <c r="B670" s="698"/>
      <c r="C670" s="699" t="s">
        <v>613</v>
      </c>
      <c r="D670" s="700"/>
      <c r="E670" s="700"/>
      <c r="F670" s="701">
        <v>9604000</v>
      </c>
      <c r="G670" s="701">
        <f>9604000-2000000</f>
        <v>7604000</v>
      </c>
      <c r="H670" s="700"/>
      <c r="I670" s="700"/>
      <c r="J670" s="700"/>
      <c r="K670" s="411"/>
      <c r="L670" s="412"/>
      <c r="M670" s="702"/>
      <c r="N670" s="411"/>
      <c r="O670" s="700"/>
      <c r="P670" s="700"/>
      <c r="Q670" s="700"/>
      <c r="R670" s="700"/>
      <c r="S670" s="700"/>
      <c r="T670" s="703"/>
      <c r="U670" s="703"/>
      <c r="V670" s="703"/>
      <c r="W670" s="703"/>
      <c r="X670" s="703"/>
      <c r="Y670" s="703"/>
      <c r="Z670" s="703"/>
      <c r="AA670" s="703"/>
      <c r="AB670" s="703"/>
      <c r="AC670" s="703"/>
      <c r="AD670" s="703"/>
      <c r="AE670" s="703"/>
      <c r="AF670" s="703"/>
      <c r="AG670" s="704"/>
      <c r="AH670" s="704"/>
    </row>
    <row r="671" spans="1:34" ht="42" x14ac:dyDescent="0.35">
      <c r="A671" s="313"/>
      <c r="B671" s="293"/>
      <c r="C671" s="695" t="s">
        <v>614</v>
      </c>
      <c r="D671" s="689"/>
      <c r="E671" s="690"/>
      <c r="F671" s="694">
        <v>257100</v>
      </c>
      <c r="G671" s="694">
        <v>257100</v>
      </c>
      <c r="H671" s="690"/>
      <c r="I671" s="690"/>
      <c r="J671" s="690"/>
      <c r="K671" s="154"/>
      <c r="L671" s="155"/>
      <c r="M671" s="692"/>
      <c r="N671" s="154"/>
      <c r="O671" s="689"/>
      <c r="P671" s="689"/>
      <c r="Q671" s="689"/>
      <c r="R671" s="689"/>
      <c r="S671" s="689"/>
      <c r="T671" s="693"/>
      <c r="U671" s="693"/>
      <c r="V671" s="693"/>
      <c r="W671" s="693"/>
      <c r="X671" s="693"/>
      <c r="Y671" s="693"/>
      <c r="Z671" s="693"/>
      <c r="AA671" s="693"/>
      <c r="AB671" s="693"/>
      <c r="AC671" s="693"/>
      <c r="AD671" s="693"/>
      <c r="AE671" s="693"/>
      <c r="AF671" s="693"/>
    </row>
    <row r="672" spans="1:34" ht="42" x14ac:dyDescent="0.35">
      <c r="A672" s="313"/>
      <c r="B672" s="293"/>
      <c r="C672" s="695" t="s">
        <v>615</v>
      </c>
      <c r="D672" s="689"/>
      <c r="E672" s="690"/>
      <c r="F672" s="694">
        <v>319000</v>
      </c>
      <c r="G672" s="694">
        <v>319000</v>
      </c>
      <c r="H672" s="690"/>
      <c r="I672" s="690"/>
      <c r="J672" s="690"/>
      <c r="K672" s="154"/>
      <c r="L672" s="155"/>
      <c r="M672" s="692"/>
      <c r="N672" s="154"/>
      <c r="O672" s="689"/>
      <c r="P672" s="689"/>
      <c r="Q672" s="689"/>
      <c r="R672" s="689"/>
      <c r="S672" s="689"/>
      <c r="T672" s="693"/>
      <c r="U672" s="693"/>
      <c r="V672" s="693"/>
      <c r="W672" s="693"/>
      <c r="X672" s="693"/>
      <c r="Y672" s="693"/>
      <c r="Z672" s="693"/>
      <c r="AA672" s="693"/>
      <c r="AB672" s="693"/>
      <c r="AC672" s="693"/>
      <c r="AD672" s="693"/>
      <c r="AE672" s="693"/>
      <c r="AF672" s="693"/>
    </row>
    <row r="673" spans="1:34" x14ac:dyDescent="0.35">
      <c r="A673" s="313"/>
      <c r="B673" s="72" t="s">
        <v>616</v>
      </c>
      <c r="C673" s="125"/>
      <c r="D673" s="689"/>
      <c r="E673" s="690">
        <v>66984300</v>
      </c>
      <c r="F673" s="691">
        <f>+F674+F685</f>
        <v>66669600</v>
      </c>
      <c r="G673" s="691">
        <f>+G674+G685</f>
        <v>63669600</v>
      </c>
      <c r="H673" s="690"/>
      <c r="I673" s="690">
        <f>+G673-H673</f>
        <v>63669600</v>
      </c>
      <c r="J673" s="690">
        <f>+E673-G673</f>
        <v>3314700</v>
      </c>
      <c r="K673" s="154"/>
      <c r="L673" s="155"/>
      <c r="M673" s="692"/>
      <c r="N673" s="154"/>
      <c r="O673" s="689"/>
      <c r="P673" s="689"/>
      <c r="Q673" s="689">
        <f t="shared" ref="Q673" si="230">+O673-P673</f>
        <v>0</v>
      </c>
      <c r="R673" s="689"/>
      <c r="S673" s="689"/>
      <c r="T673" s="693"/>
      <c r="U673" s="693"/>
      <c r="V673" s="693"/>
      <c r="W673" s="693"/>
      <c r="X673" s="693"/>
      <c r="Y673" s="693"/>
      <c r="Z673" s="693"/>
      <c r="AA673" s="693"/>
      <c r="AB673" s="693"/>
      <c r="AC673" s="693"/>
      <c r="AD673" s="693"/>
      <c r="AE673" s="693"/>
      <c r="AF673" s="693"/>
    </row>
    <row r="674" spans="1:34" ht="42" x14ac:dyDescent="0.35">
      <c r="A674" s="313"/>
      <c r="B674" s="293"/>
      <c r="C674" s="406" t="s">
        <v>617</v>
      </c>
      <c r="D674" s="689"/>
      <c r="E674" s="690"/>
      <c r="F674" s="694">
        <f>SUM(F675:F684)</f>
        <v>19860500</v>
      </c>
      <c r="G674" s="694">
        <f>SUM(G675:G684)</f>
        <v>19860500</v>
      </c>
      <c r="H674" s="690"/>
      <c r="I674" s="690"/>
      <c r="J674" s="690"/>
      <c r="K674" s="154"/>
      <c r="L674" s="155"/>
      <c r="M674" s="692"/>
      <c r="N674" s="154"/>
      <c r="O674" s="689"/>
      <c r="P674" s="689"/>
      <c r="Q674" s="689"/>
      <c r="R674" s="689"/>
      <c r="S674" s="689"/>
      <c r="T674" s="693"/>
      <c r="U674" s="693"/>
      <c r="V674" s="693"/>
      <c r="W674" s="693"/>
      <c r="X674" s="693"/>
      <c r="Y674" s="693"/>
      <c r="Z674" s="693"/>
      <c r="AA674" s="693"/>
      <c r="AB674" s="693"/>
      <c r="AC674" s="693"/>
      <c r="AD674" s="693"/>
      <c r="AE674" s="693"/>
      <c r="AF674" s="693"/>
    </row>
    <row r="675" spans="1:34" ht="42" x14ac:dyDescent="0.35">
      <c r="A675" s="313"/>
      <c r="B675" s="293"/>
      <c r="C675" s="695" t="s">
        <v>618</v>
      </c>
      <c r="D675" s="689"/>
      <c r="E675" s="690"/>
      <c r="F675" s="694">
        <v>3353500</v>
      </c>
      <c r="G675" s="694">
        <v>3353500</v>
      </c>
      <c r="H675" s="690"/>
      <c r="I675" s="690"/>
      <c r="J675" s="690"/>
      <c r="K675" s="154"/>
      <c r="L675" s="155"/>
      <c r="M675" s="692"/>
      <c r="N675" s="154"/>
      <c r="O675" s="689"/>
      <c r="P675" s="689"/>
      <c r="Q675" s="689"/>
      <c r="R675" s="689"/>
      <c r="S675" s="689"/>
      <c r="T675" s="693"/>
      <c r="U675" s="693"/>
      <c r="V675" s="693"/>
      <c r="W675" s="693"/>
      <c r="X675" s="693"/>
      <c r="Y675" s="693"/>
      <c r="Z675" s="693"/>
      <c r="AA675" s="693"/>
      <c r="AB675" s="693"/>
      <c r="AC675" s="693"/>
      <c r="AD675" s="693"/>
      <c r="AE675" s="693"/>
      <c r="AF675" s="693"/>
    </row>
    <row r="676" spans="1:34" ht="63" x14ac:dyDescent="0.35">
      <c r="A676" s="313"/>
      <c r="B676" s="293"/>
      <c r="C676" s="695" t="s">
        <v>619</v>
      </c>
      <c r="D676" s="689"/>
      <c r="E676" s="690"/>
      <c r="F676" s="694">
        <v>500700.00000000006</v>
      </c>
      <c r="G676" s="694">
        <v>500700.00000000006</v>
      </c>
      <c r="H676" s="690"/>
      <c r="I676" s="690"/>
      <c r="J676" s="690"/>
      <c r="K676" s="154"/>
      <c r="L676" s="155"/>
      <c r="M676" s="692"/>
      <c r="N676" s="154"/>
      <c r="O676" s="689"/>
      <c r="P676" s="689"/>
      <c r="Q676" s="689"/>
      <c r="R676" s="689"/>
      <c r="S676" s="689"/>
      <c r="T676" s="693"/>
      <c r="U676" s="693"/>
      <c r="V676" s="693"/>
      <c r="W676" s="693"/>
      <c r="X676" s="693"/>
      <c r="Y676" s="693"/>
      <c r="Z676" s="693"/>
      <c r="AA676" s="693"/>
      <c r="AB676" s="693"/>
      <c r="AC676" s="693"/>
      <c r="AD676" s="693"/>
      <c r="AE676" s="693"/>
      <c r="AF676" s="693"/>
    </row>
    <row r="677" spans="1:34" x14ac:dyDescent="0.35">
      <c r="A677" s="313"/>
      <c r="B677" s="293"/>
      <c r="C677" s="695" t="s">
        <v>620</v>
      </c>
      <c r="D677" s="689"/>
      <c r="E677" s="690"/>
      <c r="F677" s="694">
        <v>714600</v>
      </c>
      <c r="G677" s="694">
        <v>714600</v>
      </c>
      <c r="H677" s="690"/>
      <c r="I677" s="690"/>
      <c r="J677" s="690"/>
      <c r="K677" s="154"/>
      <c r="L677" s="155"/>
      <c r="M677" s="692"/>
      <c r="N677" s="154"/>
      <c r="O677" s="689"/>
      <c r="P677" s="689"/>
      <c r="Q677" s="689"/>
      <c r="R677" s="689"/>
      <c r="S677" s="689"/>
      <c r="T677" s="693"/>
      <c r="U677" s="693"/>
      <c r="V677" s="693"/>
      <c r="W677" s="693"/>
      <c r="X677" s="693"/>
      <c r="Y677" s="693"/>
      <c r="Z677" s="693"/>
      <c r="AA677" s="693"/>
      <c r="AB677" s="693"/>
      <c r="AC677" s="693"/>
      <c r="AD677" s="693"/>
      <c r="AE677" s="693"/>
      <c r="AF677" s="693"/>
    </row>
    <row r="678" spans="1:34" x14ac:dyDescent="0.35">
      <c r="A678" s="313"/>
      <c r="B678" s="293"/>
      <c r="C678" s="695" t="s">
        <v>621</v>
      </c>
      <c r="D678" s="689"/>
      <c r="E678" s="690"/>
      <c r="F678" s="694">
        <v>907300</v>
      </c>
      <c r="G678" s="694">
        <v>907300</v>
      </c>
      <c r="H678" s="690"/>
      <c r="I678" s="690"/>
      <c r="J678" s="690"/>
      <c r="K678" s="154"/>
      <c r="L678" s="155"/>
      <c r="M678" s="692"/>
      <c r="N678" s="154"/>
      <c r="O678" s="689"/>
      <c r="P678" s="689"/>
      <c r="Q678" s="689"/>
      <c r="R678" s="689"/>
      <c r="S678" s="689"/>
      <c r="T678" s="693"/>
      <c r="U678" s="693"/>
      <c r="V678" s="693"/>
      <c r="W678" s="693"/>
      <c r="X678" s="693"/>
      <c r="Y678" s="693"/>
      <c r="Z678" s="693"/>
      <c r="AA678" s="693"/>
      <c r="AB678" s="693"/>
      <c r="AC678" s="693"/>
      <c r="AD678" s="693"/>
      <c r="AE678" s="693"/>
      <c r="AF678" s="693"/>
    </row>
    <row r="679" spans="1:34" ht="42" x14ac:dyDescent="0.35">
      <c r="A679" s="313"/>
      <c r="B679" s="293"/>
      <c r="C679" s="695" t="s">
        <v>622</v>
      </c>
      <c r="D679" s="689"/>
      <c r="E679" s="690"/>
      <c r="F679" s="694">
        <v>322200</v>
      </c>
      <c r="G679" s="694">
        <v>322200</v>
      </c>
      <c r="H679" s="690"/>
      <c r="I679" s="690"/>
      <c r="J679" s="690"/>
      <c r="K679" s="154"/>
      <c r="L679" s="155"/>
      <c r="M679" s="692"/>
      <c r="N679" s="154"/>
      <c r="O679" s="689"/>
      <c r="P679" s="689"/>
      <c r="Q679" s="689"/>
      <c r="R679" s="689"/>
      <c r="S679" s="689"/>
      <c r="T679" s="693"/>
      <c r="U679" s="693"/>
      <c r="V679" s="693"/>
      <c r="W679" s="693"/>
      <c r="X679" s="693"/>
      <c r="Y679" s="693"/>
      <c r="Z679" s="693"/>
      <c r="AA679" s="693"/>
      <c r="AB679" s="693"/>
      <c r="AC679" s="693"/>
      <c r="AD679" s="693"/>
      <c r="AE679" s="693"/>
      <c r="AF679" s="693"/>
    </row>
    <row r="680" spans="1:34" x14ac:dyDescent="0.35">
      <c r="A680" s="313"/>
      <c r="B680" s="293"/>
      <c r="C680" s="695" t="s">
        <v>623</v>
      </c>
      <c r="D680" s="689"/>
      <c r="E680" s="690"/>
      <c r="F680" s="694">
        <v>582000</v>
      </c>
      <c r="G680" s="694">
        <v>582000</v>
      </c>
      <c r="H680" s="690"/>
      <c r="I680" s="690"/>
      <c r="J680" s="690"/>
      <c r="K680" s="154"/>
      <c r="L680" s="155"/>
      <c r="M680" s="692"/>
      <c r="N680" s="154"/>
      <c r="O680" s="689"/>
      <c r="P680" s="689"/>
      <c r="Q680" s="689"/>
      <c r="R680" s="689"/>
      <c r="S680" s="689"/>
      <c r="T680" s="693"/>
      <c r="U680" s="693"/>
      <c r="V680" s="693"/>
      <c r="W680" s="693"/>
      <c r="X680" s="693"/>
      <c r="Y680" s="693"/>
      <c r="Z680" s="693"/>
      <c r="AA680" s="693"/>
      <c r="AB680" s="693"/>
      <c r="AC680" s="693"/>
      <c r="AD680" s="693"/>
      <c r="AE680" s="693"/>
      <c r="AF680" s="693"/>
    </row>
    <row r="681" spans="1:34" ht="42" x14ac:dyDescent="0.35">
      <c r="A681" s="313"/>
      <c r="B681" s="293"/>
      <c r="C681" s="695" t="s">
        <v>624</v>
      </c>
      <c r="D681" s="689"/>
      <c r="E681" s="690"/>
      <c r="F681" s="694">
        <v>1001500</v>
      </c>
      <c r="G681" s="694">
        <v>1001500</v>
      </c>
      <c r="H681" s="690"/>
      <c r="I681" s="690"/>
      <c r="J681" s="690"/>
      <c r="K681" s="154"/>
      <c r="L681" s="155"/>
      <c r="M681" s="692"/>
      <c r="N681" s="154"/>
      <c r="O681" s="689"/>
      <c r="P681" s="689"/>
      <c r="Q681" s="689"/>
      <c r="R681" s="689"/>
      <c r="S681" s="689"/>
      <c r="T681" s="693"/>
      <c r="U681" s="693"/>
      <c r="V681" s="693"/>
      <c r="W681" s="693"/>
      <c r="X681" s="693"/>
      <c r="Y681" s="693"/>
      <c r="Z681" s="693"/>
      <c r="AA681" s="693"/>
      <c r="AB681" s="693"/>
      <c r="AC681" s="693"/>
      <c r="AD681" s="693"/>
      <c r="AE681" s="693"/>
      <c r="AF681" s="693"/>
    </row>
    <row r="682" spans="1:34" ht="42" x14ac:dyDescent="0.35">
      <c r="A682" s="313"/>
      <c r="B682" s="293"/>
      <c r="C682" s="695" t="s">
        <v>625</v>
      </c>
      <c r="D682" s="689"/>
      <c r="E682" s="690"/>
      <c r="F682" s="694">
        <v>6865800</v>
      </c>
      <c r="G682" s="694">
        <v>6865800</v>
      </c>
      <c r="H682" s="690"/>
      <c r="I682" s="690"/>
      <c r="J682" s="690"/>
      <c r="K682" s="154"/>
      <c r="L682" s="155"/>
      <c r="M682" s="692"/>
      <c r="N682" s="154"/>
      <c r="O682" s="689"/>
      <c r="P682" s="689"/>
      <c r="Q682" s="689"/>
      <c r="R682" s="689"/>
      <c r="S682" s="689"/>
      <c r="T682" s="693"/>
      <c r="U682" s="693"/>
      <c r="V682" s="693"/>
      <c r="W682" s="693"/>
      <c r="X682" s="693"/>
      <c r="Y682" s="693"/>
      <c r="Z682" s="693"/>
      <c r="AA682" s="693"/>
      <c r="AB682" s="693"/>
      <c r="AC682" s="693"/>
      <c r="AD682" s="693"/>
      <c r="AE682" s="693"/>
      <c r="AF682" s="693"/>
    </row>
    <row r="683" spans="1:34" x14ac:dyDescent="0.35">
      <c r="A683" s="313"/>
      <c r="B683" s="293"/>
      <c r="C683" s="695" t="s">
        <v>626</v>
      </c>
      <c r="D683" s="689"/>
      <c r="E683" s="690"/>
      <c r="F683" s="694">
        <v>1489700</v>
      </c>
      <c r="G683" s="694">
        <v>1489700</v>
      </c>
      <c r="H683" s="690"/>
      <c r="I683" s="690"/>
      <c r="J683" s="690"/>
      <c r="K683" s="154"/>
      <c r="L683" s="155"/>
      <c r="M683" s="692"/>
      <c r="N683" s="154"/>
      <c r="O683" s="689"/>
      <c r="P683" s="689"/>
      <c r="Q683" s="689"/>
      <c r="R683" s="689"/>
      <c r="S683" s="689"/>
      <c r="T683" s="693"/>
      <c r="U683" s="693"/>
      <c r="V683" s="693"/>
      <c r="W683" s="693"/>
      <c r="X683" s="693"/>
      <c r="Y683" s="693"/>
      <c r="Z683" s="693"/>
      <c r="AA683" s="693"/>
      <c r="AB683" s="693"/>
      <c r="AC683" s="693"/>
      <c r="AD683" s="693"/>
      <c r="AE683" s="693"/>
      <c r="AF683" s="693"/>
    </row>
    <row r="684" spans="1:34" ht="42" x14ac:dyDescent="0.35">
      <c r="A684" s="313"/>
      <c r="B684" s="293"/>
      <c r="C684" s="695" t="s">
        <v>627</v>
      </c>
      <c r="D684" s="689"/>
      <c r="E684" s="690"/>
      <c r="F684" s="694">
        <v>4123199.9999999995</v>
      </c>
      <c r="G684" s="694">
        <v>4123199.9999999995</v>
      </c>
      <c r="H684" s="690"/>
      <c r="I684" s="690"/>
      <c r="J684" s="690"/>
      <c r="K684" s="154"/>
      <c r="L684" s="155"/>
      <c r="M684" s="692"/>
      <c r="N684" s="154"/>
      <c r="O684" s="689"/>
      <c r="P684" s="689"/>
      <c r="Q684" s="689"/>
      <c r="R684" s="689"/>
      <c r="S684" s="689"/>
      <c r="T684" s="693"/>
      <c r="U684" s="693"/>
      <c r="V684" s="693"/>
      <c r="W684" s="693"/>
      <c r="X684" s="693"/>
      <c r="Y684" s="693"/>
      <c r="Z684" s="693"/>
      <c r="AA684" s="693"/>
      <c r="AB684" s="693"/>
      <c r="AC684" s="693"/>
      <c r="AD684" s="693"/>
      <c r="AE684" s="693"/>
      <c r="AF684" s="693"/>
    </row>
    <row r="685" spans="1:34" ht="42" x14ac:dyDescent="0.35">
      <c r="A685" s="313"/>
      <c r="B685" s="293"/>
      <c r="C685" s="406" t="s">
        <v>646</v>
      </c>
      <c r="D685" s="689"/>
      <c r="E685" s="690"/>
      <c r="F685" s="694">
        <f>SUM(F686:F687)</f>
        <v>46809100</v>
      </c>
      <c r="G685" s="694">
        <f>SUM(G686:G687)</f>
        <v>43809100</v>
      </c>
      <c r="H685" s="690"/>
      <c r="I685" s="690"/>
      <c r="J685" s="690"/>
      <c r="K685" s="154"/>
      <c r="L685" s="155"/>
      <c r="M685" s="692"/>
      <c r="N685" s="154"/>
      <c r="O685" s="689"/>
      <c r="P685" s="689"/>
      <c r="Q685" s="689"/>
      <c r="R685" s="689"/>
      <c r="S685" s="689"/>
      <c r="T685" s="693"/>
      <c r="U685" s="693"/>
      <c r="V685" s="693"/>
      <c r="W685" s="693"/>
      <c r="X685" s="693"/>
      <c r="Y685" s="693"/>
      <c r="Z685" s="693"/>
      <c r="AA685" s="693"/>
      <c r="AB685" s="693"/>
      <c r="AC685" s="693"/>
      <c r="AD685" s="693"/>
      <c r="AE685" s="693"/>
      <c r="AF685" s="693"/>
    </row>
    <row r="686" spans="1:34" s="413" customFormat="1" ht="63" x14ac:dyDescent="0.35">
      <c r="A686" s="697"/>
      <c r="B686" s="698"/>
      <c r="C686" s="708" t="s">
        <v>647</v>
      </c>
      <c r="D686" s="700"/>
      <c r="E686" s="700"/>
      <c r="F686" s="701">
        <v>31320000</v>
      </c>
      <c r="G686" s="701">
        <v>28320000</v>
      </c>
      <c r="H686" s="700"/>
      <c r="I686" s="700"/>
      <c r="J686" s="700"/>
      <c r="K686" s="411"/>
      <c r="L686" s="412"/>
      <c r="M686" s="702"/>
      <c r="N686" s="411"/>
      <c r="O686" s="700"/>
      <c r="P686" s="700"/>
      <c r="Q686" s="700"/>
      <c r="R686" s="700"/>
      <c r="S686" s="700"/>
      <c r="T686" s="703"/>
      <c r="U686" s="703"/>
      <c r="V686" s="703"/>
      <c r="W686" s="703"/>
      <c r="X686" s="703"/>
      <c r="Y686" s="703"/>
      <c r="Z686" s="703"/>
      <c r="AA686" s="703"/>
      <c r="AB686" s="703"/>
      <c r="AC686" s="703"/>
      <c r="AD686" s="703"/>
      <c r="AE686" s="703"/>
      <c r="AF686" s="703"/>
      <c r="AG686" s="704"/>
      <c r="AH686" s="704"/>
    </row>
    <row r="687" spans="1:34" x14ac:dyDescent="0.35">
      <c r="A687" s="313"/>
      <c r="B687" s="293"/>
      <c r="C687" s="695" t="s">
        <v>648</v>
      </c>
      <c r="D687" s="689"/>
      <c r="E687" s="690"/>
      <c r="F687" s="694">
        <v>15489100</v>
      </c>
      <c r="G687" s="694">
        <v>15489100</v>
      </c>
      <c r="H687" s="690"/>
      <c r="I687" s="690"/>
      <c r="J687" s="690"/>
      <c r="K687" s="154"/>
      <c r="L687" s="155"/>
      <c r="M687" s="692"/>
      <c r="N687" s="154"/>
      <c r="O687" s="689"/>
      <c r="P687" s="689"/>
      <c r="Q687" s="689"/>
      <c r="R687" s="689"/>
      <c r="S687" s="689"/>
      <c r="T687" s="693"/>
      <c r="U687" s="693"/>
      <c r="V687" s="693"/>
      <c r="W687" s="693"/>
      <c r="X687" s="693"/>
      <c r="Y687" s="693"/>
      <c r="Z687" s="693"/>
      <c r="AA687" s="693"/>
      <c r="AB687" s="693"/>
      <c r="AC687" s="693"/>
      <c r="AD687" s="693"/>
      <c r="AE687" s="693"/>
      <c r="AF687" s="693"/>
    </row>
    <row r="688" spans="1:34" x14ac:dyDescent="0.35">
      <c r="A688" s="313"/>
      <c r="B688" s="72" t="s">
        <v>628</v>
      </c>
      <c r="C688" s="125"/>
      <c r="D688" s="689"/>
      <c r="E688" s="690">
        <v>66984300</v>
      </c>
      <c r="F688" s="691">
        <f>+F689</f>
        <v>22320400</v>
      </c>
      <c r="G688" s="691">
        <f>+G689</f>
        <v>22320400</v>
      </c>
      <c r="H688" s="690"/>
      <c r="I688" s="690">
        <f>+G688-H688</f>
        <v>22320400</v>
      </c>
      <c r="J688" s="690">
        <f>+E688-G688</f>
        <v>44663900</v>
      </c>
      <c r="K688" s="154"/>
      <c r="L688" s="155"/>
      <c r="M688" s="692"/>
      <c r="N688" s="154"/>
      <c r="O688" s="689"/>
      <c r="P688" s="689"/>
      <c r="Q688" s="689">
        <f t="shared" ref="Q688" si="231">+O688-P688</f>
        <v>0</v>
      </c>
      <c r="R688" s="689"/>
      <c r="S688" s="689"/>
      <c r="T688" s="693"/>
      <c r="U688" s="693"/>
      <c r="V688" s="693"/>
      <c r="W688" s="693"/>
      <c r="X688" s="693"/>
      <c r="Y688" s="693"/>
      <c r="Z688" s="693"/>
      <c r="AA688" s="693"/>
      <c r="AB688" s="693"/>
      <c r="AC688" s="693"/>
      <c r="AD688" s="693"/>
      <c r="AE688" s="693"/>
      <c r="AF688" s="693"/>
    </row>
    <row r="689" spans="1:32" ht="42" x14ac:dyDescent="0.35">
      <c r="A689" s="313"/>
      <c r="B689" s="293"/>
      <c r="C689" s="406" t="s">
        <v>629</v>
      </c>
      <c r="D689" s="689"/>
      <c r="E689" s="690"/>
      <c r="F689" s="694">
        <f>SUM(F690:F699)</f>
        <v>22320400</v>
      </c>
      <c r="G689" s="694">
        <f>SUM(G690:G699)</f>
        <v>22320400</v>
      </c>
      <c r="H689" s="690"/>
      <c r="I689" s="690"/>
      <c r="J689" s="690"/>
      <c r="K689" s="154"/>
      <c r="L689" s="155"/>
      <c r="M689" s="692"/>
      <c r="N689" s="154"/>
      <c r="O689" s="689"/>
      <c r="P689" s="689"/>
      <c r="Q689" s="689"/>
      <c r="R689" s="689"/>
      <c r="S689" s="689"/>
      <c r="T689" s="693"/>
      <c r="U689" s="693"/>
      <c r="V689" s="693"/>
      <c r="W689" s="693"/>
      <c r="X689" s="693"/>
      <c r="Y689" s="693"/>
      <c r="Z689" s="693"/>
      <c r="AA689" s="693"/>
      <c r="AB689" s="693"/>
      <c r="AC689" s="693"/>
      <c r="AD689" s="693"/>
      <c r="AE689" s="693"/>
      <c r="AF689" s="693"/>
    </row>
    <row r="690" spans="1:32" x14ac:dyDescent="0.35">
      <c r="A690" s="313"/>
      <c r="B690" s="293"/>
      <c r="C690" s="695" t="s">
        <v>637</v>
      </c>
      <c r="D690" s="689"/>
      <c r="E690" s="690"/>
      <c r="F690" s="694">
        <v>284000</v>
      </c>
      <c r="G690" s="694">
        <v>284000</v>
      </c>
      <c r="H690" s="690"/>
      <c r="I690" s="690"/>
      <c r="J690" s="690"/>
      <c r="K690" s="154"/>
      <c r="L690" s="155"/>
      <c r="M690" s="692"/>
      <c r="N690" s="154"/>
      <c r="O690" s="689"/>
      <c r="P690" s="689"/>
      <c r="Q690" s="689"/>
      <c r="R690" s="689"/>
      <c r="S690" s="689"/>
      <c r="T690" s="693"/>
      <c r="U690" s="693"/>
      <c r="V690" s="693"/>
      <c r="W690" s="693"/>
      <c r="X690" s="693"/>
      <c r="Y690" s="693"/>
      <c r="Z690" s="693"/>
      <c r="AA690" s="693"/>
      <c r="AB690" s="693"/>
      <c r="AC690" s="693"/>
      <c r="AD690" s="693"/>
      <c r="AE690" s="693"/>
      <c r="AF690" s="693"/>
    </row>
    <row r="691" spans="1:32" x14ac:dyDescent="0.35">
      <c r="A691" s="313"/>
      <c r="B691" s="293"/>
      <c r="C691" s="695" t="s">
        <v>636</v>
      </c>
      <c r="D691" s="689"/>
      <c r="E691" s="690"/>
      <c r="F691" s="694">
        <v>3430700</v>
      </c>
      <c r="G691" s="694">
        <v>3430700</v>
      </c>
      <c r="H691" s="690"/>
      <c r="I691" s="690"/>
      <c r="J691" s="690"/>
      <c r="K691" s="154"/>
      <c r="L691" s="155"/>
      <c r="M691" s="692"/>
      <c r="N691" s="154"/>
      <c r="O691" s="689"/>
      <c r="P691" s="689"/>
      <c r="Q691" s="689"/>
      <c r="R691" s="689"/>
      <c r="S691" s="689"/>
      <c r="T691" s="693"/>
      <c r="U691" s="693"/>
      <c r="V691" s="693"/>
      <c r="W691" s="693"/>
      <c r="X691" s="693"/>
      <c r="Y691" s="693"/>
      <c r="Z691" s="693"/>
      <c r="AA691" s="693"/>
      <c r="AB691" s="693"/>
      <c r="AC691" s="693"/>
      <c r="AD691" s="693"/>
      <c r="AE691" s="693"/>
      <c r="AF691" s="693"/>
    </row>
    <row r="692" spans="1:32" x14ac:dyDescent="0.35">
      <c r="A692" s="313"/>
      <c r="B692" s="293"/>
      <c r="C692" s="695" t="s">
        <v>635</v>
      </c>
      <c r="D692" s="689"/>
      <c r="E692" s="690"/>
      <c r="F692" s="694">
        <v>4039600</v>
      </c>
      <c r="G692" s="694">
        <v>4039600</v>
      </c>
      <c r="H692" s="690"/>
      <c r="I692" s="690"/>
      <c r="J692" s="690"/>
      <c r="K692" s="154"/>
      <c r="L692" s="155"/>
      <c r="M692" s="692"/>
      <c r="N692" s="154"/>
      <c r="O692" s="689"/>
      <c r="P692" s="689"/>
      <c r="Q692" s="689"/>
      <c r="R692" s="689"/>
      <c r="S692" s="689"/>
      <c r="T692" s="693"/>
      <c r="U692" s="693"/>
      <c r="V692" s="693"/>
      <c r="W692" s="693"/>
      <c r="X692" s="693"/>
      <c r="Y692" s="693"/>
      <c r="Z692" s="693"/>
      <c r="AA692" s="693"/>
      <c r="AB692" s="693"/>
      <c r="AC692" s="693"/>
      <c r="AD692" s="693"/>
      <c r="AE692" s="693"/>
      <c r="AF692" s="693"/>
    </row>
    <row r="693" spans="1:32" x14ac:dyDescent="0.35">
      <c r="A693" s="313"/>
      <c r="B693" s="293"/>
      <c r="C693" s="695" t="s">
        <v>680</v>
      </c>
      <c r="D693" s="689"/>
      <c r="E693" s="690"/>
      <c r="F693" s="694">
        <v>90400</v>
      </c>
      <c r="G693" s="694">
        <v>90400</v>
      </c>
      <c r="H693" s="690"/>
      <c r="I693" s="690"/>
      <c r="J693" s="690"/>
      <c r="K693" s="154"/>
      <c r="L693" s="155"/>
      <c r="M693" s="692"/>
      <c r="N693" s="154"/>
      <c r="O693" s="689"/>
      <c r="P693" s="689"/>
      <c r="Q693" s="689"/>
      <c r="R693" s="689"/>
      <c r="S693" s="689"/>
      <c r="T693" s="693"/>
      <c r="U693" s="693"/>
      <c r="V693" s="693"/>
      <c r="W693" s="693"/>
      <c r="X693" s="693"/>
      <c r="Y693" s="693"/>
      <c r="Z693" s="693"/>
      <c r="AA693" s="693"/>
      <c r="AB693" s="693"/>
      <c r="AC693" s="693"/>
      <c r="AD693" s="693"/>
      <c r="AE693" s="693"/>
      <c r="AF693" s="693"/>
    </row>
    <row r="694" spans="1:32" x14ac:dyDescent="0.35">
      <c r="A694" s="313"/>
      <c r="B694" s="293"/>
      <c r="C694" s="695" t="s">
        <v>681</v>
      </c>
      <c r="D694" s="689"/>
      <c r="E694" s="690"/>
      <c r="F694" s="694">
        <v>2509200</v>
      </c>
      <c r="G694" s="694">
        <v>2509200</v>
      </c>
      <c r="H694" s="690"/>
      <c r="I694" s="690"/>
      <c r="J694" s="690"/>
      <c r="K694" s="154"/>
      <c r="L694" s="155"/>
      <c r="M694" s="692"/>
      <c r="N694" s="154"/>
      <c r="O694" s="689"/>
      <c r="P694" s="689"/>
      <c r="Q694" s="689"/>
      <c r="R694" s="689"/>
      <c r="S694" s="689"/>
      <c r="T694" s="693"/>
      <c r="U694" s="693"/>
      <c r="V694" s="693"/>
      <c r="W694" s="693"/>
      <c r="X694" s="693"/>
      <c r="Y694" s="693"/>
      <c r="Z694" s="693"/>
      <c r="AA694" s="693"/>
      <c r="AB694" s="693"/>
      <c r="AC694" s="693"/>
      <c r="AD694" s="693"/>
      <c r="AE694" s="693"/>
      <c r="AF694" s="693"/>
    </row>
    <row r="695" spans="1:32" ht="42" x14ac:dyDescent="0.35">
      <c r="A695" s="313"/>
      <c r="B695" s="293"/>
      <c r="C695" s="695" t="s">
        <v>684</v>
      </c>
      <c r="D695" s="689"/>
      <c r="E695" s="690"/>
      <c r="F695" s="694">
        <v>637200</v>
      </c>
      <c r="G695" s="694">
        <v>637200</v>
      </c>
      <c r="H695" s="690"/>
      <c r="I695" s="690"/>
      <c r="J695" s="690"/>
      <c r="K695" s="154"/>
      <c r="L695" s="155"/>
      <c r="M695" s="692"/>
      <c r="N695" s="154"/>
      <c r="O695" s="689"/>
      <c r="P695" s="689"/>
      <c r="Q695" s="689"/>
      <c r="R695" s="689"/>
      <c r="S695" s="689"/>
      <c r="T695" s="693"/>
      <c r="U695" s="693"/>
      <c r="V695" s="693"/>
      <c r="W695" s="693"/>
      <c r="X695" s="693"/>
      <c r="Y695" s="693"/>
      <c r="Z695" s="693"/>
      <c r="AA695" s="693"/>
      <c r="AB695" s="693"/>
      <c r="AC695" s="693"/>
      <c r="AD695" s="693"/>
      <c r="AE695" s="693"/>
      <c r="AF695" s="693"/>
    </row>
    <row r="696" spans="1:32" x14ac:dyDescent="0.35">
      <c r="A696" s="313"/>
      <c r="B696" s="293"/>
      <c r="C696" s="695" t="s">
        <v>682</v>
      </c>
      <c r="D696" s="689"/>
      <c r="E696" s="690"/>
      <c r="F696" s="694">
        <v>2142800</v>
      </c>
      <c r="G696" s="694">
        <v>2142800</v>
      </c>
      <c r="H696" s="690"/>
      <c r="I696" s="690"/>
      <c r="J696" s="690"/>
      <c r="K696" s="154"/>
      <c r="L696" s="155"/>
      <c r="M696" s="692"/>
      <c r="N696" s="154"/>
      <c r="O696" s="689"/>
      <c r="P696" s="689"/>
      <c r="Q696" s="689"/>
      <c r="R696" s="689"/>
      <c r="S696" s="689"/>
      <c r="T696" s="693"/>
      <c r="U696" s="693"/>
      <c r="V696" s="693"/>
      <c r="W696" s="693"/>
      <c r="X696" s="693"/>
      <c r="Y696" s="693"/>
      <c r="Z696" s="693"/>
      <c r="AA696" s="693"/>
      <c r="AB696" s="693"/>
      <c r="AC696" s="693"/>
      <c r="AD696" s="693"/>
      <c r="AE696" s="693"/>
      <c r="AF696" s="693"/>
    </row>
    <row r="697" spans="1:32" x14ac:dyDescent="0.35">
      <c r="A697" s="313"/>
      <c r="B697" s="293"/>
      <c r="C697" s="695" t="s">
        <v>683</v>
      </c>
      <c r="D697" s="689"/>
      <c r="E697" s="690"/>
      <c r="F697" s="694">
        <v>669600</v>
      </c>
      <c r="G697" s="694">
        <v>669600</v>
      </c>
      <c r="H697" s="690"/>
      <c r="I697" s="690"/>
      <c r="J697" s="690"/>
      <c r="K697" s="154"/>
      <c r="L697" s="155"/>
      <c r="M697" s="692"/>
      <c r="N697" s="154"/>
      <c r="O697" s="689"/>
      <c r="P697" s="689"/>
      <c r="Q697" s="689"/>
      <c r="R697" s="689"/>
      <c r="S697" s="689"/>
      <c r="T697" s="693"/>
      <c r="U697" s="693"/>
      <c r="V697" s="693"/>
      <c r="W697" s="693"/>
      <c r="X697" s="693"/>
      <c r="Y697" s="693"/>
      <c r="Z697" s="693"/>
      <c r="AA697" s="693"/>
      <c r="AB697" s="693"/>
      <c r="AC697" s="693"/>
      <c r="AD697" s="693"/>
      <c r="AE697" s="693"/>
      <c r="AF697" s="693"/>
    </row>
    <row r="698" spans="1:32" x14ac:dyDescent="0.35">
      <c r="A698" s="313"/>
      <c r="B698" s="293"/>
      <c r="C698" s="695" t="s">
        <v>634</v>
      </c>
      <c r="D698" s="689"/>
      <c r="E698" s="690"/>
      <c r="F698" s="694">
        <v>1026899.9999999999</v>
      </c>
      <c r="G698" s="694">
        <v>1026899.9999999999</v>
      </c>
      <c r="H698" s="690"/>
      <c r="I698" s="690"/>
      <c r="J698" s="690"/>
      <c r="K698" s="154"/>
      <c r="L698" s="155"/>
      <c r="M698" s="692"/>
      <c r="N698" s="154"/>
      <c r="O698" s="689"/>
      <c r="P698" s="689"/>
      <c r="Q698" s="689"/>
      <c r="R698" s="689"/>
      <c r="S698" s="689"/>
      <c r="T698" s="693"/>
      <c r="U698" s="693"/>
      <c r="V698" s="693"/>
      <c r="W698" s="693"/>
      <c r="X698" s="693"/>
      <c r="Y698" s="693"/>
      <c r="Z698" s="693"/>
      <c r="AA698" s="693"/>
      <c r="AB698" s="693"/>
      <c r="AC698" s="693"/>
      <c r="AD698" s="693"/>
      <c r="AE698" s="693"/>
      <c r="AF698" s="693"/>
    </row>
    <row r="699" spans="1:32" x14ac:dyDescent="0.35">
      <c r="A699" s="313"/>
      <c r="B699" s="293"/>
      <c r="C699" s="695" t="s">
        <v>633</v>
      </c>
      <c r="D699" s="689"/>
      <c r="E699" s="690"/>
      <c r="F699" s="694">
        <v>7490000</v>
      </c>
      <c r="G699" s="694">
        <v>7490000</v>
      </c>
      <c r="H699" s="690"/>
      <c r="I699" s="690"/>
      <c r="J699" s="690"/>
      <c r="K699" s="154"/>
      <c r="L699" s="155"/>
      <c r="M699" s="692"/>
      <c r="N699" s="154"/>
      <c r="O699" s="689"/>
      <c r="P699" s="689"/>
      <c r="Q699" s="689"/>
      <c r="R699" s="689"/>
      <c r="S699" s="689"/>
      <c r="T699" s="693"/>
      <c r="U699" s="693"/>
      <c r="V699" s="693"/>
      <c r="W699" s="693"/>
      <c r="X699" s="693"/>
      <c r="Y699" s="693"/>
      <c r="Z699" s="693"/>
      <c r="AA699" s="693"/>
      <c r="AB699" s="693"/>
      <c r="AC699" s="693"/>
      <c r="AD699" s="693"/>
      <c r="AE699" s="693"/>
      <c r="AF699" s="693"/>
    </row>
    <row r="700" spans="1:32" x14ac:dyDescent="0.35">
      <c r="A700" s="313"/>
      <c r="B700" s="72" t="s">
        <v>630</v>
      </c>
      <c r="C700" s="125"/>
      <c r="D700" s="689"/>
      <c r="E700" s="690">
        <v>66984300</v>
      </c>
      <c r="F700" s="691">
        <f>+F701</f>
        <v>510000</v>
      </c>
      <c r="G700" s="691">
        <f>+G701</f>
        <v>510000</v>
      </c>
      <c r="H700" s="690"/>
      <c r="I700" s="690">
        <f>+G700-H700</f>
        <v>510000</v>
      </c>
      <c r="J700" s="690">
        <f>+E700-G700</f>
        <v>66474300</v>
      </c>
      <c r="K700" s="154"/>
      <c r="L700" s="155"/>
      <c r="M700" s="692"/>
      <c r="N700" s="154"/>
      <c r="O700" s="689"/>
      <c r="P700" s="689"/>
      <c r="Q700" s="689">
        <f t="shared" ref="Q700" si="232">+O700-P700</f>
        <v>0</v>
      </c>
      <c r="R700" s="689"/>
      <c r="S700" s="689"/>
      <c r="T700" s="693"/>
      <c r="U700" s="693"/>
      <c r="V700" s="693"/>
      <c r="W700" s="693"/>
      <c r="X700" s="693"/>
      <c r="Y700" s="693"/>
      <c r="Z700" s="693"/>
      <c r="AA700" s="693"/>
      <c r="AB700" s="693"/>
      <c r="AC700" s="693"/>
      <c r="AD700" s="693"/>
      <c r="AE700" s="693"/>
      <c r="AF700" s="693"/>
    </row>
    <row r="701" spans="1:32" x14ac:dyDescent="0.35">
      <c r="A701" s="313"/>
      <c r="B701" s="293"/>
      <c r="C701" s="406" t="s">
        <v>631</v>
      </c>
      <c r="D701" s="689"/>
      <c r="E701" s="690"/>
      <c r="F701" s="694">
        <f>+F702</f>
        <v>510000</v>
      </c>
      <c r="G701" s="694">
        <f>+G702</f>
        <v>510000</v>
      </c>
      <c r="H701" s="690"/>
      <c r="I701" s="690"/>
      <c r="J701" s="690"/>
      <c r="K701" s="154"/>
      <c r="L701" s="155"/>
      <c r="M701" s="692"/>
      <c r="N701" s="154"/>
      <c r="O701" s="689"/>
      <c r="P701" s="689"/>
      <c r="Q701" s="689"/>
      <c r="R701" s="689"/>
      <c r="S701" s="689"/>
      <c r="T701" s="693"/>
      <c r="U701" s="693"/>
      <c r="V701" s="693"/>
      <c r="W701" s="693"/>
      <c r="X701" s="693"/>
      <c r="Y701" s="693"/>
      <c r="Z701" s="693"/>
      <c r="AA701" s="693"/>
      <c r="AB701" s="693"/>
      <c r="AC701" s="693"/>
      <c r="AD701" s="693"/>
      <c r="AE701" s="693"/>
      <c r="AF701" s="693"/>
    </row>
    <row r="702" spans="1:32" ht="42" x14ac:dyDescent="0.35">
      <c r="A702" s="313"/>
      <c r="B702" s="293"/>
      <c r="C702" s="695" t="s">
        <v>632</v>
      </c>
      <c r="D702" s="689"/>
      <c r="E702" s="690"/>
      <c r="F702" s="694">
        <v>510000</v>
      </c>
      <c r="G702" s="694">
        <v>510000</v>
      </c>
      <c r="H702" s="690"/>
      <c r="I702" s="690"/>
      <c r="J702" s="690"/>
      <c r="K702" s="154"/>
      <c r="L702" s="155"/>
      <c r="M702" s="692"/>
      <c r="N702" s="154"/>
      <c r="O702" s="689"/>
      <c r="P702" s="689"/>
      <c r="Q702" s="689"/>
      <c r="R702" s="689"/>
      <c r="S702" s="689"/>
      <c r="T702" s="693"/>
      <c r="U702" s="693"/>
      <c r="V702" s="693"/>
      <c r="W702" s="693"/>
      <c r="X702" s="693"/>
      <c r="Y702" s="693"/>
      <c r="Z702" s="693"/>
      <c r="AA702" s="693"/>
      <c r="AB702" s="693"/>
      <c r="AC702" s="693"/>
      <c r="AD702" s="693"/>
      <c r="AE702" s="693"/>
      <c r="AF702" s="693"/>
    </row>
    <row r="703" spans="1:32" x14ac:dyDescent="0.35">
      <c r="A703" s="313"/>
      <c r="B703" s="72" t="s">
        <v>638</v>
      </c>
      <c r="C703" s="125"/>
      <c r="D703" s="689"/>
      <c r="E703" s="690">
        <v>66984300</v>
      </c>
      <c r="F703" s="691">
        <f>+F704</f>
        <v>14292800</v>
      </c>
      <c r="G703" s="691">
        <f>+G704</f>
        <v>14292800</v>
      </c>
      <c r="H703" s="690"/>
      <c r="I703" s="690">
        <f>+G703-H703</f>
        <v>14292800</v>
      </c>
      <c r="J703" s="690">
        <f>+E703-G703</f>
        <v>52691500</v>
      </c>
      <c r="K703" s="154"/>
      <c r="L703" s="155"/>
      <c r="M703" s="692"/>
      <c r="N703" s="154"/>
      <c r="O703" s="689"/>
      <c r="P703" s="689"/>
      <c r="Q703" s="689">
        <f t="shared" ref="Q703" si="233">+O703-P703</f>
        <v>0</v>
      </c>
      <c r="R703" s="689"/>
      <c r="S703" s="689"/>
      <c r="T703" s="693"/>
      <c r="U703" s="693"/>
      <c r="V703" s="693"/>
      <c r="W703" s="693"/>
      <c r="X703" s="693"/>
      <c r="Y703" s="693"/>
      <c r="Z703" s="693"/>
      <c r="AA703" s="693"/>
      <c r="AB703" s="693"/>
      <c r="AC703" s="693"/>
      <c r="AD703" s="693"/>
      <c r="AE703" s="693"/>
      <c r="AF703" s="693"/>
    </row>
    <row r="704" spans="1:32" x14ac:dyDescent="0.35">
      <c r="A704" s="313"/>
      <c r="B704" s="293"/>
      <c r="C704" s="406" t="s">
        <v>639</v>
      </c>
      <c r="D704" s="689"/>
      <c r="E704" s="690"/>
      <c r="F704" s="694">
        <f>SUM(F705:F710)</f>
        <v>14292800</v>
      </c>
      <c r="G704" s="694">
        <f>SUM(G705:G710)</f>
        <v>14292800</v>
      </c>
      <c r="H704" s="690"/>
      <c r="I704" s="690"/>
      <c r="J704" s="690"/>
      <c r="K704" s="154"/>
      <c r="L704" s="155"/>
      <c r="M704" s="692"/>
      <c r="N704" s="154"/>
      <c r="O704" s="689"/>
      <c r="P704" s="689"/>
      <c r="Q704" s="689"/>
      <c r="R704" s="689"/>
      <c r="S704" s="689"/>
      <c r="T704" s="693"/>
      <c r="U704" s="693"/>
      <c r="V704" s="693"/>
      <c r="W704" s="693"/>
      <c r="X704" s="693"/>
      <c r="Y704" s="693"/>
      <c r="Z704" s="693"/>
      <c r="AA704" s="693"/>
      <c r="AB704" s="693"/>
      <c r="AC704" s="693"/>
      <c r="AD704" s="693"/>
      <c r="AE704" s="693"/>
      <c r="AF704" s="693"/>
    </row>
    <row r="705" spans="1:32" ht="42" x14ac:dyDescent="0.35">
      <c r="A705" s="313"/>
      <c r="B705" s="293"/>
      <c r="C705" s="695" t="s">
        <v>640</v>
      </c>
      <c r="D705" s="689"/>
      <c r="E705" s="690"/>
      <c r="F705" s="694">
        <v>7772200</v>
      </c>
      <c r="G705" s="694">
        <v>7772200</v>
      </c>
      <c r="H705" s="690"/>
      <c r="I705" s="690"/>
      <c r="J705" s="690"/>
      <c r="K705" s="154"/>
      <c r="L705" s="155"/>
      <c r="M705" s="692"/>
      <c r="N705" s="154"/>
      <c r="O705" s="689"/>
      <c r="P705" s="689"/>
      <c r="Q705" s="689"/>
      <c r="R705" s="689"/>
      <c r="S705" s="689"/>
      <c r="T705" s="693"/>
      <c r="U705" s="693"/>
      <c r="V705" s="693"/>
      <c r="W705" s="693"/>
      <c r="X705" s="693"/>
      <c r="Y705" s="693"/>
      <c r="Z705" s="693"/>
      <c r="AA705" s="693"/>
      <c r="AB705" s="693"/>
      <c r="AC705" s="693"/>
      <c r="AD705" s="693"/>
      <c r="AE705" s="693"/>
      <c r="AF705" s="693"/>
    </row>
    <row r="706" spans="1:32" x14ac:dyDescent="0.35">
      <c r="A706" s="313"/>
      <c r="B706" s="293"/>
      <c r="C706" s="695" t="s">
        <v>641</v>
      </c>
      <c r="D706" s="689"/>
      <c r="E706" s="690"/>
      <c r="F706" s="694">
        <v>2729400</v>
      </c>
      <c r="G706" s="694">
        <v>2729400</v>
      </c>
      <c r="H706" s="690"/>
      <c r="I706" s="690"/>
      <c r="J706" s="690"/>
      <c r="K706" s="154"/>
      <c r="L706" s="155"/>
      <c r="M706" s="692"/>
      <c r="N706" s="154"/>
      <c r="O706" s="689"/>
      <c r="P706" s="689"/>
      <c r="Q706" s="689"/>
      <c r="R706" s="689"/>
      <c r="S706" s="689"/>
      <c r="T706" s="693"/>
      <c r="U706" s="693"/>
      <c r="V706" s="693"/>
      <c r="W706" s="693"/>
      <c r="X706" s="693"/>
      <c r="Y706" s="693"/>
      <c r="Z706" s="693"/>
      <c r="AA706" s="693"/>
      <c r="AB706" s="693"/>
      <c r="AC706" s="693"/>
      <c r="AD706" s="693"/>
      <c r="AE706" s="693"/>
      <c r="AF706" s="693"/>
    </row>
    <row r="707" spans="1:32" x14ac:dyDescent="0.35">
      <c r="A707" s="313"/>
      <c r="B707" s="293"/>
      <c r="C707" s="695" t="s">
        <v>642</v>
      </c>
      <c r="D707" s="689"/>
      <c r="E707" s="690"/>
      <c r="F707" s="694">
        <v>439600</v>
      </c>
      <c r="G707" s="694">
        <v>439600</v>
      </c>
      <c r="H707" s="690"/>
      <c r="I707" s="690"/>
      <c r="J707" s="690"/>
      <c r="K707" s="154"/>
      <c r="L707" s="155"/>
      <c r="M707" s="692"/>
      <c r="N707" s="154"/>
      <c r="O707" s="689"/>
      <c r="P707" s="689"/>
      <c r="Q707" s="689"/>
      <c r="R707" s="689"/>
      <c r="S707" s="689"/>
      <c r="T707" s="693"/>
      <c r="U707" s="693"/>
      <c r="V707" s="693"/>
      <c r="W707" s="693"/>
      <c r="X707" s="693"/>
      <c r="Y707" s="693"/>
      <c r="Z707" s="693"/>
      <c r="AA707" s="693"/>
      <c r="AB707" s="693"/>
      <c r="AC707" s="693"/>
      <c r="AD707" s="693"/>
      <c r="AE707" s="693"/>
      <c r="AF707" s="693"/>
    </row>
    <row r="708" spans="1:32" x14ac:dyDescent="0.35">
      <c r="A708" s="313"/>
      <c r="B708" s="293"/>
      <c r="C708" s="695" t="s">
        <v>643</v>
      </c>
      <c r="D708" s="689"/>
      <c r="E708" s="690"/>
      <c r="F708" s="694">
        <v>2245200</v>
      </c>
      <c r="G708" s="694">
        <v>2245200</v>
      </c>
      <c r="H708" s="690"/>
      <c r="I708" s="690"/>
      <c r="J708" s="690"/>
      <c r="K708" s="154"/>
      <c r="L708" s="155"/>
      <c r="M708" s="692"/>
      <c r="N708" s="154"/>
      <c r="O708" s="689"/>
      <c r="P708" s="689"/>
      <c r="Q708" s="689"/>
      <c r="R708" s="689"/>
      <c r="S708" s="689"/>
      <c r="T708" s="693"/>
      <c r="U708" s="693"/>
      <c r="V708" s="693"/>
      <c r="W708" s="693"/>
      <c r="X708" s="693"/>
      <c r="Y708" s="693"/>
      <c r="Z708" s="693"/>
      <c r="AA708" s="693"/>
      <c r="AB708" s="693"/>
      <c r="AC708" s="693"/>
      <c r="AD708" s="693"/>
      <c r="AE708" s="693"/>
      <c r="AF708" s="693"/>
    </row>
    <row r="709" spans="1:32" x14ac:dyDescent="0.35">
      <c r="A709" s="313"/>
      <c r="B709" s="293"/>
      <c r="C709" s="695" t="s">
        <v>644</v>
      </c>
      <c r="D709" s="689"/>
      <c r="E709" s="690"/>
      <c r="F709" s="694">
        <v>838500</v>
      </c>
      <c r="G709" s="694">
        <v>838500</v>
      </c>
      <c r="H709" s="690"/>
      <c r="I709" s="690"/>
      <c r="J709" s="690"/>
      <c r="K709" s="154"/>
      <c r="L709" s="155"/>
      <c r="M709" s="692"/>
      <c r="N709" s="154"/>
      <c r="O709" s="689"/>
      <c r="P709" s="689"/>
      <c r="Q709" s="689"/>
      <c r="R709" s="689"/>
      <c r="S709" s="689"/>
      <c r="T709" s="693"/>
      <c r="U709" s="693"/>
      <c r="V709" s="693"/>
      <c r="W709" s="693"/>
      <c r="X709" s="693"/>
      <c r="Y709" s="693"/>
      <c r="Z709" s="693"/>
      <c r="AA709" s="693"/>
      <c r="AB709" s="693"/>
      <c r="AC709" s="693"/>
      <c r="AD709" s="693"/>
      <c r="AE709" s="693"/>
      <c r="AF709" s="693"/>
    </row>
    <row r="710" spans="1:32" ht="42" x14ac:dyDescent="0.35">
      <c r="A710" s="313"/>
      <c r="B710" s="293"/>
      <c r="C710" s="695" t="s">
        <v>645</v>
      </c>
      <c r="D710" s="689"/>
      <c r="E710" s="690"/>
      <c r="F710" s="694">
        <v>267900</v>
      </c>
      <c r="G710" s="694">
        <v>267900</v>
      </c>
      <c r="H710" s="690"/>
      <c r="I710" s="690"/>
      <c r="J710" s="690"/>
      <c r="K710" s="154"/>
      <c r="L710" s="155"/>
      <c r="M710" s="692"/>
      <c r="N710" s="154"/>
      <c r="O710" s="689"/>
      <c r="P710" s="689"/>
      <c r="Q710" s="689"/>
      <c r="R710" s="689"/>
      <c r="S710" s="689"/>
      <c r="T710" s="693"/>
      <c r="U710" s="693"/>
      <c r="V710" s="693"/>
      <c r="W710" s="693"/>
      <c r="X710" s="693"/>
      <c r="Y710" s="693"/>
      <c r="Z710" s="693"/>
      <c r="AA710" s="693"/>
      <c r="AB710" s="693"/>
      <c r="AC710" s="693"/>
      <c r="AD710" s="693"/>
      <c r="AE710" s="693"/>
      <c r="AF710" s="693"/>
    </row>
    <row r="711" spans="1:32" x14ac:dyDescent="0.35">
      <c r="A711" s="313"/>
      <c r="B711" s="72" t="s">
        <v>649</v>
      </c>
      <c r="C711" s="125"/>
      <c r="D711" s="689"/>
      <c r="E711" s="690">
        <v>66984300</v>
      </c>
      <c r="F711" s="691">
        <f>+F712</f>
        <v>46800000</v>
      </c>
      <c r="G711" s="691">
        <f>+G712</f>
        <v>46800000</v>
      </c>
      <c r="H711" s="690"/>
      <c r="I711" s="690">
        <f>+G711-H711</f>
        <v>46800000</v>
      </c>
      <c r="J711" s="690">
        <f>+E711-G711</f>
        <v>20184300</v>
      </c>
      <c r="K711" s="154"/>
      <c r="L711" s="155"/>
      <c r="M711" s="692"/>
      <c r="N711" s="154"/>
      <c r="O711" s="689"/>
      <c r="P711" s="689"/>
      <c r="Q711" s="689">
        <f t="shared" ref="Q711" si="234">+O711-P711</f>
        <v>0</v>
      </c>
      <c r="R711" s="689"/>
      <c r="S711" s="689"/>
      <c r="T711" s="693"/>
      <c r="U711" s="693"/>
      <c r="V711" s="693"/>
      <c r="W711" s="693"/>
      <c r="X711" s="693"/>
      <c r="Y711" s="693"/>
      <c r="Z711" s="693"/>
      <c r="AA711" s="693"/>
      <c r="AB711" s="693"/>
      <c r="AC711" s="693"/>
      <c r="AD711" s="693"/>
      <c r="AE711" s="693"/>
      <c r="AF711" s="693"/>
    </row>
    <row r="712" spans="1:32" ht="25.5" customHeight="1" x14ac:dyDescent="0.35">
      <c r="A712" s="313"/>
      <c r="B712" s="293"/>
      <c r="C712" s="709" t="s">
        <v>650</v>
      </c>
      <c r="D712" s="689"/>
      <c r="E712" s="690"/>
      <c r="F712" s="694">
        <f>+F713</f>
        <v>46800000</v>
      </c>
      <c r="G712" s="694">
        <f>+G713</f>
        <v>46800000</v>
      </c>
      <c r="H712" s="690"/>
      <c r="I712" s="690"/>
      <c r="J712" s="690"/>
      <c r="K712" s="154"/>
      <c r="L712" s="155"/>
      <c r="M712" s="692"/>
      <c r="N712" s="154"/>
      <c r="O712" s="689"/>
      <c r="P712" s="689"/>
      <c r="Q712" s="689"/>
      <c r="R712" s="689"/>
      <c r="S712" s="689"/>
      <c r="T712" s="693"/>
      <c r="U712" s="693"/>
      <c r="V712" s="693"/>
      <c r="W712" s="693"/>
      <c r="X712" s="693"/>
      <c r="Y712" s="693"/>
      <c r="Z712" s="693"/>
      <c r="AA712" s="693"/>
      <c r="AB712" s="693"/>
      <c r="AC712" s="693"/>
      <c r="AD712" s="693"/>
      <c r="AE712" s="693"/>
      <c r="AF712" s="693"/>
    </row>
    <row r="713" spans="1:32" ht="42" x14ac:dyDescent="0.35">
      <c r="A713" s="313"/>
      <c r="B713" s="293"/>
      <c r="C713" s="695" t="s">
        <v>651</v>
      </c>
      <c r="D713" s="689"/>
      <c r="E713" s="690"/>
      <c r="F713" s="694">
        <v>46800000</v>
      </c>
      <c r="G713" s="694">
        <v>46800000</v>
      </c>
      <c r="H713" s="690"/>
      <c r="I713" s="690"/>
      <c r="J713" s="690"/>
      <c r="K713" s="154"/>
      <c r="L713" s="155"/>
      <c r="M713" s="692"/>
      <c r="N713" s="154"/>
      <c r="O713" s="689"/>
      <c r="P713" s="689"/>
      <c r="Q713" s="689"/>
      <c r="R713" s="689"/>
      <c r="S713" s="689"/>
      <c r="T713" s="693"/>
      <c r="U713" s="693"/>
      <c r="V713" s="693"/>
      <c r="W713" s="693"/>
      <c r="X713" s="693"/>
      <c r="Y713" s="693"/>
      <c r="Z713" s="693"/>
      <c r="AA713" s="693"/>
      <c r="AB713" s="693"/>
      <c r="AC713" s="693"/>
      <c r="AD713" s="693"/>
      <c r="AE713" s="693"/>
      <c r="AF713" s="693"/>
    </row>
    <row r="714" spans="1:32" x14ac:dyDescent="0.35">
      <c r="A714" s="313"/>
      <c r="B714" s="72" t="s">
        <v>652</v>
      </c>
      <c r="C714" s="125"/>
      <c r="D714" s="689"/>
      <c r="E714" s="690">
        <v>66984300</v>
      </c>
      <c r="F714" s="691">
        <f>+F715</f>
        <v>3978000</v>
      </c>
      <c r="G714" s="691">
        <f>+G715</f>
        <v>3978000</v>
      </c>
      <c r="H714" s="690"/>
      <c r="I714" s="690">
        <f>+G714-H714</f>
        <v>3978000</v>
      </c>
      <c r="J714" s="690">
        <f>+E714-G714</f>
        <v>63006300</v>
      </c>
      <c r="K714" s="154"/>
      <c r="L714" s="155"/>
      <c r="M714" s="692"/>
      <c r="N714" s="154"/>
      <c r="O714" s="689"/>
      <c r="P714" s="689"/>
      <c r="Q714" s="689">
        <f t="shared" ref="Q714" si="235">+O714-P714</f>
        <v>0</v>
      </c>
      <c r="R714" s="689"/>
      <c r="S714" s="689"/>
      <c r="T714" s="693"/>
      <c r="U714" s="693"/>
      <c r="V714" s="693"/>
      <c r="W714" s="693"/>
      <c r="X714" s="693"/>
      <c r="Y714" s="693"/>
      <c r="Z714" s="693"/>
      <c r="AA714" s="693"/>
      <c r="AB714" s="693"/>
      <c r="AC714" s="693"/>
      <c r="AD714" s="693"/>
      <c r="AE714" s="693"/>
      <c r="AF714" s="693"/>
    </row>
    <row r="715" spans="1:32" x14ac:dyDescent="0.35">
      <c r="A715" s="313"/>
      <c r="B715" s="293"/>
      <c r="C715" s="406" t="s">
        <v>685</v>
      </c>
      <c r="D715" s="689"/>
      <c r="E715" s="690"/>
      <c r="F715" s="694">
        <f>+F716</f>
        <v>3978000</v>
      </c>
      <c r="G715" s="694">
        <f>+G716</f>
        <v>3978000</v>
      </c>
      <c r="H715" s="690"/>
      <c r="I715" s="690"/>
      <c r="J715" s="690"/>
      <c r="K715" s="154"/>
      <c r="L715" s="155"/>
      <c r="M715" s="692"/>
      <c r="N715" s="154"/>
      <c r="O715" s="689"/>
      <c r="P715" s="689"/>
      <c r="Q715" s="689"/>
      <c r="R715" s="689"/>
      <c r="S715" s="689"/>
      <c r="T715" s="693"/>
      <c r="U715" s="693"/>
      <c r="V715" s="693"/>
      <c r="W715" s="693"/>
      <c r="X715" s="693"/>
      <c r="Y715" s="693"/>
      <c r="Z715" s="693"/>
      <c r="AA715" s="693"/>
      <c r="AB715" s="693"/>
      <c r="AC715" s="693"/>
      <c r="AD715" s="693"/>
      <c r="AE715" s="693"/>
      <c r="AF715" s="693"/>
    </row>
    <row r="716" spans="1:32" ht="42" x14ac:dyDescent="0.35">
      <c r="A716" s="313"/>
      <c r="B716" s="293"/>
      <c r="C716" s="695" t="s">
        <v>653</v>
      </c>
      <c r="D716" s="689"/>
      <c r="E716" s="690"/>
      <c r="F716" s="694">
        <v>3978000</v>
      </c>
      <c r="G716" s="694">
        <v>3978000</v>
      </c>
      <c r="H716" s="690"/>
      <c r="I716" s="690"/>
      <c r="J716" s="690"/>
      <c r="K716" s="154"/>
      <c r="L716" s="155"/>
      <c r="M716" s="692"/>
      <c r="N716" s="154"/>
      <c r="O716" s="689"/>
      <c r="P716" s="689"/>
      <c r="Q716" s="689"/>
      <c r="R716" s="689"/>
      <c r="S716" s="689"/>
      <c r="T716" s="693"/>
      <c r="U716" s="693"/>
      <c r="V716" s="693"/>
      <c r="W716" s="693"/>
      <c r="X716" s="693"/>
      <c r="Y716" s="693"/>
      <c r="Z716" s="693"/>
      <c r="AA716" s="693"/>
      <c r="AB716" s="693"/>
      <c r="AC716" s="693"/>
      <c r="AD716" s="693"/>
      <c r="AE716" s="693"/>
      <c r="AF716" s="693"/>
    </row>
    <row r="717" spans="1:32" x14ac:dyDescent="0.35">
      <c r="A717" s="20" t="s">
        <v>112</v>
      </c>
      <c r="B717" s="21"/>
      <c r="C717" s="22"/>
      <c r="D717" s="450">
        <f>SUM(D718)</f>
        <v>20000000</v>
      </c>
      <c r="E717" s="451">
        <f>SUM(E718)</f>
        <v>20000000</v>
      </c>
      <c r="F717" s="452">
        <f>SUM(F718)</f>
        <v>20000000</v>
      </c>
      <c r="G717" s="452">
        <f>SUM(G718)</f>
        <v>20000000</v>
      </c>
      <c r="H717" s="451">
        <f t="shared" ref="H717" si="236">SUM(H718)</f>
        <v>0</v>
      </c>
      <c r="I717" s="451">
        <f t="shared" si="187"/>
        <v>20000000</v>
      </c>
      <c r="J717" s="451">
        <f t="shared" si="197"/>
        <v>0</v>
      </c>
      <c r="K717" s="52">
        <v>20000000</v>
      </c>
      <c r="L717" s="53">
        <v>17093159.169999998</v>
      </c>
      <c r="M717" s="600">
        <v>20000000</v>
      </c>
      <c r="N717" s="52">
        <v>20000000</v>
      </c>
      <c r="O717" s="654">
        <f t="shared" ref="O717:S717" si="237">SUM(O718)</f>
        <v>20000000</v>
      </c>
      <c r="P717" s="654">
        <f t="shared" si="237"/>
        <v>0</v>
      </c>
      <c r="Q717" s="654">
        <f t="shared" si="188"/>
        <v>20000000</v>
      </c>
      <c r="R717" s="654">
        <f t="shared" si="237"/>
        <v>118607129.66</v>
      </c>
      <c r="S717" s="654">
        <f t="shared" si="237"/>
        <v>0</v>
      </c>
      <c r="T717" s="462">
        <f t="shared" si="189"/>
        <v>-98607129.659999996</v>
      </c>
      <c r="U717" s="52">
        <v>20000000</v>
      </c>
      <c r="V717" s="52">
        <v>20000000</v>
      </c>
      <c r="W717" s="52">
        <v>20000000</v>
      </c>
      <c r="X717" s="52">
        <v>20000000</v>
      </c>
      <c r="Y717" s="52">
        <f>SUM(X717*5)</f>
        <v>100000000</v>
      </c>
      <c r="Z717" s="52">
        <f>SUM(X717*5)</f>
        <v>100000000</v>
      </c>
      <c r="AA717" s="52">
        <f>SUM(X717*3)</f>
        <v>60000000</v>
      </c>
      <c r="AB717" s="54">
        <v>20000000</v>
      </c>
      <c r="AC717" s="494">
        <v>0</v>
      </c>
      <c r="AD717" s="55">
        <v>20000000</v>
      </c>
      <c r="AE717" s="462">
        <v>20000000</v>
      </c>
      <c r="AF717" s="496"/>
    </row>
    <row r="718" spans="1:32" x14ac:dyDescent="0.35">
      <c r="A718" s="134"/>
      <c r="B718" s="72" t="s">
        <v>284</v>
      </c>
      <c r="C718" s="125"/>
      <c r="D718" s="462">
        <v>20000000</v>
      </c>
      <c r="E718" s="463">
        <v>20000000</v>
      </c>
      <c r="F718" s="464">
        <v>20000000</v>
      </c>
      <c r="G718" s="464">
        <v>20000000</v>
      </c>
      <c r="H718" s="463"/>
      <c r="I718" s="463">
        <f t="shared" si="187"/>
        <v>20000000</v>
      </c>
      <c r="J718" s="463">
        <f t="shared" si="197"/>
        <v>0</v>
      </c>
      <c r="K718" s="80"/>
      <c r="L718" s="99"/>
      <c r="M718" s="668"/>
      <c r="N718" s="80"/>
      <c r="O718" s="462">
        <v>20000000</v>
      </c>
      <c r="P718" s="495"/>
      <c r="Q718" s="462">
        <f t="shared" si="188"/>
        <v>20000000</v>
      </c>
      <c r="R718" s="462">
        <f>40764909.04+77842220.62</f>
        <v>118607129.66</v>
      </c>
      <c r="S718" s="462"/>
      <c r="T718" s="535"/>
      <c r="U718" s="80"/>
      <c r="V718" s="80"/>
      <c r="W718" s="80"/>
      <c r="X718" s="80"/>
      <c r="Y718" s="80"/>
      <c r="Z718" s="80"/>
      <c r="AA718" s="80"/>
      <c r="AB718" s="81"/>
      <c r="AC718" s="516"/>
      <c r="AD718" s="82"/>
      <c r="AE718" s="535"/>
      <c r="AF718" s="536"/>
    </row>
    <row r="719" spans="1:32" x14ac:dyDescent="0.35">
      <c r="A719" s="134"/>
      <c r="B719" s="72"/>
      <c r="C719" s="270" t="s">
        <v>283</v>
      </c>
      <c r="D719" s="462"/>
      <c r="E719" s="463"/>
      <c r="F719" s="464"/>
      <c r="G719" s="464"/>
      <c r="H719" s="463"/>
      <c r="I719" s="463">
        <f t="shared" si="187"/>
        <v>0</v>
      </c>
      <c r="J719" s="463">
        <f t="shared" si="197"/>
        <v>0</v>
      </c>
      <c r="K719" s="655" t="e">
        <f>+#REF!+#REF!+#REF!+#REF!+#REF!+#REF!+#REF!+#REF!+K730+#REF!+#REF!+#REF!+#REF!</f>
        <v>#REF!</v>
      </c>
      <c r="L719" s="655" t="e">
        <f>+#REF!+#REF!+#REF!+#REF!+#REF!+#REF!+#REF!+#REF!+L730+#REF!+#REF!+#REF!+#REF!</f>
        <v>#REF!</v>
      </c>
      <c r="M719" s="655" t="e">
        <f>+#REF!+#REF!+#REF!+#REF!+#REF!+#REF!+#REF!+#REF!+M730+#REF!+#REF!+#REF!+#REF!</f>
        <v>#REF!</v>
      </c>
      <c r="N719" s="655" t="e">
        <f>+#REF!+#REF!+#REF!+#REF!+#REF!+#REF!+#REF!+#REF!+N730+#REF!+#REF!+#REF!+#REF!</f>
        <v>#REF!</v>
      </c>
      <c r="O719" s="535"/>
      <c r="P719" s="563"/>
      <c r="Q719" s="535">
        <f t="shared" si="188"/>
        <v>0</v>
      </c>
      <c r="R719" s="535"/>
      <c r="S719" s="535"/>
      <c r="T719" s="655">
        <f>Q720-R720-S720</f>
        <v>32388460.969999999</v>
      </c>
      <c r="U719" s="655">
        <f>SUM(U720:U724)</f>
        <v>66000000</v>
      </c>
      <c r="V719" s="655">
        <f t="shared" ref="P719:AF720" si="238">SUM(V720:V724)</f>
        <v>69300000</v>
      </c>
      <c r="W719" s="655">
        <f t="shared" si="238"/>
        <v>72765000</v>
      </c>
      <c r="X719" s="655">
        <f t="shared" si="238"/>
        <v>76403300</v>
      </c>
      <c r="Y719" s="655">
        <f t="shared" si="238"/>
        <v>382016600</v>
      </c>
      <c r="Z719" s="655">
        <f t="shared" si="238"/>
        <v>382016600</v>
      </c>
      <c r="AA719" s="655">
        <f t="shared" si="238"/>
        <v>229210000</v>
      </c>
      <c r="AB719" s="655">
        <f t="shared" si="238"/>
        <v>58700000</v>
      </c>
      <c r="AC719" s="655">
        <f t="shared" si="238"/>
        <v>0</v>
      </c>
      <c r="AD719" s="655">
        <f t="shared" si="238"/>
        <v>58700000</v>
      </c>
      <c r="AE719" s="655">
        <f t="shared" si="238"/>
        <v>58700000</v>
      </c>
      <c r="AF719" s="655">
        <f t="shared" si="238"/>
        <v>0</v>
      </c>
    </row>
    <row r="720" spans="1:32" x14ac:dyDescent="0.35">
      <c r="A720" s="20" t="s">
        <v>113</v>
      </c>
      <c r="B720" s="21"/>
      <c r="C720" s="22"/>
      <c r="D720" s="450">
        <f>SUM(D721:D725)</f>
        <v>60874200</v>
      </c>
      <c r="E720" s="451">
        <f>SUM(E721:E728)</f>
        <v>126257500</v>
      </c>
      <c r="F720" s="452">
        <f t="shared" ref="F720:H720" si="239">SUM(F721:F728)</f>
        <v>27961600</v>
      </c>
      <c r="G720" s="452">
        <f t="shared" si="239"/>
        <v>27961600</v>
      </c>
      <c r="H720" s="451">
        <f t="shared" si="239"/>
        <v>0</v>
      </c>
      <c r="I720" s="451">
        <f t="shared" si="187"/>
        <v>27961600</v>
      </c>
      <c r="J720" s="451">
        <f t="shared" si="197"/>
        <v>98295900</v>
      </c>
      <c r="K720" s="52">
        <v>39634800</v>
      </c>
      <c r="L720" s="53">
        <v>39447048.219999999</v>
      </c>
      <c r="M720" s="710">
        <v>45000000</v>
      </c>
      <c r="N720" s="52">
        <v>40000000</v>
      </c>
      <c r="O720" s="655">
        <f>SUM(O721:O725)</f>
        <v>59850000</v>
      </c>
      <c r="P720" s="655">
        <f t="shared" si="238"/>
        <v>0</v>
      </c>
      <c r="Q720" s="655">
        <f t="shared" si="188"/>
        <v>59850000</v>
      </c>
      <c r="R720" s="655">
        <f t="shared" si="238"/>
        <v>27461539.030000001</v>
      </c>
      <c r="S720" s="655">
        <f t="shared" si="238"/>
        <v>0</v>
      </c>
      <c r="T720" s="462">
        <f>Q721-R721-S721</f>
        <v>24223773.630000003</v>
      </c>
      <c r="U720" s="52">
        <v>45000000</v>
      </c>
      <c r="V720" s="52">
        <f>SUM(U720*105/100)</f>
        <v>47250000</v>
      </c>
      <c r="W720" s="52">
        <f t="shared" ref="W720:W723" si="240">SUM(V720*105/100)</f>
        <v>49612500</v>
      </c>
      <c r="X720" s="52">
        <v>52093100</v>
      </c>
      <c r="Y720" s="52">
        <v>260465600</v>
      </c>
      <c r="Z720" s="52">
        <v>260465600</v>
      </c>
      <c r="AA720" s="52">
        <v>156279400</v>
      </c>
      <c r="AB720" s="54">
        <v>40000000</v>
      </c>
      <c r="AC720" s="494">
        <v>0</v>
      </c>
      <c r="AD720" s="55">
        <v>40000000</v>
      </c>
      <c r="AE720" s="462">
        <v>40000000</v>
      </c>
      <c r="AF720" s="496"/>
    </row>
    <row r="721" spans="1:34" x14ac:dyDescent="0.35">
      <c r="A721" s="134"/>
      <c r="B721" s="34" t="s">
        <v>176</v>
      </c>
      <c r="C721" s="35"/>
      <c r="D721" s="462">
        <v>40000000</v>
      </c>
      <c r="E721" s="463">
        <v>45000000</v>
      </c>
      <c r="F721" s="464">
        <v>15776200</v>
      </c>
      <c r="G721" s="464">
        <v>15776200</v>
      </c>
      <c r="H721" s="463"/>
      <c r="I721" s="463">
        <f t="shared" si="187"/>
        <v>15776200</v>
      </c>
      <c r="J721" s="463">
        <f t="shared" si="197"/>
        <v>29223800</v>
      </c>
      <c r="K721" s="52">
        <v>3000000</v>
      </c>
      <c r="L721" s="53">
        <v>3000000.0000000005</v>
      </c>
      <c r="M721" s="600">
        <v>5200000</v>
      </c>
      <c r="N721" s="52">
        <v>3000000</v>
      </c>
      <c r="O721" s="462">
        <v>40000000</v>
      </c>
      <c r="P721" s="495"/>
      <c r="Q721" s="462">
        <f t="shared" si="188"/>
        <v>40000000</v>
      </c>
      <c r="R721" s="462">
        <v>15776226.369999999</v>
      </c>
      <c r="S721" s="462"/>
      <c r="T721" s="462">
        <f>Q722-R722-S722</f>
        <v>3000000</v>
      </c>
      <c r="U721" s="52">
        <v>5000000</v>
      </c>
      <c r="V721" s="52">
        <f>SUM(U721*105/100)</f>
        <v>5250000</v>
      </c>
      <c r="W721" s="52">
        <f t="shared" si="240"/>
        <v>5512500</v>
      </c>
      <c r="X721" s="52">
        <v>5788200</v>
      </c>
      <c r="Y721" s="52">
        <f>SUM(X721*5)</f>
        <v>28941000</v>
      </c>
      <c r="Z721" s="52">
        <f>SUM(X721*5)</f>
        <v>28941000</v>
      </c>
      <c r="AA721" s="52">
        <f>SUM(X721*3)</f>
        <v>17364600</v>
      </c>
      <c r="AB721" s="54">
        <v>3000000</v>
      </c>
      <c r="AC721" s="494">
        <v>0</v>
      </c>
      <c r="AD721" s="55">
        <v>3000000</v>
      </c>
      <c r="AE721" s="462">
        <v>3000000</v>
      </c>
      <c r="AF721" s="496"/>
    </row>
    <row r="722" spans="1:34" x14ac:dyDescent="0.35">
      <c r="A722" s="134"/>
      <c r="B722" s="34" t="s">
        <v>272</v>
      </c>
      <c r="C722" s="35"/>
      <c r="D722" s="462">
        <v>3000000</v>
      </c>
      <c r="E722" s="463">
        <v>5000000</v>
      </c>
      <c r="F722" s="464">
        <v>500000</v>
      </c>
      <c r="G722" s="464">
        <v>500000</v>
      </c>
      <c r="H722" s="463"/>
      <c r="I722" s="463">
        <f t="shared" si="187"/>
        <v>500000</v>
      </c>
      <c r="J722" s="463">
        <f t="shared" si="197"/>
        <v>4500000</v>
      </c>
      <c r="K722" s="52"/>
      <c r="L722" s="53"/>
      <c r="M722" s="600"/>
      <c r="N722" s="52"/>
      <c r="O722" s="462">
        <v>3000000</v>
      </c>
      <c r="P722" s="495"/>
      <c r="Q722" s="462">
        <f t="shared" si="188"/>
        <v>3000000</v>
      </c>
      <c r="R722" s="462">
        <v>0</v>
      </c>
      <c r="S722" s="462"/>
      <c r="T722" s="462"/>
      <c r="U722" s="52"/>
      <c r="V722" s="52"/>
      <c r="W722" s="52"/>
      <c r="X722" s="52"/>
      <c r="Y722" s="52"/>
      <c r="Z722" s="52"/>
      <c r="AA722" s="52"/>
      <c r="AB722" s="54"/>
      <c r="AC722" s="494"/>
      <c r="AD722" s="55"/>
      <c r="AE722" s="462"/>
      <c r="AF722" s="496"/>
    </row>
    <row r="723" spans="1:34" ht="23.45" customHeight="1" x14ac:dyDescent="0.35">
      <c r="A723" s="134"/>
      <c r="B723" s="27" t="s">
        <v>271</v>
      </c>
      <c r="C723" s="35"/>
      <c r="D723" s="462"/>
      <c r="E723" s="463"/>
      <c r="F723" s="464"/>
      <c r="G723" s="464"/>
      <c r="H723" s="463"/>
      <c r="I723" s="463">
        <f t="shared" si="187"/>
        <v>0</v>
      </c>
      <c r="J723" s="463">
        <f t="shared" si="197"/>
        <v>0</v>
      </c>
      <c r="K723" s="52">
        <v>16413800</v>
      </c>
      <c r="L723" s="53">
        <v>13393138.029999996</v>
      </c>
      <c r="M723" s="600">
        <v>16500000</v>
      </c>
      <c r="N723" s="52">
        <v>15700000</v>
      </c>
      <c r="O723" s="462"/>
      <c r="P723" s="495"/>
      <c r="Q723" s="462">
        <f t="shared" si="188"/>
        <v>0</v>
      </c>
      <c r="R723" s="462"/>
      <c r="S723" s="462"/>
      <c r="T723" s="462">
        <f>Q724-R724-S724</f>
        <v>5144139.67</v>
      </c>
      <c r="U723" s="52">
        <v>16000000</v>
      </c>
      <c r="V723" s="52">
        <f>SUM(U723*105/100)</f>
        <v>16800000</v>
      </c>
      <c r="W723" s="52">
        <f t="shared" si="240"/>
        <v>17640000</v>
      </c>
      <c r="X723" s="52">
        <f>SUM(W723*105/100)</f>
        <v>18522000</v>
      </c>
      <c r="Y723" s="52">
        <f>SUM(X723*5)</f>
        <v>92610000</v>
      </c>
      <c r="Z723" s="52">
        <f>SUM(X723*5)</f>
        <v>92610000</v>
      </c>
      <c r="AA723" s="52">
        <f>SUM(X723*3)</f>
        <v>55566000</v>
      </c>
      <c r="AB723" s="54">
        <v>15700000</v>
      </c>
      <c r="AC723" s="494">
        <v>0</v>
      </c>
      <c r="AD723" s="55">
        <v>15700000</v>
      </c>
      <c r="AE723" s="462">
        <v>15700000</v>
      </c>
      <c r="AF723" s="496"/>
    </row>
    <row r="724" spans="1:34" x14ac:dyDescent="0.35">
      <c r="A724" s="134"/>
      <c r="B724" s="34" t="s">
        <v>206</v>
      </c>
      <c r="C724" s="35"/>
      <c r="D724" s="462">
        <v>15700000</v>
      </c>
      <c r="E724" s="463">
        <v>12700000</v>
      </c>
      <c r="F724" s="464">
        <v>10555900</v>
      </c>
      <c r="G724" s="464">
        <v>10555900</v>
      </c>
      <c r="H724" s="463"/>
      <c r="I724" s="463">
        <f t="shared" si="187"/>
        <v>10555900</v>
      </c>
      <c r="J724" s="463">
        <f t="shared" si="197"/>
        <v>2144100</v>
      </c>
      <c r="K724" s="86"/>
      <c r="L724" s="87"/>
      <c r="M724" s="711"/>
      <c r="N724" s="86"/>
      <c r="O724" s="462">
        <v>15700000</v>
      </c>
      <c r="P724" s="495"/>
      <c r="Q724" s="462">
        <f t="shared" si="188"/>
        <v>15700000</v>
      </c>
      <c r="R724" s="462">
        <v>10555860.33</v>
      </c>
      <c r="S724" s="462"/>
      <c r="T724" s="546">
        <f>Q725-R725-S725</f>
        <v>20547.669999999925</v>
      </c>
      <c r="U724" s="86"/>
      <c r="V724" s="86"/>
      <c r="W724" s="86"/>
      <c r="X724" s="86"/>
      <c r="Y724" s="86"/>
      <c r="Z724" s="86"/>
      <c r="AA724" s="86"/>
      <c r="AB724" s="88"/>
      <c r="AC724" s="572"/>
      <c r="AD724" s="89"/>
      <c r="AE724" s="573"/>
      <c r="AF724" s="574"/>
    </row>
    <row r="725" spans="1:34" x14ac:dyDescent="0.35">
      <c r="A725" s="134"/>
      <c r="B725" s="72" t="s">
        <v>177</v>
      </c>
      <c r="C725" s="95"/>
      <c r="D725" s="462">
        <v>2174200</v>
      </c>
      <c r="E725" s="525">
        <v>3557500</v>
      </c>
      <c r="F725" s="526">
        <v>1129500</v>
      </c>
      <c r="G725" s="526">
        <v>1129500</v>
      </c>
      <c r="H725" s="525"/>
      <c r="I725" s="525">
        <f t="shared" si="187"/>
        <v>1129500</v>
      </c>
      <c r="J725" s="525">
        <f t="shared" si="197"/>
        <v>2428000</v>
      </c>
      <c r="K725" s="80">
        <v>2223900</v>
      </c>
      <c r="L725" s="99">
        <v>2174238.0499999998</v>
      </c>
      <c r="M725" s="668">
        <v>3300000</v>
      </c>
      <c r="N725" s="80">
        <v>1150000</v>
      </c>
      <c r="O725" s="535">
        <v>1150000</v>
      </c>
      <c r="P725" s="658"/>
      <c r="Q725" s="546">
        <f t="shared" si="188"/>
        <v>1150000</v>
      </c>
      <c r="R725" s="546">
        <v>1129452.33</v>
      </c>
      <c r="S725" s="546"/>
      <c r="T725" s="535">
        <f>Q726-R726-S726</f>
        <v>0</v>
      </c>
      <c r="U725" s="80">
        <v>3455200</v>
      </c>
      <c r="V725" s="80">
        <v>3628000</v>
      </c>
      <c r="W725" s="80">
        <f>SUM(V725*105/100)</f>
        <v>3809400</v>
      </c>
      <c r="X725" s="80">
        <v>3998900</v>
      </c>
      <c r="Y725" s="80">
        <f>SUM(X725*5)</f>
        <v>19994500</v>
      </c>
      <c r="Z725" s="80">
        <f>SUM(X725*5)</f>
        <v>19994500</v>
      </c>
      <c r="AA725" s="80">
        <f>SUM(X725*3)</f>
        <v>11996700</v>
      </c>
      <c r="AB725" s="81">
        <v>2174200</v>
      </c>
      <c r="AC725" s="516">
        <v>0</v>
      </c>
      <c r="AD725" s="82">
        <v>2174200</v>
      </c>
      <c r="AE725" s="535">
        <v>2174200</v>
      </c>
      <c r="AF725" s="536"/>
    </row>
    <row r="726" spans="1:34" s="208" customFormat="1" x14ac:dyDescent="0.35">
      <c r="A726" s="134"/>
      <c r="B726" s="299" t="s">
        <v>175</v>
      </c>
      <c r="C726" s="300"/>
      <c r="D726" s="462"/>
      <c r="E726" s="525"/>
      <c r="F726" s="526"/>
      <c r="G726" s="526"/>
      <c r="H726" s="525"/>
      <c r="I726" s="525">
        <f t="shared" si="187"/>
        <v>0</v>
      </c>
      <c r="J726" s="525">
        <f t="shared" si="197"/>
        <v>0</v>
      </c>
      <c r="K726" s="204"/>
      <c r="L726" s="205"/>
      <c r="M726" s="712"/>
      <c r="N726" s="206"/>
      <c r="O726" s="535"/>
      <c r="P726" s="563"/>
      <c r="Q726" s="535">
        <f t="shared" si="188"/>
        <v>0</v>
      </c>
      <c r="R726" s="535"/>
      <c r="S726" s="535"/>
      <c r="T726" s="713"/>
      <c r="U726" s="206"/>
      <c r="V726" s="207"/>
      <c r="AB726" s="209"/>
      <c r="AC726" s="713"/>
      <c r="AD726" s="209"/>
      <c r="AE726" s="713"/>
      <c r="AF726" s="713"/>
      <c r="AG726" s="714"/>
      <c r="AH726" s="715"/>
    </row>
    <row r="727" spans="1:34" x14ac:dyDescent="0.35">
      <c r="A727" s="301"/>
      <c r="B727" s="203" t="s">
        <v>313</v>
      </c>
      <c r="C727" s="302"/>
      <c r="D727" s="716"/>
      <c r="E727" s="717">
        <v>50000000</v>
      </c>
      <c r="F727" s="526">
        <v>0</v>
      </c>
      <c r="G727" s="526">
        <v>0</v>
      </c>
      <c r="H727" s="717"/>
      <c r="I727" s="717">
        <f t="shared" si="187"/>
        <v>0</v>
      </c>
      <c r="J727" s="717">
        <f t="shared" si="197"/>
        <v>50000000</v>
      </c>
      <c r="K727" s="173"/>
      <c r="L727" s="174"/>
      <c r="M727" s="718"/>
      <c r="O727" s="719"/>
      <c r="P727" s="720"/>
      <c r="Q727" s="719">
        <f t="shared" si="188"/>
        <v>0</v>
      </c>
      <c r="R727" s="719"/>
      <c r="S727" s="719"/>
    </row>
    <row r="728" spans="1:34" x14ac:dyDescent="0.35">
      <c r="A728" s="303"/>
      <c r="B728" s="203" t="s">
        <v>314</v>
      </c>
      <c r="C728" s="304"/>
      <c r="D728" s="722"/>
      <c r="E728" s="717">
        <v>10000000</v>
      </c>
      <c r="F728" s="526">
        <v>0</v>
      </c>
      <c r="G728" s="526">
        <v>0</v>
      </c>
      <c r="H728" s="717"/>
      <c r="I728" s="717">
        <f t="shared" si="187"/>
        <v>0</v>
      </c>
      <c r="J728" s="717">
        <f t="shared" si="197"/>
        <v>10000000</v>
      </c>
      <c r="K728" s="51">
        <f>K729</f>
        <v>2807987500</v>
      </c>
      <c r="L728" s="141">
        <f>L729</f>
        <v>2761279397.3800001</v>
      </c>
      <c r="M728" s="723">
        <f t="shared" ref="M728:AF729" si="241">SUM(M729)</f>
        <v>3307062000</v>
      </c>
      <c r="N728" s="142">
        <f t="shared" si="241"/>
        <v>2851113500</v>
      </c>
      <c r="Q728" s="721">
        <f t="shared" si="188"/>
        <v>0</v>
      </c>
      <c r="T728" s="725">
        <f>Q729-R729-S729</f>
        <v>100180452.22</v>
      </c>
      <c r="U728" s="142" t="e">
        <f>SUM(U729)</f>
        <v>#REF!</v>
      </c>
      <c r="V728" s="142" t="e">
        <f t="shared" si="241"/>
        <v>#REF!</v>
      </c>
      <c r="W728" s="142" t="e">
        <f t="shared" si="241"/>
        <v>#REF!</v>
      </c>
      <c r="X728" s="142" t="e">
        <f t="shared" si="241"/>
        <v>#REF!</v>
      </c>
      <c r="Y728" s="142" t="e">
        <f t="shared" si="241"/>
        <v>#REF!</v>
      </c>
      <c r="Z728" s="142" t="e">
        <f t="shared" si="241"/>
        <v>#REF!</v>
      </c>
      <c r="AA728" s="142" t="e">
        <f t="shared" si="241"/>
        <v>#REF!</v>
      </c>
      <c r="AB728" s="142" t="e">
        <f t="shared" si="241"/>
        <v>#REF!</v>
      </c>
      <c r="AC728" s="723" t="e">
        <f t="shared" si="241"/>
        <v>#REF!</v>
      </c>
      <c r="AD728" s="143">
        <v>122187300</v>
      </c>
      <c r="AE728" s="725" t="e">
        <f t="shared" si="241"/>
        <v>#REF!</v>
      </c>
      <c r="AF728" s="726" t="e">
        <f t="shared" si="241"/>
        <v>#REF!</v>
      </c>
    </row>
    <row r="729" spans="1:34" x14ac:dyDescent="0.35">
      <c r="A729" s="305" t="s">
        <v>15</v>
      </c>
      <c r="B729" s="306"/>
      <c r="C729" s="307"/>
      <c r="D729" s="727">
        <v>122187300</v>
      </c>
      <c r="E729" s="728">
        <f>+E730</f>
        <v>362444800</v>
      </c>
      <c r="F729" s="729">
        <f t="shared" ref="F729:H731" si="242">+F730</f>
        <v>84084500</v>
      </c>
      <c r="G729" s="729">
        <f t="shared" si="242"/>
        <v>83834500</v>
      </c>
      <c r="H729" s="728">
        <f t="shared" si="242"/>
        <v>0</v>
      </c>
      <c r="I729" s="728">
        <f t="shared" si="187"/>
        <v>83834500</v>
      </c>
      <c r="J729" s="728">
        <f t="shared" si="197"/>
        <v>278610300</v>
      </c>
      <c r="K729" s="728">
        <f t="shared" ref="K729:S731" si="243">+K730</f>
        <v>2807987500</v>
      </c>
      <c r="L729" s="728">
        <f t="shared" si="243"/>
        <v>2761279397.3800001</v>
      </c>
      <c r="M729" s="728">
        <f t="shared" si="243"/>
        <v>3307062000</v>
      </c>
      <c r="N729" s="728">
        <f t="shared" si="243"/>
        <v>2851113500</v>
      </c>
      <c r="O729" s="727">
        <f t="shared" si="243"/>
        <v>121601600</v>
      </c>
      <c r="P729" s="727">
        <v>7141500</v>
      </c>
      <c r="Q729" s="727">
        <f t="shared" si="188"/>
        <v>114460100</v>
      </c>
      <c r="R729" s="727">
        <f t="shared" si="243"/>
        <v>14279647.779999999</v>
      </c>
      <c r="S729" s="727">
        <f t="shared" si="243"/>
        <v>0</v>
      </c>
      <c r="T729" s="730">
        <f>Q730-R730-S730</f>
        <v>100180452.22</v>
      </c>
      <c r="U729" s="144" t="e">
        <f>SUM(U730)</f>
        <v>#REF!</v>
      </c>
      <c r="V729" s="144" t="e">
        <f t="shared" si="241"/>
        <v>#REF!</v>
      </c>
      <c r="W729" s="144" t="e">
        <f t="shared" si="241"/>
        <v>#REF!</v>
      </c>
      <c r="X729" s="144" t="e">
        <f t="shared" si="241"/>
        <v>#REF!</v>
      </c>
      <c r="Y729" s="144" t="e">
        <f t="shared" si="241"/>
        <v>#REF!</v>
      </c>
      <c r="Z729" s="144" t="e">
        <f t="shared" si="241"/>
        <v>#REF!</v>
      </c>
      <c r="AA729" s="144" t="e">
        <f t="shared" si="241"/>
        <v>#REF!</v>
      </c>
      <c r="AB729" s="144" t="e">
        <f>SUM(AB730)</f>
        <v>#REF!</v>
      </c>
      <c r="AC729" s="731" t="e">
        <f t="shared" si="241"/>
        <v>#REF!</v>
      </c>
      <c r="AD729" s="145">
        <v>122187300</v>
      </c>
      <c r="AE729" s="730" t="e">
        <f>SUM(AE730)</f>
        <v>#REF!</v>
      </c>
      <c r="AF729" s="732" t="e">
        <f t="shared" si="241"/>
        <v>#REF!</v>
      </c>
    </row>
    <row r="730" spans="1:34" x14ac:dyDescent="0.35">
      <c r="A730" s="9" t="s">
        <v>159</v>
      </c>
      <c r="B730" s="10"/>
      <c r="C730" s="11"/>
      <c r="D730" s="730">
        <v>122187300</v>
      </c>
      <c r="E730" s="733">
        <f>+E731</f>
        <v>362444800</v>
      </c>
      <c r="F730" s="734">
        <f t="shared" si="242"/>
        <v>84084500</v>
      </c>
      <c r="G730" s="734">
        <f t="shared" si="242"/>
        <v>83834500</v>
      </c>
      <c r="H730" s="733">
        <f t="shared" si="242"/>
        <v>0</v>
      </c>
      <c r="I730" s="733">
        <f t="shared" si="187"/>
        <v>83834500</v>
      </c>
      <c r="J730" s="733">
        <f t="shared" si="197"/>
        <v>278610300</v>
      </c>
      <c r="K730" s="733">
        <f t="shared" si="243"/>
        <v>2807987500</v>
      </c>
      <c r="L730" s="733">
        <f t="shared" si="243"/>
        <v>2761279397.3800001</v>
      </c>
      <c r="M730" s="733">
        <f t="shared" si="243"/>
        <v>3307062000</v>
      </c>
      <c r="N730" s="733">
        <f t="shared" si="243"/>
        <v>2851113500</v>
      </c>
      <c r="O730" s="730">
        <f>+O731</f>
        <v>121601600</v>
      </c>
      <c r="P730" s="730">
        <v>7141500</v>
      </c>
      <c r="Q730" s="730">
        <f t="shared" si="188"/>
        <v>114460100</v>
      </c>
      <c r="R730" s="730">
        <f t="shared" si="243"/>
        <v>14279647.779999999</v>
      </c>
      <c r="S730" s="730">
        <f t="shared" si="243"/>
        <v>0</v>
      </c>
      <c r="T730" s="735">
        <f>Q731-R731-S731</f>
        <v>100180452.22</v>
      </c>
      <c r="U730" s="735" t="e">
        <f>+U731</f>
        <v>#REF!</v>
      </c>
      <c r="V730" s="735" t="e">
        <f t="shared" ref="V730:AF730" si="244">+V731</f>
        <v>#REF!</v>
      </c>
      <c r="W730" s="735" t="e">
        <f t="shared" si="244"/>
        <v>#REF!</v>
      </c>
      <c r="X730" s="735" t="e">
        <f t="shared" si="244"/>
        <v>#REF!</v>
      </c>
      <c r="Y730" s="735" t="e">
        <f t="shared" si="244"/>
        <v>#REF!</v>
      </c>
      <c r="Z730" s="735" t="e">
        <f t="shared" si="244"/>
        <v>#REF!</v>
      </c>
      <c r="AA730" s="735" t="e">
        <f t="shared" si="244"/>
        <v>#REF!</v>
      </c>
      <c r="AB730" s="735" t="e">
        <f t="shared" si="244"/>
        <v>#REF!</v>
      </c>
      <c r="AC730" s="735" t="e">
        <f t="shared" si="244"/>
        <v>#REF!</v>
      </c>
      <c r="AD730" s="735">
        <f t="shared" si="244"/>
        <v>293292200</v>
      </c>
      <c r="AE730" s="735" t="e">
        <f t="shared" si="244"/>
        <v>#REF!</v>
      </c>
      <c r="AF730" s="735" t="e">
        <f t="shared" si="244"/>
        <v>#REF!</v>
      </c>
    </row>
    <row r="731" spans="1:34" x14ac:dyDescent="0.35">
      <c r="A731" s="14" t="s">
        <v>119</v>
      </c>
      <c r="B731" s="15"/>
      <c r="C731" s="16"/>
      <c r="D731" s="735">
        <v>122187300</v>
      </c>
      <c r="E731" s="736">
        <f>+E732</f>
        <v>362444800</v>
      </c>
      <c r="F731" s="737">
        <f t="shared" si="242"/>
        <v>84084500</v>
      </c>
      <c r="G731" s="737">
        <f t="shared" si="242"/>
        <v>83834500</v>
      </c>
      <c r="H731" s="736">
        <f t="shared" si="242"/>
        <v>0</v>
      </c>
      <c r="I731" s="736">
        <f t="shared" si="187"/>
        <v>83834500</v>
      </c>
      <c r="J731" s="736">
        <f t="shared" si="197"/>
        <v>278610300</v>
      </c>
      <c r="K731" s="736">
        <f t="shared" si="243"/>
        <v>2807987500</v>
      </c>
      <c r="L731" s="736">
        <f t="shared" si="243"/>
        <v>2761279397.3800001</v>
      </c>
      <c r="M731" s="736">
        <f t="shared" si="243"/>
        <v>3307062000</v>
      </c>
      <c r="N731" s="736">
        <f t="shared" si="243"/>
        <v>2851113500</v>
      </c>
      <c r="O731" s="735">
        <f>+O732</f>
        <v>121601600</v>
      </c>
      <c r="P731" s="735">
        <v>7141500</v>
      </c>
      <c r="Q731" s="735">
        <f t="shared" si="188"/>
        <v>114460100</v>
      </c>
      <c r="R731" s="735">
        <f t="shared" si="243"/>
        <v>14279647.779999999</v>
      </c>
      <c r="S731" s="735">
        <f t="shared" si="243"/>
        <v>0</v>
      </c>
      <c r="T731" s="738">
        <f>Q732-R732-S732</f>
        <v>100180452.22</v>
      </c>
      <c r="U731" s="738" t="e">
        <f>SUM(#REF!)</f>
        <v>#REF!</v>
      </c>
      <c r="V731" s="738" t="e">
        <f>SUM(#REF!)</f>
        <v>#REF!</v>
      </c>
      <c r="W731" s="738" t="e">
        <f>SUM(#REF!)</f>
        <v>#REF!</v>
      </c>
      <c r="X731" s="738" t="e">
        <f>SUM(#REF!)</f>
        <v>#REF!</v>
      </c>
      <c r="Y731" s="738" t="e">
        <f>SUM(#REF!)</f>
        <v>#REF!</v>
      </c>
      <c r="Z731" s="738" t="e">
        <f>SUM(#REF!)</f>
        <v>#REF!</v>
      </c>
      <c r="AA731" s="738" t="e">
        <f>SUM(#REF!)</f>
        <v>#REF!</v>
      </c>
      <c r="AB731" s="738" t="e">
        <f>SUM(#REF!)</f>
        <v>#REF!</v>
      </c>
      <c r="AC731" s="738" t="e">
        <f>SUM(#REF!)</f>
        <v>#REF!</v>
      </c>
      <c r="AD731" s="738">
        <v>293292200</v>
      </c>
      <c r="AE731" s="738" t="e">
        <f>SUM(#REF!)</f>
        <v>#REF!</v>
      </c>
      <c r="AF731" s="738" t="e">
        <f>SUM(#REF!)</f>
        <v>#REF!</v>
      </c>
    </row>
    <row r="732" spans="1:34" x14ac:dyDescent="0.35">
      <c r="A732" s="313" t="s">
        <v>118</v>
      </c>
      <c r="B732" s="739"/>
      <c r="C732" s="740"/>
      <c r="D732" s="689">
        <v>122187300</v>
      </c>
      <c r="E732" s="690">
        <f>SUM(E734:E888)</f>
        <v>362444800</v>
      </c>
      <c r="F732" s="691">
        <f>+F733+F888</f>
        <v>84084500</v>
      </c>
      <c r="G732" s="691">
        <f>+G733+G888</f>
        <v>83834500</v>
      </c>
      <c r="H732" s="690"/>
      <c r="I732" s="690">
        <f t="shared" si="187"/>
        <v>83834500</v>
      </c>
      <c r="J732" s="690">
        <f t="shared" si="197"/>
        <v>278610300</v>
      </c>
      <c r="K732" s="690">
        <f t="shared" ref="K732:S732" si="245">SUM(K734:K888)</f>
        <v>2807987500</v>
      </c>
      <c r="L732" s="690">
        <f t="shared" si="245"/>
        <v>2761279397.3800001</v>
      </c>
      <c r="M732" s="690">
        <f t="shared" si="245"/>
        <v>3307062000</v>
      </c>
      <c r="N732" s="690">
        <f t="shared" si="245"/>
        <v>2851113500</v>
      </c>
      <c r="O732" s="689">
        <f t="shared" si="245"/>
        <v>121601600</v>
      </c>
      <c r="P732" s="689">
        <v>7141500</v>
      </c>
      <c r="Q732" s="689">
        <f t="shared" si="188"/>
        <v>114460100</v>
      </c>
      <c r="R732" s="689">
        <f t="shared" si="245"/>
        <v>14279647.779999999</v>
      </c>
      <c r="S732" s="689">
        <f t="shared" si="245"/>
        <v>0</v>
      </c>
      <c r="T732" s="741">
        <f>Q912-R912-S912</f>
        <v>16850384.149999619</v>
      </c>
      <c r="U732" s="741">
        <f>SUM(U734)</f>
        <v>4044356700</v>
      </c>
      <c r="V732" s="741">
        <f t="shared" ref="V732:AF732" si="246">SUM(V734)</f>
        <v>4281765400</v>
      </c>
      <c r="W732" s="741">
        <f t="shared" si="246"/>
        <v>4547616900</v>
      </c>
      <c r="X732" s="741">
        <f t="shared" si="246"/>
        <v>4844793500</v>
      </c>
      <c r="Y732" s="741">
        <f t="shared" si="246"/>
        <v>24358967500</v>
      </c>
      <c r="Z732" s="741">
        <f t="shared" si="246"/>
        <v>89358967500</v>
      </c>
      <c r="AA732" s="741" t="e">
        <f t="shared" si="246"/>
        <v>#REF!</v>
      </c>
      <c r="AB732" s="741" t="e">
        <f t="shared" si="246"/>
        <v>#REF!</v>
      </c>
      <c r="AC732" s="741">
        <f t="shared" si="246"/>
        <v>0</v>
      </c>
      <c r="AD732" s="741">
        <f t="shared" si="246"/>
        <v>3668016700</v>
      </c>
      <c r="AE732" s="741" t="e">
        <f t="shared" si="246"/>
        <v>#REF!</v>
      </c>
      <c r="AF732" s="741" t="e">
        <f t="shared" si="246"/>
        <v>#REF!</v>
      </c>
      <c r="AG732" s="432">
        <v>83834500</v>
      </c>
    </row>
    <row r="733" spans="1:34" x14ac:dyDescent="0.35">
      <c r="A733" s="313" t="s">
        <v>292</v>
      </c>
      <c r="B733" s="739"/>
      <c r="C733" s="740"/>
      <c r="D733" s="689"/>
      <c r="E733" s="690"/>
      <c r="F733" s="691">
        <f>+F734+F790+F804+F833+F862</f>
        <v>11521300</v>
      </c>
      <c r="G733" s="691">
        <f>+G734+G790+G804+G833+G862</f>
        <v>11271300</v>
      </c>
      <c r="H733" s="690"/>
      <c r="I733" s="690"/>
      <c r="J733" s="690"/>
      <c r="K733" s="742"/>
      <c r="L733" s="742"/>
      <c r="M733" s="742"/>
      <c r="N733" s="742"/>
      <c r="O733" s="689"/>
      <c r="P733" s="689"/>
      <c r="Q733" s="689"/>
      <c r="R733" s="689"/>
      <c r="S733" s="689"/>
      <c r="T733" s="741"/>
      <c r="U733" s="741"/>
      <c r="V733" s="741"/>
      <c r="W733" s="741"/>
      <c r="X733" s="741"/>
      <c r="Y733" s="741"/>
      <c r="Z733" s="741"/>
      <c r="AA733" s="741"/>
      <c r="AB733" s="741"/>
      <c r="AC733" s="741"/>
      <c r="AD733" s="741"/>
      <c r="AE733" s="741"/>
      <c r="AF733" s="741"/>
      <c r="AG733" s="432">
        <v>11271300</v>
      </c>
    </row>
    <row r="734" spans="1:34" x14ac:dyDescent="0.35">
      <c r="A734" s="313"/>
      <c r="B734" s="72" t="s">
        <v>452</v>
      </c>
      <c r="C734" s="125"/>
      <c r="D734" s="689"/>
      <c r="E734" s="690">
        <v>11808400</v>
      </c>
      <c r="F734" s="691">
        <f>+F735</f>
        <v>3596500</v>
      </c>
      <c r="G734" s="691">
        <f>+G735</f>
        <v>3596500</v>
      </c>
      <c r="H734" s="690"/>
      <c r="I734" s="690">
        <f t="shared" si="187"/>
        <v>3596500</v>
      </c>
      <c r="J734" s="690">
        <f t="shared" si="197"/>
        <v>8211900</v>
      </c>
      <c r="K734" s="154">
        <f>+K888+K937</f>
        <v>1852711300</v>
      </c>
      <c r="L734" s="155">
        <f>+L888+L937</f>
        <v>1821115327.8600001</v>
      </c>
      <c r="M734" s="692">
        <f>+M888+M937</f>
        <v>2183026100</v>
      </c>
      <c r="N734" s="154">
        <f>+N888+N937</f>
        <v>1878592200</v>
      </c>
      <c r="O734" s="689">
        <v>63222400</v>
      </c>
      <c r="P734" s="689">
        <v>0</v>
      </c>
      <c r="Q734" s="689">
        <f t="shared" si="188"/>
        <v>63222400</v>
      </c>
      <c r="R734" s="689">
        <v>13804289.58</v>
      </c>
      <c r="S734" s="689">
        <v>0</v>
      </c>
      <c r="T734" s="693">
        <f>Q913-R913-S913</f>
        <v>16850384.149999619</v>
      </c>
      <c r="U734" s="693">
        <f t="shared" ref="U734:AF734" si="247">+U888+U937</f>
        <v>4044356700</v>
      </c>
      <c r="V734" s="693">
        <f t="shared" si="247"/>
        <v>4281765400</v>
      </c>
      <c r="W734" s="693">
        <f t="shared" si="247"/>
        <v>4547616900</v>
      </c>
      <c r="X734" s="693">
        <f t="shared" si="247"/>
        <v>4844793500</v>
      </c>
      <c r="Y734" s="693">
        <f t="shared" si="247"/>
        <v>24358967500</v>
      </c>
      <c r="Z734" s="693">
        <f t="shared" si="247"/>
        <v>89358967500</v>
      </c>
      <c r="AA734" s="693" t="e">
        <f t="shared" si="247"/>
        <v>#REF!</v>
      </c>
      <c r="AB734" s="693" t="e">
        <f t="shared" si="247"/>
        <v>#REF!</v>
      </c>
      <c r="AC734" s="693">
        <f t="shared" si="247"/>
        <v>0</v>
      </c>
      <c r="AD734" s="693">
        <f t="shared" si="247"/>
        <v>3668016700</v>
      </c>
      <c r="AE734" s="693" t="e">
        <f t="shared" si="247"/>
        <v>#REF!</v>
      </c>
      <c r="AF734" s="693" t="e">
        <f t="shared" si="247"/>
        <v>#REF!</v>
      </c>
      <c r="AG734" s="432">
        <v>3596500</v>
      </c>
    </row>
    <row r="735" spans="1:34" x14ac:dyDescent="0.35">
      <c r="A735" s="313"/>
      <c r="B735" s="293" t="s">
        <v>339</v>
      </c>
      <c r="C735" s="125"/>
      <c r="D735" s="689"/>
      <c r="E735" s="690"/>
      <c r="F735" s="694">
        <f>SUM(F737:F789)</f>
        <v>3596500</v>
      </c>
      <c r="G735" s="694">
        <f>SUM(G737:G789)</f>
        <v>3596500</v>
      </c>
      <c r="H735" s="690"/>
      <c r="I735" s="690"/>
      <c r="J735" s="690"/>
      <c r="K735" s="154"/>
      <c r="L735" s="155"/>
      <c r="M735" s="692"/>
      <c r="N735" s="154"/>
      <c r="O735" s="689"/>
      <c r="P735" s="689"/>
      <c r="Q735" s="689"/>
      <c r="R735" s="689"/>
      <c r="S735" s="689"/>
      <c r="T735" s="693"/>
      <c r="U735" s="693"/>
      <c r="V735" s="693"/>
      <c r="W735" s="693"/>
      <c r="X735" s="693"/>
      <c r="Y735" s="693"/>
      <c r="Z735" s="693"/>
      <c r="AA735" s="693"/>
      <c r="AB735" s="693"/>
      <c r="AC735" s="693"/>
      <c r="AD735" s="693"/>
      <c r="AE735" s="693"/>
      <c r="AF735" s="693"/>
    </row>
    <row r="736" spans="1:34" x14ac:dyDescent="0.35">
      <c r="A736" s="313"/>
      <c r="B736" s="293"/>
      <c r="C736" s="743" t="s">
        <v>70</v>
      </c>
      <c r="D736" s="744"/>
      <c r="E736" s="745"/>
      <c r="F736" s="746"/>
      <c r="G736" s="746"/>
      <c r="H736" s="425"/>
      <c r="I736" s="425"/>
      <c r="J736" s="425"/>
      <c r="K736" s="154"/>
      <c r="L736" s="155"/>
      <c r="M736" s="154"/>
      <c r="N736" s="154"/>
      <c r="O736" s="424"/>
      <c r="P736" s="424"/>
      <c r="Q736" s="424"/>
      <c r="R736" s="424"/>
      <c r="S736" s="424"/>
      <c r="T736" s="427"/>
      <c r="U736" s="427"/>
      <c r="V736" s="427"/>
      <c r="W736" s="427"/>
      <c r="X736" s="427"/>
      <c r="Y736" s="427"/>
      <c r="Z736" s="427"/>
      <c r="AA736" s="427"/>
      <c r="AB736" s="427"/>
      <c r="AC736" s="427"/>
      <c r="AD736" s="427"/>
      <c r="AE736" s="427"/>
      <c r="AF736" s="427"/>
      <c r="AG736" s="3"/>
    </row>
    <row r="737" spans="1:33" x14ac:dyDescent="0.35">
      <c r="A737" s="313"/>
      <c r="B737" s="293"/>
      <c r="C737" s="747" t="s">
        <v>340</v>
      </c>
      <c r="D737" s="748"/>
      <c r="E737" s="749"/>
      <c r="F737" s="750">
        <v>15000</v>
      </c>
      <c r="G737" s="750">
        <v>15000</v>
      </c>
      <c r="H737" s="690"/>
      <c r="I737" s="690"/>
      <c r="J737" s="690"/>
      <c r="K737" s="154"/>
      <c r="L737" s="155"/>
      <c r="M737" s="692"/>
      <c r="N737" s="154"/>
      <c r="O737" s="689"/>
      <c r="P737" s="689"/>
      <c r="Q737" s="689"/>
      <c r="R737" s="689"/>
      <c r="S737" s="689"/>
      <c r="T737" s="693"/>
      <c r="U737" s="693"/>
      <c r="V737" s="693"/>
      <c r="W737" s="693"/>
      <c r="X737" s="693"/>
      <c r="Y737" s="693"/>
      <c r="Z737" s="693"/>
      <c r="AA737" s="693"/>
      <c r="AB737" s="693"/>
      <c r="AC737" s="693"/>
      <c r="AD737" s="693"/>
      <c r="AE737" s="693"/>
      <c r="AF737" s="693"/>
    </row>
    <row r="738" spans="1:33" x14ac:dyDescent="0.35">
      <c r="A738" s="313"/>
      <c r="B738" s="293"/>
      <c r="C738" s="747" t="s">
        <v>341</v>
      </c>
      <c r="D738" s="748"/>
      <c r="E738" s="749"/>
      <c r="F738" s="750">
        <v>24000</v>
      </c>
      <c r="G738" s="750">
        <v>24000</v>
      </c>
      <c r="H738" s="690"/>
      <c r="I738" s="690"/>
      <c r="J738" s="690"/>
      <c r="K738" s="154"/>
      <c r="L738" s="155"/>
      <c r="M738" s="692"/>
      <c r="N738" s="154"/>
      <c r="O738" s="689"/>
      <c r="P738" s="689"/>
      <c r="Q738" s="689"/>
      <c r="R738" s="689"/>
      <c r="S738" s="689"/>
      <c r="T738" s="693"/>
      <c r="U738" s="693"/>
      <c r="V738" s="693"/>
      <c r="W738" s="693"/>
      <c r="X738" s="693"/>
      <c r="Y738" s="693"/>
      <c r="Z738" s="693"/>
      <c r="AA738" s="693"/>
      <c r="AB738" s="693"/>
      <c r="AC738" s="693"/>
      <c r="AD738" s="693"/>
      <c r="AE738" s="693"/>
      <c r="AF738" s="693"/>
    </row>
    <row r="739" spans="1:33" x14ac:dyDescent="0.35">
      <c r="A739" s="313"/>
      <c r="B739" s="293"/>
      <c r="C739" s="743" t="s">
        <v>263</v>
      </c>
      <c r="D739" s="744"/>
      <c r="E739" s="745"/>
      <c r="F739" s="746"/>
      <c r="G739" s="746"/>
      <c r="H739" s="425"/>
      <c r="I739" s="425"/>
      <c r="J739" s="425"/>
      <c r="K739" s="154"/>
      <c r="L739" s="155"/>
      <c r="M739" s="154"/>
      <c r="N739" s="154"/>
      <c r="O739" s="424"/>
      <c r="P739" s="424"/>
      <c r="Q739" s="424"/>
      <c r="R739" s="424"/>
      <c r="S739" s="424"/>
      <c r="T739" s="427"/>
      <c r="U739" s="427"/>
      <c r="V739" s="427"/>
      <c r="W739" s="427"/>
      <c r="X739" s="427"/>
      <c r="Y739" s="427"/>
      <c r="Z739" s="427"/>
      <c r="AA739" s="427"/>
      <c r="AB739" s="427"/>
      <c r="AC739" s="427"/>
      <c r="AD739" s="427"/>
      <c r="AE739" s="427"/>
      <c r="AF739" s="427"/>
      <c r="AG739" s="3"/>
    </row>
    <row r="740" spans="1:33" x14ac:dyDescent="0.35">
      <c r="A740" s="313"/>
      <c r="B740" s="293"/>
      <c r="C740" s="747" t="s">
        <v>342</v>
      </c>
      <c r="D740" s="748"/>
      <c r="E740" s="749"/>
      <c r="F740" s="750">
        <v>68000</v>
      </c>
      <c r="G740" s="750">
        <v>68000</v>
      </c>
      <c r="H740" s="690"/>
      <c r="I740" s="690"/>
      <c r="J740" s="690"/>
      <c r="K740" s="154"/>
      <c r="L740" s="155"/>
      <c r="M740" s="692"/>
      <c r="N740" s="154"/>
      <c r="O740" s="689"/>
      <c r="P740" s="689"/>
      <c r="Q740" s="689"/>
      <c r="R740" s="689"/>
      <c r="S740" s="689"/>
      <c r="T740" s="693"/>
      <c r="U740" s="693"/>
      <c r="V740" s="693"/>
      <c r="W740" s="693"/>
      <c r="X740" s="693"/>
      <c r="Y740" s="693"/>
      <c r="Z740" s="693"/>
      <c r="AA740" s="693"/>
      <c r="AB740" s="693"/>
      <c r="AC740" s="693"/>
      <c r="AD740" s="693"/>
      <c r="AE740" s="693"/>
      <c r="AF740" s="693"/>
    </row>
    <row r="741" spans="1:33" x14ac:dyDescent="0.35">
      <c r="A741" s="313"/>
      <c r="B741" s="293"/>
      <c r="C741" s="743" t="s">
        <v>262</v>
      </c>
      <c r="D741" s="744"/>
      <c r="E741" s="745"/>
      <c r="F741" s="746"/>
      <c r="G741" s="746"/>
      <c r="H741" s="425"/>
      <c r="I741" s="425"/>
      <c r="J741" s="425"/>
      <c r="K741" s="154"/>
      <c r="L741" s="155"/>
      <c r="M741" s="154"/>
      <c r="N741" s="154"/>
      <c r="O741" s="424"/>
      <c r="P741" s="424"/>
      <c r="Q741" s="424"/>
      <c r="R741" s="424"/>
      <c r="S741" s="424"/>
      <c r="T741" s="427"/>
      <c r="U741" s="427"/>
      <c r="V741" s="427"/>
      <c r="W741" s="427"/>
      <c r="X741" s="427"/>
      <c r="Y741" s="427"/>
      <c r="Z741" s="427"/>
      <c r="AA741" s="427"/>
      <c r="AB741" s="427"/>
      <c r="AC741" s="427"/>
      <c r="AD741" s="427"/>
      <c r="AE741" s="427"/>
      <c r="AF741" s="427"/>
      <c r="AG741" s="3"/>
    </row>
    <row r="742" spans="1:33" x14ac:dyDescent="0.35">
      <c r="A742" s="313"/>
      <c r="B742" s="293"/>
      <c r="C742" s="747" t="s">
        <v>343</v>
      </c>
      <c r="D742" s="748"/>
      <c r="E742" s="749"/>
      <c r="F742" s="750">
        <v>9000</v>
      </c>
      <c r="G742" s="750">
        <v>9000</v>
      </c>
      <c r="H742" s="690"/>
      <c r="I742" s="690"/>
      <c r="J742" s="690"/>
      <c r="K742" s="154"/>
      <c r="L742" s="155"/>
      <c r="M742" s="692"/>
      <c r="N742" s="154"/>
      <c r="O742" s="689"/>
      <c r="P742" s="689"/>
      <c r="Q742" s="689"/>
      <c r="R742" s="689"/>
      <c r="S742" s="689"/>
      <c r="T742" s="693"/>
      <c r="U742" s="693"/>
      <c r="V742" s="693"/>
      <c r="W742" s="693"/>
      <c r="X742" s="693"/>
      <c r="Y742" s="693"/>
      <c r="Z742" s="693"/>
      <c r="AA742" s="693"/>
      <c r="AB742" s="693"/>
      <c r="AC742" s="693"/>
      <c r="AD742" s="693"/>
      <c r="AE742" s="693"/>
      <c r="AF742" s="693"/>
    </row>
    <row r="743" spans="1:33" x14ac:dyDescent="0.35">
      <c r="A743" s="313"/>
      <c r="B743" s="293"/>
      <c r="C743" s="751" t="s">
        <v>43</v>
      </c>
      <c r="D743" s="752"/>
      <c r="E743" s="753"/>
      <c r="F743" s="754"/>
      <c r="G743" s="754"/>
      <c r="H743" s="425"/>
      <c r="I743" s="425"/>
      <c r="J743" s="425"/>
      <c r="K743" s="154"/>
      <c r="L743" s="155"/>
      <c r="M743" s="154"/>
      <c r="N743" s="154"/>
      <c r="O743" s="424"/>
      <c r="P743" s="424"/>
      <c r="Q743" s="424"/>
      <c r="R743" s="424"/>
      <c r="S743" s="424"/>
      <c r="T743" s="427"/>
      <c r="U743" s="427"/>
      <c r="V743" s="427"/>
      <c r="W743" s="427"/>
      <c r="X743" s="427"/>
      <c r="Y743" s="427"/>
      <c r="Z743" s="427"/>
      <c r="AA743" s="427"/>
      <c r="AB743" s="427"/>
      <c r="AC743" s="427"/>
      <c r="AD743" s="427"/>
      <c r="AE743" s="427"/>
      <c r="AF743" s="427"/>
      <c r="AG743" s="3"/>
    </row>
    <row r="744" spans="1:33" x14ac:dyDescent="0.35">
      <c r="A744" s="313"/>
      <c r="B744" s="293"/>
      <c r="C744" s="755" t="s">
        <v>344</v>
      </c>
      <c r="D744" s="738"/>
      <c r="E744" s="756"/>
      <c r="F744" s="757">
        <v>120000</v>
      </c>
      <c r="G744" s="757">
        <v>120000</v>
      </c>
      <c r="H744" s="690"/>
      <c r="I744" s="690"/>
      <c r="J744" s="690"/>
      <c r="K744" s="154"/>
      <c r="L744" s="155"/>
      <c r="M744" s="692"/>
      <c r="N744" s="154"/>
      <c r="O744" s="689"/>
      <c r="P744" s="689"/>
      <c r="Q744" s="689"/>
      <c r="R744" s="689"/>
      <c r="S744" s="689"/>
      <c r="T744" s="693"/>
      <c r="U744" s="693"/>
      <c r="V744" s="693"/>
      <c r="W744" s="693"/>
      <c r="X744" s="693"/>
      <c r="Y744" s="693"/>
      <c r="Z744" s="693"/>
      <c r="AA744" s="693"/>
      <c r="AB744" s="693"/>
      <c r="AC744" s="693"/>
      <c r="AD744" s="693"/>
      <c r="AE744" s="693"/>
      <c r="AF744" s="693"/>
    </row>
    <row r="745" spans="1:33" x14ac:dyDescent="0.35">
      <c r="A745" s="313"/>
      <c r="B745" s="293"/>
      <c r="C745" s="755" t="s">
        <v>345</v>
      </c>
      <c r="D745" s="738"/>
      <c r="E745" s="756"/>
      <c r="F745" s="757">
        <v>40000</v>
      </c>
      <c r="G745" s="757">
        <v>40000</v>
      </c>
      <c r="H745" s="690"/>
      <c r="I745" s="690"/>
      <c r="J745" s="690"/>
      <c r="K745" s="154"/>
      <c r="L745" s="155"/>
      <c r="M745" s="692"/>
      <c r="N745" s="154"/>
      <c r="O745" s="689"/>
      <c r="P745" s="689"/>
      <c r="Q745" s="689"/>
      <c r="R745" s="689"/>
      <c r="S745" s="689"/>
      <c r="T745" s="693"/>
      <c r="U745" s="693"/>
      <c r="V745" s="693"/>
      <c r="W745" s="693"/>
      <c r="X745" s="693"/>
      <c r="Y745" s="693"/>
      <c r="Z745" s="693"/>
      <c r="AA745" s="693"/>
      <c r="AB745" s="693"/>
      <c r="AC745" s="693"/>
      <c r="AD745" s="693"/>
      <c r="AE745" s="693"/>
      <c r="AF745" s="693"/>
    </row>
    <row r="746" spans="1:33" x14ac:dyDescent="0.35">
      <c r="A746" s="313"/>
      <c r="B746" s="293"/>
      <c r="C746" s="755" t="s">
        <v>346</v>
      </c>
      <c r="D746" s="738"/>
      <c r="E746" s="756"/>
      <c r="F746" s="757">
        <v>63200.000000000007</v>
      </c>
      <c r="G746" s="757">
        <v>63200.000000000007</v>
      </c>
      <c r="H746" s="690"/>
      <c r="I746" s="690"/>
      <c r="J746" s="690"/>
      <c r="K746" s="154"/>
      <c r="L746" s="155"/>
      <c r="M746" s="692"/>
      <c r="N746" s="154"/>
      <c r="O746" s="689"/>
      <c r="P746" s="689"/>
      <c r="Q746" s="689"/>
      <c r="R746" s="689"/>
      <c r="S746" s="689"/>
      <c r="T746" s="693"/>
      <c r="U746" s="693"/>
      <c r="V746" s="693"/>
      <c r="W746" s="693"/>
      <c r="X746" s="693"/>
      <c r="Y746" s="693"/>
      <c r="Z746" s="693"/>
      <c r="AA746" s="693"/>
      <c r="AB746" s="693"/>
      <c r="AC746" s="693"/>
      <c r="AD746" s="693"/>
      <c r="AE746" s="693"/>
      <c r="AF746" s="693"/>
    </row>
    <row r="747" spans="1:33" x14ac:dyDescent="0.35">
      <c r="A747" s="313"/>
      <c r="B747" s="293"/>
      <c r="C747" s="758" t="s">
        <v>54</v>
      </c>
      <c r="D747" s="759"/>
      <c r="E747" s="760"/>
      <c r="F747" s="761"/>
      <c r="G747" s="761"/>
      <c r="H747" s="425"/>
      <c r="I747" s="425"/>
      <c r="J747" s="425"/>
      <c r="K747" s="154"/>
      <c r="L747" s="155"/>
      <c r="M747" s="154"/>
      <c r="N747" s="154"/>
      <c r="O747" s="424"/>
      <c r="P747" s="424"/>
      <c r="Q747" s="424"/>
      <c r="R747" s="424"/>
      <c r="S747" s="424"/>
      <c r="T747" s="427"/>
      <c r="U747" s="427"/>
      <c r="V747" s="427"/>
      <c r="W747" s="427"/>
      <c r="X747" s="427"/>
      <c r="Y747" s="427"/>
      <c r="Z747" s="427"/>
      <c r="AA747" s="427"/>
      <c r="AB747" s="427"/>
      <c r="AC747" s="427"/>
      <c r="AD747" s="427"/>
      <c r="AE747" s="427"/>
      <c r="AF747" s="427"/>
      <c r="AG747" s="3"/>
    </row>
    <row r="748" spans="1:33" x14ac:dyDescent="0.35">
      <c r="A748" s="313"/>
      <c r="B748" s="293"/>
      <c r="C748" s="762" t="s">
        <v>347</v>
      </c>
      <c r="D748" s="763"/>
      <c r="E748" s="764"/>
      <c r="F748" s="765">
        <v>20000</v>
      </c>
      <c r="G748" s="766">
        <v>20000</v>
      </c>
      <c r="H748" s="690"/>
      <c r="I748" s="690"/>
      <c r="J748" s="690"/>
      <c r="K748" s="154"/>
      <c r="L748" s="155"/>
      <c r="M748" s="692"/>
      <c r="N748" s="154"/>
      <c r="O748" s="689"/>
      <c r="P748" s="689"/>
      <c r="Q748" s="689"/>
      <c r="R748" s="689"/>
      <c r="S748" s="689"/>
      <c r="T748" s="693"/>
      <c r="U748" s="693"/>
      <c r="V748" s="693"/>
      <c r="W748" s="693"/>
      <c r="X748" s="693"/>
      <c r="Y748" s="693"/>
      <c r="Z748" s="693"/>
      <c r="AA748" s="693"/>
      <c r="AB748" s="693"/>
      <c r="AC748" s="693"/>
      <c r="AD748" s="693"/>
      <c r="AE748" s="693"/>
      <c r="AF748" s="693"/>
    </row>
    <row r="749" spans="1:33" x14ac:dyDescent="0.35">
      <c r="A749" s="313"/>
      <c r="B749" s="293"/>
      <c r="C749" s="762" t="s">
        <v>348</v>
      </c>
      <c r="D749" s="763"/>
      <c r="E749" s="764"/>
      <c r="F749" s="765">
        <v>14000</v>
      </c>
      <c r="G749" s="766">
        <v>14000</v>
      </c>
      <c r="H749" s="690"/>
      <c r="I749" s="690"/>
      <c r="J749" s="690"/>
      <c r="K749" s="154"/>
      <c r="L749" s="155"/>
      <c r="M749" s="692"/>
      <c r="N749" s="154"/>
      <c r="O749" s="689"/>
      <c r="P749" s="689"/>
      <c r="Q749" s="689"/>
      <c r="R749" s="689"/>
      <c r="S749" s="689"/>
      <c r="T749" s="693"/>
      <c r="U749" s="693"/>
      <c r="V749" s="693"/>
      <c r="W749" s="693"/>
      <c r="X749" s="693"/>
      <c r="Y749" s="693"/>
      <c r="Z749" s="693"/>
      <c r="AA749" s="693"/>
      <c r="AB749" s="693"/>
      <c r="AC749" s="693"/>
      <c r="AD749" s="693"/>
      <c r="AE749" s="693"/>
      <c r="AF749" s="693"/>
    </row>
    <row r="750" spans="1:33" x14ac:dyDescent="0.35">
      <c r="A750" s="313"/>
      <c r="B750" s="293"/>
      <c r="C750" s="767" t="s">
        <v>51</v>
      </c>
      <c r="D750" s="768"/>
      <c r="E750" s="768"/>
      <c r="F750" s="769"/>
      <c r="G750" s="769"/>
      <c r="H750" s="425"/>
      <c r="I750" s="425"/>
      <c r="J750" s="425"/>
      <c r="K750" s="154"/>
      <c r="L750" s="155"/>
      <c r="M750" s="154"/>
      <c r="N750" s="154"/>
      <c r="O750" s="424"/>
      <c r="P750" s="424"/>
      <c r="Q750" s="424"/>
      <c r="R750" s="424"/>
      <c r="S750" s="424"/>
      <c r="T750" s="427"/>
      <c r="U750" s="427"/>
      <c r="V750" s="427"/>
      <c r="W750" s="427"/>
      <c r="X750" s="427"/>
      <c r="Y750" s="427"/>
      <c r="Z750" s="427"/>
      <c r="AA750" s="427"/>
      <c r="AB750" s="427"/>
      <c r="AC750" s="427"/>
      <c r="AD750" s="427"/>
      <c r="AE750" s="427"/>
      <c r="AF750" s="427"/>
      <c r="AG750" s="3"/>
    </row>
    <row r="751" spans="1:33" x14ac:dyDescent="0.35">
      <c r="A751" s="313"/>
      <c r="B751" s="293"/>
      <c r="C751" s="770" t="s">
        <v>349</v>
      </c>
      <c r="D751" s="771"/>
      <c r="E751" s="771"/>
      <c r="F751" s="772">
        <v>3700</v>
      </c>
      <c r="G751" s="772">
        <v>3700</v>
      </c>
      <c r="H751" s="690"/>
      <c r="I751" s="690"/>
      <c r="J751" s="690"/>
      <c r="K751" s="154"/>
      <c r="L751" s="155"/>
      <c r="M751" s="692"/>
      <c r="N751" s="154"/>
      <c r="O751" s="689"/>
      <c r="P751" s="689"/>
      <c r="Q751" s="689"/>
      <c r="R751" s="689"/>
      <c r="S751" s="689"/>
      <c r="T751" s="693"/>
      <c r="U751" s="693"/>
      <c r="V751" s="693"/>
      <c r="W751" s="693"/>
      <c r="X751" s="693"/>
      <c r="Y751" s="693"/>
      <c r="Z751" s="693"/>
      <c r="AA751" s="693"/>
      <c r="AB751" s="693"/>
      <c r="AC751" s="693"/>
      <c r="AD751" s="693"/>
      <c r="AE751" s="693"/>
      <c r="AF751" s="693"/>
    </row>
    <row r="752" spans="1:33" x14ac:dyDescent="0.35">
      <c r="A752" s="313"/>
      <c r="B752" s="293"/>
      <c r="C752" s="770" t="s">
        <v>350</v>
      </c>
      <c r="D752" s="771"/>
      <c r="E752" s="771"/>
      <c r="F752" s="772">
        <v>2600</v>
      </c>
      <c r="G752" s="772">
        <v>2600</v>
      </c>
      <c r="H752" s="690"/>
      <c r="I752" s="690"/>
      <c r="J752" s="690"/>
      <c r="K752" s="154"/>
      <c r="L752" s="155"/>
      <c r="M752" s="692"/>
      <c r="N752" s="154"/>
      <c r="O752" s="689"/>
      <c r="P752" s="689"/>
      <c r="Q752" s="689"/>
      <c r="R752" s="689"/>
      <c r="S752" s="689"/>
      <c r="T752" s="693"/>
      <c r="U752" s="693"/>
      <c r="V752" s="693"/>
      <c r="W752" s="693"/>
      <c r="X752" s="693"/>
      <c r="Y752" s="693"/>
      <c r="Z752" s="693"/>
      <c r="AA752" s="693"/>
      <c r="AB752" s="693"/>
      <c r="AC752" s="693"/>
      <c r="AD752" s="693"/>
      <c r="AE752" s="693"/>
      <c r="AF752" s="693"/>
    </row>
    <row r="753" spans="1:33" x14ac:dyDescent="0.35">
      <c r="A753" s="313"/>
      <c r="B753" s="293"/>
      <c r="C753" s="770" t="s">
        <v>351</v>
      </c>
      <c r="D753" s="771"/>
      <c r="E753" s="771"/>
      <c r="F753" s="772">
        <v>100000</v>
      </c>
      <c r="G753" s="772">
        <v>100000</v>
      </c>
      <c r="H753" s="690"/>
      <c r="I753" s="690"/>
      <c r="J753" s="690"/>
      <c r="K753" s="154"/>
      <c r="L753" s="155"/>
      <c r="M753" s="692"/>
      <c r="N753" s="154"/>
      <c r="O753" s="689"/>
      <c r="P753" s="689"/>
      <c r="Q753" s="689"/>
      <c r="R753" s="689"/>
      <c r="S753" s="689"/>
      <c r="T753" s="693"/>
      <c r="U753" s="693"/>
      <c r="V753" s="693"/>
      <c r="W753" s="693"/>
      <c r="X753" s="693"/>
      <c r="Y753" s="693"/>
      <c r="Z753" s="693"/>
      <c r="AA753" s="693"/>
      <c r="AB753" s="693"/>
      <c r="AC753" s="693"/>
      <c r="AD753" s="693"/>
      <c r="AE753" s="693"/>
      <c r="AF753" s="693"/>
    </row>
    <row r="754" spans="1:33" x14ac:dyDescent="0.35">
      <c r="A754" s="313"/>
      <c r="B754" s="293"/>
      <c r="C754" s="773" t="s">
        <v>62</v>
      </c>
      <c r="D754" s="774"/>
      <c r="E754" s="774"/>
      <c r="F754" s="775"/>
      <c r="G754" s="775"/>
      <c r="H754" s="425"/>
      <c r="I754" s="425"/>
      <c r="J754" s="425"/>
      <c r="K754" s="154"/>
      <c r="L754" s="155"/>
      <c r="M754" s="154"/>
      <c r="N754" s="154"/>
      <c r="O754" s="424"/>
      <c r="P754" s="424"/>
      <c r="Q754" s="424"/>
      <c r="R754" s="424"/>
      <c r="S754" s="424"/>
      <c r="T754" s="427"/>
      <c r="U754" s="427"/>
      <c r="V754" s="427"/>
      <c r="W754" s="427"/>
      <c r="X754" s="427"/>
      <c r="Y754" s="427"/>
      <c r="Z754" s="427"/>
      <c r="AA754" s="427"/>
      <c r="AB754" s="427"/>
      <c r="AC754" s="427"/>
      <c r="AD754" s="427"/>
      <c r="AE754" s="427"/>
      <c r="AF754" s="427"/>
      <c r="AG754" s="3"/>
    </row>
    <row r="755" spans="1:33" x14ac:dyDescent="0.35">
      <c r="A755" s="313"/>
      <c r="B755" s="293"/>
      <c r="C755" s="776" t="s">
        <v>352</v>
      </c>
      <c r="D755" s="777"/>
      <c r="E755" s="777"/>
      <c r="F755" s="778">
        <v>29900</v>
      </c>
      <c r="G755" s="778">
        <v>29900</v>
      </c>
      <c r="H755" s="690"/>
      <c r="I755" s="690"/>
      <c r="J755" s="690"/>
      <c r="K755" s="154"/>
      <c r="L755" s="155"/>
      <c r="M755" s="692"/>
      <c r="N755" s="154"/>
      <c r="O755" s="689"/>
      <c r="P755" s="689"/>
      <c r="Q755" s="689"/>
      <c r="R755" s="689"/>
      <c r="S755" s="689"/>
      <c r="T755" s="693"/>
      <c r="U755" s="693"/>
      <c r="V755" s="693"/>
      <c r="W755" s="693"/>
      <c r="X755" s="693"/>
      <c r="Y755" s="693"/>
      <c r="Z755" s="693"/>
      <c r="AA755" s="693"/>
      <c r="AB755" s="693"/>
      <c r="AC755" s="693"/>
      <c r="AD755" s="693"/>
      <c r="AE755" s="693"/>
      <c r="AF755" s="693"/>
    </row>
    <row r="756" spans="1:33" x14ac:dyDescent="0.35">
      <c r="A756" s="313"/>
      <c r="B756" s="293"/>
      <c r="C756" s="776" t="s">
        <v>353</v>
      </c>
      <c r="D756" s="777"/>
      <c r="E756" s="777"/>
      <c r="F756" s="778">
        <v>89000</v>
      </c>
      <c r="G756" s="778">
        <v>89000</v>
      </c>
      <c r="H756" s="690"/>
      <c r="I756" s="690"/>
      <c r="J756" s="690"/>
      <c r="K756" s="154"/>
      <c r="L756" s="155"/>
      <c r="M756" s="692"/>
      <c r="N756" s="154"/>
      <c r="O756" s="689"/>
      <c r="P756" s="689"/>
      <c r="Q756" s="689"/>
      <c r="R756" s="689"/>
      <c r="S756" s="689"/>
      <c r="T756" s="693"/>
      <c r="U756" s="693"/>
      <c r="V756" s="693"/>
      <c r="W756" s="693"/>
      <c r="X756" s="693"/>
      <c r="Y756" s="693"/>
      <c r="Z756" s="693"/>
      <c r="AA756" s="693"/>
      <c r="AB756" s="693"/>
      <c r="AC756" s="693"/>
      <c r="AD756" s="693"/>
      <c r="AE756" s="693"/>
      <c r="AF756" s="693"/>
    </row>
    <row r="757" spans="1:33" x14ac:dyDescent="0.35">
      <c r="A757" s="313"/>
      <c r="B757" s="293"/>
      <c r="C757" s="779" t="s">
        <v>50</v>
      </c>
      <c r="D757" s="780"/>
      <c r="E757" s="780"/>
      <c r="F757" s="781"/>
      <c r="G757" s="781"/>
      <c r="H757" s="425"/>
      <c r="I757" s="425"/>
      <c r="J757" s="425"/>
      <c r="K757" s="154"/>
      <c r="L757" s="155"/>
      <c r="M757" s="154"/>
      <c r="N757" s="154"/>
      <c r="O757" s="424"/>
      <c r="P757" s="424"/>
      <c r="Q757" s="424"/>
      <c r="R757" s="424"/>
      <c r="S757" s="424"/>
      <c r="T757" s="427"/>
      <c r="U757" s="427"/>
      <c r="V757" s="427"/>
      <c r="W757" s="427"/>
      <c r="X757" s="427"/>
      <c r="Y757" s="427"/>
      <c r="Z757" s="427"/>
      <c r="AA757" s="427"/>
      <c r="AB757" s="427"/>
      <c r="AC757" s="427"/>
      <c r="AD757" s="427"/>
      <c r="AE757" s="427"/>
      <c r="AF757" s="427"/>
      <c r="AG757" s="3"/>
    </row>
    <row r="758" spans="1:33" x14ac:dyDescent="0.35">
      <c r="A758" s="313"/>
      <c r="B758" s="293"/>
      <c r="C758" s="407" t="s">
        <v>354</v>
      </c>
      <c r="D758" s="700"/>
      <c r="E758" s="700"/>
      <c r="F758" s="701">
        <v>42700</v>
      </c>
      <c r="G758" s="701">
        <v>42700</v>
      </c>
      <c r="H758" s="690"/>
      <c r="I758" s="690"/>
      <c r="J758" s="690"/>
      <c r="K758" s="154"/>
      <c r="L758" s="155"/>
      <c r="M758" s="692"/>
      <c r="N758" s="154"/>
      <c r="O758" s="689"/>
      <c r="P758" s="689"/>
      <c r="Q758" s="689"/>
      <c r="R758" s="689"/>
      <c r="S758" s="689"/>
      <c r="T758" s="693"/>
      <c r="U758" s="693"/>
      <c r="V758" s="693"/>
      <c r="W758" s="693"/>
      <c r="X758" s="693"/>
      <c r="Y758" s="693"/>
      <c r="Z758" s="693"/>
      <c r="AA758" s="693"/>
      <c r="AB758" s="693"/>
      <c r="AC758" s="693"/>
      <c r="AD758" s="693"/>
      <c r="AE758" s="693"/>
      <c r="AF758" s="693"/>
    </row>
    <row r="759" spans="1:33" x14ac:dyDescent="0.35">
      <c r="A759" s="313"/>
      <c r="B759" s="293"/>
      <c r="C759" s="407" t="s">
        <v>355</v>
      </c>
      <c r="D759" s="700"/>
      <c r="E759" s="700"/>
      <c r="F759" s="701">
        <v>4600</v>
      </c>
      <c r="G759" s="701">
        <v>4600</v>
      </c>
      <c r="H759" s="690"/>
      <c r="I759" s="690"/>
      <c r="J759" s="690"/>
      <c r="K759" s="154"/>
      <c r="L759" s="155"/>
      <c r="M759" s="692"/>
      <c r="N759" s="154"/>
      <c r="O759" s="689"/>
      <c r="P759" s="689"/>
      <c r="Q759" s="689"/>
      <c r="R759" s="689"/>
      <c r="S759" s="689"/>
      <c r="T759" s="693"/>
      <c r="U759" s="693"/>
      <c r="V759" s="693"/>
      <c r="W759" s="693"/>
      <c r="X759" s="693"/>
      <c r="Y759" s="693"/>
      <c r="Z759" s="693"/>
      <c r="AA759" s="693"/>
      <c r="AB759" s="693"/>
      <c r="AC759" s="693"/>
      <c r="AD759" s="693"/>
      <c r="AE759" s="693"/>
      <c r="AF759" s="693"/>
    </row>
    <row r="760" spans="1:33" x14ac:dyDescent="0.35">
      <c r="A760" s="313"/>
      <c r="B760" s="293"/>
      <c r="C760" s="407" t="s">
        <v>356</v>
      </c>
      <c r="D760" s="700"/>
      <c r="E760" s="700"/>
      <c r="F760" s="701">
        <v>4000</v>
      </c>
      <c r="G760" s="701">
        <v>4000</v>
      </c>
      <c r="H760" s="690"/>
      <c r="I760" s="690"/>
      <c r="J760" s="690"/>
      <c r="K760" s="154"/>
      <c r="L760" s="155"/>
      <c r="M760" s="692"/>
      <c r="N760" s="154"/>
      <c r="O760" s="689"/>
      <c r="P760" s="689"/>
      <c r="Q760" s="689"/>
      <c r="R760" s="689"/>
      <c r="S760" s="689"/>
      <c r="T760" s="693"/>
      <c r="U760" s="693"/>
      <c r="V760" s="693"/>
      <c r="W760" s="693"/>
      <c r="X760" s="693"/>
      <c r="Y760" s="693"/>
      <c r="Z760" s="693"/>
      <c r="AA760" s="693"/>
      <c r="AB760" s="693"/>
      <c r="AC760" s="693"/>
      <c r="AD760" s="693"/>
      <c r="AE760" s="693"/>
      <c r="AF760" s="693"/>
    </row>
    <row r="761" spans="1:33" x14ac:dyDescent="0.35">
      <c r="A761" s="313"/>
      <c r="B761" s="293"/>
      <c r="C761" s="407" t="s">
        <v>357</v>
      </c>
      <c r="D761" s="700"/>
      <c r="E761" s="700"/>
      <c r="F761" s="701">
        <v>2600</v>
      </c>
      <c r="G761" s="701">
        <v>2600</v>
      </c>
      <c r="H761" s="690"/>
      <c r="I761" s="690"/>
      <c r="J761" s="690"/>
      <c r="K761" s="154"/>
      <c r="L761" s="155"/>
      <c r="M761" s="692"/>
      <c r="N761" s="154"/>
      <c r="O761" s="689"/>
      <c r="P761" s="689"/>
      <c r="Q761" s="689"/>
      <c r="R761" s="689"/>
      <c r="S761" s="689"/>
      <c r="T761" s="693"/>
      <c r="U761" s="693"/>
      <c r="V761" s="693"/>
      <c r="W761" s="693"/>
      <c r="X761" s="693"/>
      <c r="Y761" s="693"/>
      <c r="Z761" s="693"/>
      <c r="AA761" s="693"/>
      <c r="AB761" s="693"/>
      <c r="AC761" s="693"/>
      <c r="AD761" s="693"/>
      <c r="AE761" s="693"/>
      <c r="AF761" s="693"/>
    </row>
    <row r="762" spans="1:33" x14ac:dyDescent="0.35">
      <c r="A762" s="313"/>
      <c r="B762" s="293"/>
      <c r="C762" s="407" t="s">
        <v>358</v>
      </c>
      <c r="D762" s="700"/>
      <c r="E762" s="700"/>
      <c r="F762" s="701">
        <v>5300</v>
      </c>
      <c r="G762" s="701">
        <v>5300</v>
      </c>
      <c r="H762" s="690"/>
      <c r="I762" s="690"/>
      <c r="J762" s="690"/>
      <c r="K762" s="154"/>
      <c r="L762" s="155"/>
      <c r="M762" s="692"/>
      <c r="N762" s="154"/>
      <c r="O762" s="689"/>
      <c r="P762" s="689"/>
      <c r="Q762" s="689"/>
      <c r="R762" s="689"/>
      <c r="S762" s="689"/>
      <c r="T762" s="693"/>
      <c r="U762" s="693"/>
      <c r="V762" s="693"/>
      <c r="W762" s="693"/>
      <c r="X762" s="693"/>
      <c r="Y762" s="693"/>
      <c r="Z762" s="693"/>
      <c r="AA762" s="693"/>
      <c r="AB762" s="693"/>
      <c r="AC762" s="693"/>
      <c r="AD762" s="693"/>
      <c r="AE762" s="693"/>
      <c r="AF762" s="693"/>
    </row>
    <row r="763" spans="1:33" x14ac:dyDescent="0.35">
      <c r="A763" s="313"/>
      <c r="B763" s="293"/>
      <c r="C763" s="407" t="s">
        <v>359</v>
      </c>
      <c r="D763" s="700"/>
      <c r="E763" s="700"/>
      <c r="F763" s="701">
        <v>23000</v>
      </c>
      <c r="G763" s="701">
        <v>23000</v>
      </c>
      <c r="H763" s="690"/>
      <c r="I763" s="690"/>
      <c r="J763" s="690"/>
      <c r="K763" s="154"/>
      <c r="L763" s="155"/>
      <c r="M763" s="692"/>
      <c r="N763" s="154"/>
      <c r="O763" s="689"/>
      <c r="P763" s="689"/>
      <c r="Q763" s="689"/>
      <c r="R763" s="689"/>
      <c r="S763" s="689"/>
      <c r="T763" s="693"/>
      <c r="U763" s="693"/>
      <c r="V763" s="693"/>
      <c r="W763" s="693"/>
      <c r="X763" s="693"/>
      <c r="Y763" s="693"/>
      <c r="Z763" s="693"/>
      <c r="AA763" s="693"/>
      <c r="AB763" s="693"/>
      <c r="AC763" s="693"/>
      <c r="AD763" s="693"/>
      <c r="AE763" s="693"/>
      <c r="AF763" s="693"/>
    </row>
    <row r="764" spans="1:33" x14ac:dyDescent="0.35">
      <c r="A764" s="313"/>
      <c r="B764" s="293"/>
      <c r="C764" s="407" t="s">
        <v>360</v>
      </c>
      <c r="D764" s="700"/>
      <c r="E764" s="700"/>
      <c r="F764" s="701">
        <v>5900</v>
      </c>
      <c r="G764" s="701">
        <v>5900</v>
      </c>
      <c r="H764" s="690"/>
      <c r="I764" s="690"/>
      <c r="J764" s="690"/>
      <c r="K764" s="154"/>
      <c r="L764" s="155"/>
      <c r="M764" s="692"/>
      <c r="N764" s="154"/>
      <c r="O764" s="689"/>
      <c r="P764" s="689"/>
      <c r="Q764" s="689"/>
      <c r="R764" s="689"/>
      <c r="S764" s="689"/>
      <c r="T764" s="693"/>
      <c r="U764" s="693"/>
      <c r="V764" s="693"/>
      <c r="W764" s="693"/>
      <c r="X764" s="693"/>
      <c r="Y764" s="693"/>
      <c r="Z764" s="693"/>
      <c r="AA764" s="693"/>
      <c r="AB764" s="693"/>
      <c r="AC764" s="693"/>
      <c r="AD764" s="693"/>
      <c r="AE764" s="693"/>
      <c r="AF764" s="693"/>
    </row>
    <row r="765" spans="1:33" x14ac:dyDescent="0.35">
      <c r="A765" s="313"/>
      <c r="B765" s="293"/>
      <c r="C765" s="699" t="s">
        <v>361</v>
      </c>
      <c r="D765" s="700"/>
      <c r="E765" s="700"/>
      <c r="F765" s="701">
        <v>40000</v>
      </c>
      <c r="G765" s="701">
        <v>40000</v>
      </c>
      <c r="H765" s="690"/>
      <c r="I765" s="690"/>
      <c r="J765" s="690"/>
      <c r="K765" s="154"/>
      <c r="L765" s="155"/>
      <c r="M765" s="692"/>
      <c r="N765" s="154"/>
      <c r="O765" s="689"/>
      <c r="P765" s="689"/>
      <c r="Q765" s="689"/>
      <c r="R765" s="689"/>
      <c r="S765" s="689"/>
      <c r="T765" s="693"/>
      <c r="U765" s="693"/>
      <c r="V765" s="693"/>
      <c r="W765" s="693"/>
      <c r="X765" s="693"/>
      <c r="Y765" s="693"/>
      <c r="Z765" s="693"/>
      <c r="AA765" s="693"/>
      <c r="AB765" s="693"/>
      <c r="AC765" s="693"/>
      <c r="AD765" s="693"/>
      <c r="AE765" s="693"/>
      <c r="AF765" s="693"/>
    </row>
    <row r="766" spans="1:33" x14ac:dyDescent="0.35">
      <c r="A766" s="313"/>
      <c r="B766" s="293"/>
      <c r="C766" s="782" t="s">
        <v>61</v>
      </c>
      <c r="D766" s="783"/>
      <c r="E766" s="783"/>
      <c r="F766" s="784"/>
      <c r="G766" s="784"/>
      <c r="H766" s="425"/>
      <c r="I766" s="425"/>
      <c r="J766" s="425"/>
      <c r="K766" s="154"/>
      <c r="L766" s="155"/>
      <c r="M766" s="154"/>
      <c r="N766" s="154"/>
      <c r="O766" s="424"/>
      <c r="P766" s="424"/>
      <c r="Q766" s="424"/>
      <c r="R766" s="424"/>
      <c r="S766" s="424"/>
      <c r="T766" s="427"/>
      <c r="U766" s="427"/>
      <c r="V766" s="427"/>
      <c r="W766" s="427"/>
      <c r="X766" s="427"/>
      <c r="Y766" s="427"/>
      <c r="Z766" s="427"/>
      <c r="AA766" s="427"/>
      <c r="AB766" s="427"/>
      <c r="AC766" s="427"/>
      <c r="AD766" s="427"/>
      <c r="AE766" s="427"/>
      <c r="AF766" s="427"/>
      <c r="AG766" s="3"/>
    </row>
    <row r="767" spans="1:33" x14ac:dyDescent="0.35">
      <c r="A767" s="313"/>
      <c r="B767" s="293"/>
      <c r="C767" s="785" t="s">
        <v>362</v>
      </c>
      <c r="D767" s="786"/>
      <c r="E767" s="786"/>
      <c r="F767" s="787">
        <v>31300</v>
      </c>
      <c r="G767" s="787">
        <v>31300</v>
      </c>
      <c r="H767" s="690"/>
      <c r="I767" s="690"/>
      <c r="J767" s="690"/>
      <c r="K767" s="154"/>
      <c r="L767" s="155"/>
      <c r="M767" s="692"/>
      <c r="N767" s="154"/>
      <c r="O767" s="689"/>
      <c r="P767" s="689"/>
      <c r="Q767" s="689"/>
      <c r="R767" s="689"/>
      <c r="S767" s="689"/>
      <c r="T767" s="693"/>
      <c r="U767" s="693"/>
      <c r="V767" s="693"/>
      <c r="W767" s="693"/>
      <c r="X767" s="693"/>
      <c r="Y767" s="693"/>
      <c r="Z767" s="693"/>
      <c r="AA767" s="693"/>
      <c r="AB767" s="693"/>
      <c r="AC767" s="693"/>
      <c r="AD767" s="693"/>
      <c r="AE767" s="693"/>
      <c r="AF767" s="693"/>
    </row>
    <row r="768" spans="1:33" x14ac:dyDescent="0.35">
      <c r="A768" s="313"/>
      <c r="B768" s="293"/>
      <c r="C768" s="785" t="s">
        <v>674</v>
      </c>
      <c r="D768" s="786"/>
      <c r="E768" s="786"/>
      <c r="F768" s="787">
        <v>48800</v>
      </c>
      <c r="G768" s="787">
        <v>48800</v>
      </c>
      <c r="H768" s="690"/>
      <c r="I768" s="690"/>
      <c r="J768" s="690"/>
      <c r="K768" s="154"/>
      <c r="L768" s="155"/>
      <c r="M768" s="692"/>
      <c r="N768" s="154"/>
      <c r="O768" s="689"/>
      <c r="P768" s="689"/>
      <c r="Q768" s="689"/>
      <c r="R768" s="689"/>
      <c r="S768" s="689"/>
      <c r="T768" s="693"/>
      <c r="U768" s="693"/>
      <c r="V768" s="693"/>
      <c r="W768" s="693"/>
      <c r="X768" s="693"/>
      <c r="Y768" s="693"/>
      <c r="Z768" s="693"/>
      <c r="AA768" s="693"/>
      <c r="AB768" s="693"/>
      <c r="AC768" s="693"/>
      <c r="AD768" s="693"/>
      <c r="AE768" s="693"/>
      <c r="AF768" s="693"/>
    </row>
    <row r="769" spans="1:33" x14ac:dyDescent="0.35">
      <c r="A769" s="313"/>
      <c r="B769" s="293"/>
      <c r="C769" s="785" t="s">
        <v>363</v>
      </c>
      <c r="D769" s="786"/>
      <c r="E769" s="786"/>
      <c r="F769" s="787">
        <v>419400</v>
      </c>
      <c r="G769" s="787">
        <v>419400</v>
      </c>
      <c r="H769" s="690"/>
      <c r="I769" s="690"/>
      <c r="J769" s="690"/>
      <c r="K769" s="154"/>
      <c r="L769" s="155"/>
      <c r="M769" s="692"/>
      <c r="N769" s="154"/>
      <c r="O769" s="689"/>
      <c r="P769" s="689"/>
      <c r="Q769" s="689"/>
      <c r="R769" s="689"/>
      <c r="S769" s="689"/>
      <c r="T769" s="693"/>
      <c r="U769" s="693"/>
      <c r="V769" s="693"/>
      <c r="W769" s="693"/>
      <c r="X769" s="693"/>
      <c r="Y769" s="693"/>
      <c r="Z769" s="693"/>
      <c r="AA769" s="693"/>
      <c r="AB769" s="693"/>
      <c r="AC769" s="693"/>
      <c r="AD769" s="693"/>
      <c r="AE769" s="693"/>
      <c r="AF769" s="693"/>
    </row>
    <row r="770" spans="1:33" x14ac:dyDescent="0.35">
      <c r="A770" s="313"/>
      <c r="B770" s="293"/>
      <c r="C770" s="785" t="s">
        <v>364</v>
      </c>
      <c r="D770" s="786"/>
      <c r="E770" s="786"/>
      <c r="F770" s="787">
        <v>60000</v>
      </c>
      <c r="G770" s="787">
        <v>60000</v>
      </c>
      <c r="H770" s="690"/>
      <c r="I770" s="690"/>
      <c r="J770" s="690"/>
      <c r="K770" s="154"/>
      <c r="L770" s="155"/>
      <c r="M770" s="692"/>
      <c r="N770" s="154"/>
      <c r="O770" s="689"/>
      <c r="P770" s="689"/>
      <c r="Q770" s="689"/>
      <c r="R770" s="689"/>
      <c r="S770" s="689"/>
      <c r="T770" s="693"/>
      <c r="U770" s="693"/>
      <c r="V770" s="693"/>
      <c r="W770" s="693"/>
      <c r="X770" s="693"/>
      <c r="Y770" s="693"/>
      <c r="Z770" s="693"/>
      <c r="AA770" s="693"/>
      <c r="AB770" s="693"/>
      <c r="AC770" s="693"/>
      <c r="AD770" s="693"/>
      <c r="AE770" s="693"/>
      <c r="AF770" s="693"/>
    </row>
    <row r="771" spans="1:33" x14ac:dyDescent="0.35">
      <c r="A771" s="313"/>
      <c r="B771" s="293"/>
      <c r="C771" s="785" t="s">
        <v>365</v>
      </c>
      <c r="D771" s="786"/>
      <c r="E771" s="786"/>
      <c r="F771" s="787">
        <v>12500</v>
      </c>
      <c r="G771" s="787">
        <v>12500</v>
      </c>
      <c r="H771" s="690"/>
      <c r="I771" s="690"/>
      <c r="J771" s="690"/>
      <c r="K771" s="154"/>
      <c r="L771" s="155"/>
      <c r="M771" s="692"/>
      <c r="N771" s="154"/>
      <c r="O771" s="689"/>
      <c r="P771" s="689"/>
      <c r="Q771" s="689"/>
      <c r="R771" s="689"/>
      <c r="S771" s="689"/>
      <c r="T771" s="693"/>
      <c r="U771" s="693"/>
      <c r="V771" s="693"/>
      <c r="W771" s="693"/>
      <c r="X771" s="693"/>
      <c r="Y771" s="693"/>
      <c r="Z771" s="693"/>
      <c r="AA771" s="693"/>
      <c r="AB771" s="693"/>
      <c r="AC771" s="693"/>
      <c r="AD771" s="693"/>
      <c r="AE771" s="693"/>
      <c r="AF771" s="693"/>
    </row>
    <row r="772" spans="1:33" x14ac:dyDescent="0.35">
      <c r="A772" s="313"/>
      <c r="B772" s="293"/>
      <c r="C772" s="785" t="s">
        <v>366</v>
      </c>
      <c r="D772" s="786"/>
      <c r="E772" s="786"/>
      <c r="F772" s="787">
        <v>3200</v>
      </c>
      <c r="G772" s="787">
        <v>3200</v>
      </c>
      <c r="H772" s="690"/>
      <c r="I772" s="690"/>
      <c r="J772" s="690"/>
      <c r="K772" s="154"/>
      <c r="L772" s="155"/>
      <c r="M772" s="692"/>
      <c r="N772" s="154"/>
      <c r="O772" s="689"/>
      <c r="P772" s="689"/>
      <c r="Q772" s="689"/>
      <c r="R772" s="689"/>
      <c r="S772" s="689"/>
      <c r="T772" s="693"/>
      <c r="U772" s="693"/>
      <c r="V772" s="693"/>
      <c r="W772" s="693"/>
      <c r="X772" s="693"/>
      <c r="Y772" s="693"/>
      <c r="Z772" s="693"/>
      <c r="AA772" s="693"/>
      <c r="AB772" s="693"/>
      <c r="AC772" s="693"/>
      <c r="AD772" s="693"/>
      <c r="AE772" s="693"/>
      <c r="AF772" s="693"/>
    </row>
    <row r="773" spans="1:33" x14ac:dyDescent="0.35">
      <c r="A773" s="313"/>
      <c r="B773" s="293"/>
      <c r="C773" s="785" t="s">
        <v>367</v>
      </c>
      <c r="D773" s="786"/>
      <c r="E773" s="786"/>
      <c r="F773" s="787">
        <v>5700</v>
      </c>
      <c r="G773" s="787">
        <v>5700</v>
      </c>
      <c r="H773" s="690"/>
      <c r="I773" s="690"/>
      <c r="J773" s="690"/>
      <c r="K773" s="154"/>
      <c r="L773" s="155"/>
      <c r="M773" s="692"/>
      <c r="N773" s="154"/>
      <c r="O773" s="689"/>
      <c r="P773" s="689"/>
      <c r="Q773" s="689"/>
      <c r="R773" s="689"/>
      <c r="S773" s="689"/>
      <c r="T773" s="693"/>
      <c r="U773" s="693"/>
      <c r="V773" s="693"/>
      <c r="W773" s="693"/>
      <c r="X773" s="693"/>
      <c r="Y773" s="693"/>
      <c r="Z773" s="693"/>
      <c r="AA773" s="693"/>
      <c r="AB773" s="693"/>
      <c r="AC773" s="693"/>
      <c r="AD773" s="693"/>
      <c r="AE773" s="693"/>
      <c r="AF773" s="693"/>
    </row>
    <row r="774" spans="1:33" x14ac:dyDescent="0.35">
      <c r="A774" s="313"/>
      <c r="B774" s="293"/>
      <c r="C774" s="788" t="s">
        <v>63</v>
      </c>
      <c r="D774" s="789"/>
      <c r="E774" s="789"/>
      <c r="F774" s="790"/>
      <c r="G774" s="790"/>
      <c r="H774" s="425"/>
      <c r="I774" s="425"/>
      <c r="J774" s="425"/>
      <c r="K774" s="154"/>
      <c r="L774" s="155"/>
      <c r="M774" s="154"/>
      <c r="N774" s="154"/>
      <c r="O774" s="424"/>
      <c r="P774" s="424"/>
      <c r="Q774" s="424"/>
      <c r="R774" s="424"/>
      <c r="S774" s="424"/>
      <c r="T774" s="427"/>
      <c r="U774" s="427"/>
      <c r="V774" s="427"/>
      <c r="W774" s="427"/>
      <c r="X774" s="427"/>
      <c r="Y774" s="427"/>
      <c r="Z774" s="427"/>
      <c r="AA774" s="427"/>
      <c r="AB774" s="427"/>
      <c r="AC774" s="427"/>
      <c r="AD774" s="427"/>
      <c r="AE774" s="427"/>
      <c r="AF774" s="427"/>
      <c r="AG774" s="3"/>
    </row>
    <row r="775" spans="1:33" x14ac:dyDescent="0.35">
      <c r="A775" s="313"/>
      <c r="B775" s="293"/>
      <c r="C775" s="791" t="s">
        <v>368</v>
      </c>
      <c r="D775" s="792"/>
      <c r="E775" s="792"/>
      <c r="F775" s="793">
        <v>66200</v>
      </c>
      <c r="G775" s="793">
        <v>66200</v>
      </c>
      <c r="H775" s="690"/>
      <c r="I775" s="690"/>
      <c r="J775" s="690"/>
      <c r="K775" s="154"/>
      <c r="L775" s="155"/>
      <c r="M775" s="692"/>
      <c r="N775" s="154"/>
      <c r="O775" s="689"/>
      <c r="P775" s="689"/>
      <c r="Q775" s="689"/>
      <c r="R775" s="689"/>
      <c r="S775" s="689"/>
      <c r="T775" s="693"/>
      <c r="U775" s="693"/>
      <c r="V775" s="693"/>
      <c r="W775" s="693"/>
      <c r="X775" s="693"/>
      <c r="Y775" s="693"/>
      <c r="Z775" s="693"/>
      <c r="AA775" s="693"/>
      <c r="AB775" s="693"/>
      <c r="AC775" s="693"/>
      <c r="AD775" s="693"/>
      <c r="AE775" s="693"/>
      <c r="AF775" s="693"/>
    </row>
    <row r="776" spans="1:33" x14ac:dyDescent="0.35">
      <c r="A776" s="313"/>
      <c r="B776" s="293"/>
      <c r="C776" s="794" t="s">
        <v>52</v>
      </c>
      <c r="D776" s="795"/>
      <c r="E776" s="796"/>
      <c r="F776" s="797"/>
      <c r="G776" s="797"/>
      <c r="H776" s="425"/>
      <c r="I776" s="425"/>
      <c r="J776" s="425"/>
      <c r="K776" s="154"/>
      <c r="L776" s="155"/>
      <c r="M776" s="154"/>
      <c r="N776" s="154"/>
      <c r="O776" s="424"/>
      <c r="P776" s="424"/>
      <c r="Q776" s="424"/>
      <c r="R776" s="424"/>
      <c r="S776" s="424"/>
      <c r="T776" s="427"/>
      <c r="U776" s="427"/>
      <c r="V776" s="427"/>
      <c r="W776" s="427"/>
      <c r="X776" s="427"/>
      <c r="Y776" s="427"/>
      <c r="Z776" s="427"/>
      <c r="AA776" s="427"/>
      <c r="AB776" s="427"/>
      <c r="AC776" s="427"/>
      <c r="AD776" s="427"/>
      <c r="AE776" s="427"/>
      <c r="AF776" s="427"/>
      <c r="AG776" s="3"/>
    </row>
    <row r="777" spans="1:33" x14ac:dyDescent="0.35">
      <c r="A777" s="313"/>
      <c r="B777" s="293"/>
      <c r="C777" s="798" t="s">
        <v>369</v>
      </c>
      <c r="D777" s="735"/>
      <c r="E777" s="736"/>
      <c r="F777" s="799">
        <v>1051000</v>
      </c>
      <c r="G777" s="799">
        <v>1051000</v>
      </c>
      <c r="H777" s="690"/>
      <c r="I777" s="690"/>
      <c r="J777" s="690"/>
      <c r="K777" s="154"/>
      <c r="L777" s="155"/>
      <c r="M777" s="692"/>
      <c r="N777" s="154"/>
      <c r="O777" s="689"/>
      <c r="P777" s="689"/>
      <c r="Q777" s="689"/>
      <c r="R777" s="689"/>
      <c r="S777" s="689"/>
      <c r="T777" s="693"/>
      <c r="U777" s="693"/>
      <c r="V777" s="693"/>
      <c r="W777" s="693"/>
      <c r="X777" s="693"/>
      <c r="Y777" s="693"/>
      <c r="Z777" s="693"/>
      <c r="AA777" s="693"/>
      <c r="AB777" s="693"/>
      <c r="AC777" s="693"/>
      <c r="AD777" s="693"/>
      <c r="AE777" s="693"/>
      <c r="AF777" s="693"/>
    </row>
    <row r="778" spans="1:33" x14ac:dyDescent="0.35">
      <c r="A778" s="313"/>
      <c r="B778" s="293"/>
      <c r="C778" s="798" t="s">
        <v>370</v>
      </c>
      <c r="D778" s="735"/>
      <c r="E778" s="736"/>
      <c r="F778" s="799">
        <v>80000</v>
      </c>
      <c r="G778" s="799">
        <v>80000</v>
      </c>
      <c r="H778" s="690"/>
      <c r="I778" s="690"/>
      <c r="J778" s="690"/>
      <c r="K778" s="154"/>
      <c r="L778" s="155"/>
      <c r="M778" s="692"/>
      <c r="N778" s="154"/>
      <c r="O778" s="689"/>
      <c r="P778" s="689"/>
      <c r="Q778" s="689"/>
      <c r="R778" s="689"/>
      <c r="S778" s="689"/>
      <c r="T778" s="693"/>
      <c r="U778" s="693"/>
      <c r="V778" s="693"/>
      <c r="W778" s="693"/>
      <c r="X778" s="693"/>
      <c r="Y778" s="693"/>
      <c r="Z778" s="693"/>
      <c r="AA778" s="693"/>
      <c r="AB778" s="693"/>
      <c r="AC778" s="693"/>
      <c r="AD778" s="693"/>
      <c r="AE778" s="693"/>
      <c r="AF778" s="693"/>
    </row>
    <row r="779" spans="1:33" x14ac:dyDescent="0.35">
      <c r="A779" s="313"/>
      <c r="B779" s="293"/>
      <c r="C779" s="798" t="s">
        <v>371</v>
      </c>
      <c r="D779" s="735"/>
      <c r="E779" s="736"/>
      <c r="F779" s="799">
        <v>33600</v>
      </c>
      <c r="G779" s="799">
        <v>33600</v>
      </c>
      <c r="H779" s="690"/>
      <c r="I779" s="690"/>
      <c r="J779" s="690"/>
      <c r="K779" s="154"/>
      <c r="L779" s="155"/>
      <c r="M779" s="692"/>
      <c r="N779" s="154"/>
      <c r="O779" s="689"/>
      <c r="P779" s="689"/>
      <c r="Q779" s="689"/>
      <c r="R779" s="689"/>
      <c r="S779" s="689"/>
      <c r="T779" s="693"/>
      <c r="U779" s="693"/>
      <c r="V779" s="693"/>
      <c r="W779" s="693"/>
      <c r="X779" s="693"/>
      <c r="Y779" s="693"/>
      <c r="Z779" s="693"/>
      <c r="AA779" s="693"/>
      <c r="AB779" s="693"/>
      <c r="AC779" s="693"/>
      <c r="AD779" s="693"/>
      <c r="AE779" s="693"/>
      <c r="AF779" s="693"/>
    </row>
    <row r="780" spans="1:33" x14ac:dyDescent="0.35">
      <c r="A780" s="313"/>
      <c r="B780" s="293"/>
      <c r="C780" s="798" t="s">
        <v>372</v>
      </c>
      <c r="D780" s="735"/>
      <c r="E780" s="736"/>
      <c r="F780" s="799">
        <v>420000</v>
      </c>
      <c r="G780" s="799">
        <v>420000</v>
      </c>
      <c r="H780" s="690"/>
      <c r="I780" s="690"/>
      <c r="J780" s="690"/>
      <c r="K780" s="154"/>
      <c r="L780" s="155"/>
      <c r="M780" s="692"/>
      <c r="N780" s="154"/>
      <c r="O780" s="689"/>
      <c r="P780" s="689"/>
      <c r="Q780" s="689"/>
      <c r="R780" s="689"/>
      <c r="S780" s="689"/>
      <c r="T780" s="693"/>
      <c r="U780" s="693"/>
      <c r="V780" s="693"/>
      <c r="W780" s="693"/>
      <c r="X780" s="693"/>
      <c r="Y780" s="693"/>
      <c r="Z780" s="693"/>
      <c r="AA780" s="693"/>
      <c r="AB780" s="693"/>
      <c r="AC780" s="693"/>
      <c r="AD780" s="693"/>
      <c r="AE780" s="693"/>
      <c r="AF780" s="693"/>
    </row>
    <row r="781" spans="1:33" x14ac:dyDescent="0.35">
      <c r="A781" s="313"/>
      <c r="B781" s="293"/>
      <c r="C781" s="798" t="s">
        <v>373</v>
      </c>
      <c r="D781" s="735"/>
      <c r="E781" s="736"/>
      <c r="F781" s="799">
        <v>115800</v>
      </c>
      <c r="G781" s="799">
        <v>115800</v>
      </c>
      <c r="H781" s="690"/>
      <c r="I781" s="690"/>
      <c r="J781" s="690"/>
      <c r="K781" s="154"/>
      <c r="L781" s="155"/>
      <c r="M781" s="692"/>
      <c r="N781" s="154"/>
      <c r="O781" s="689"/>
      <c r="P781" s="689"/>
      <c r="Q781" s="689"/>
      <c r="R781" s="689"/>
      <c r="S781" s="689"/>
      <c r="T781" s="693"/>
      <c r="U781" s="693"/>
      <c r="V781" s="693"/>
      <c r="W781" s="693"/>
      <c r="X781" s="693"/>
      <c r="Y781" s="693"/>
      <c r="Z781" s="693"/>
      <c r="AA781" s="693"/>
      <c r="AB781" s="693"/>
      <c r="AC781" s="693"/>
      <c r="AD781" s="693"/>
      <c r="AE781" s="693"/>
      <c r="AF781" s="693"/>
    </row>
    <row r="782" spans="1:33" x14ac:dyDescent="0.35">
      <c r="A782" s="313"/>
      <c r="B782" s="293"/>
      <c r="C782" s="800" t="s">
        <v>49</v>
      </c>
      <c r="D782" s="801"/>
      <c r="E782" s="801"/>
      <c r="F782" s="802"/>
      <c r="G782" s="802"/>
      <c r="H782" s="425"/>
      <c r="I782" s="425"/>
      <c r="J782" s="425"/>
      <c r="K782" s="154"/>
      <c r="L782" s="155"/>
      <c r="M782" s="154"/>
      <c r="N782" s="154"/>
      <c r="O782" s="424"/>
      <c r="P782" s="424"/>
      <c r="Q782" s="424"/>
      <c r="R782" s="424"/>
      <c r="S782" s="424"/>
      <c r="T782" s="427"/>
      <c r="U782" s="427"/>
      <c r="V782" s="427"/>
      <c r="W782" s="427"/>
      <c r="X782" s="427"/>
      <c r="Y782" s="427"/>
      <c r="Z782" s="427"/>
      <c r="AA782" s="427"/>
      <c r="AB782" s="427"/>
      <c r="AC782" s="427"/>
      <c r="AD782" s="427"/>
      <c r="AE782" s="427"/>
      <c r="AF782" s="427"/>
      <c r="AG782" s="3"/>
    </row>
    <row r="783" spans="1:33" x14ac:dyDescent="0.35">
      <c r="A783" s="313"/>
      <c r="B783" s="293"/>
      <c r="C783" s="803" t="s">
        <v>374</v>
      </c>
      <c r="D783" s="804"/>
      <c r="E783" s="804"/>
      <c r="F783" s="805">
        <v>17700</v>
      </c>
      <c r="G783" s="805">
        <v>17700</v>
      </c>
      <c r="H783" s="690"/>
      <c r="I783" s="690"/>
      <c r="J783" s="690"/>
      <c r="K783" s="154"/>
      <c r="L783" s="155"/>
      <c r="M783" s="692"/>
      <c r="N783" s="154"/>
      <c r="O783" s="689"/>
      <c r="P783" s="689"/>
      <c r="Q783" s="689"/>
      <c r="R783" s="689"/>
      <c r="S783" s="689"/>
      <c r="T783" s="693"/>
      <c r="U783" s="693"/>
      <c r="V783" s="693"/>
      <c r="W783" s="693"/>
      <c r="X783" s="693"/>
      <c r="Y783" s="693"/>
      <c r="Z783" s="693"/>
      <c r="AA783" s="693"/>
      <c r="AB783" s="693"/>
      <c r="AC783" s="693"/>
      <c r="AD783" s="693"/>
      <c r="AE783" s="693"/>
      <c r="AF783" s="693"/>
    </row>
    <row r="784" spans="1:33" x14ac:dyDescent="0.35">
      <c r="A784" s="313"/>
      <c r="B784" s="293"/>
      <c r="C784" s="803" t="s">
        <v>375</v>
      </c>
      <c r="D784" s="804"/>
      <c r="E784" s="804"/>
      <c r="F784" s="805">
        <v>13700</v>
      </c>
      <c r="G784" s="805">
        <v>13700</v>
      </c>
      <c r="H784" s="690"/>
      <c r="I784" s="690"/>
      <c r="J784" s="690"/>
      <c r="K784" s="154"/>
      <c r="L784" s="155"/>
      <c r="M784" s="692"/>
      <c r="N784" s="154"/>
      <c r="O784" s="689"/>
      <c r="P784" s="689"/>
      <c r="Q784" s="689"/>
      <c r="R784" s="689"/>
      <c r="S784" s="689"/>
      <c r="T784" s="693"/>
      <c r="U784" s="693"/>
      <c r="V784" s="693"/>
      <c r="W784" s="693"/>
      <c r="X784" s="693"/>
      <c r="Y784" s="693"/>
      <c r="Z784" s="693"/>
      <c r="AA784" s="693"/>
      <c r="AB784" s="693"/>
      <c r="AC784" s="693"/>
      <c r="AD784" s="693"/>
      <c r="AE784" s="693"/>
      <c r="AF784" s="693"/>
    </row>
    <row r="785" spans="1:33" x14ac:dyDescent="0.35">
      <c r="A785" s="313"/>
      <c r="B785" s="293"/>
      <c r="C785" s="803" t="s">
        <v>376</v>
      </c>
      <c r="D785" s="804"/>
      <c r="E785" s="804"/>
      <c r="F785" s="805">
        <v>85400</v>
      </c>
      <c r="G785" s="805">
        <v>85400</v>
      </c>
      <c r="H785" s="690"/>
      <c r="I785" s="690"/>
      <c r="J785" s="690"/>
      <c r="K785" s="154"/>
      <c r="L785" s="155"/>
      <c r="M785" s="692"/>
      <c r="N785" s="154"/>
      <c r="O785" s="689"/>
      <c r="P785" s="689"/>
      <c r="Q785" s="689"/>
      <c r="R785" s="689"/>
      <c r="S785" s="689"/>
      <c r="T785" s="693"/>
      <c r="U785" s="693"/>
      <c r="V785" s="693"/>
      <c r="W785" s="693"/>
      <c r="X785" s="693"/>
      <c r="Y785" s="693"/>
      <c r="Z785" s="693"/>
      <c r="AA785" s="693"/>
      <c r="AB785" s="693"/>
      <c r="AC785" s="693"/>
      <c r="AD785" s="693"/>
      <c r="AE785" s="693"/>
      <c r="AF785" s="693"/>
    </row>
    <row r="786" spans="1:33" x14ac:dyDescent="0.35">
      <c r="A786" s="313"/>
      <c r="B786" s="293"/>
      <c r="C786" s="806" t="s">
        <v>80</v>
      </c>
      <c r="D786" s="807"/>
      <c r="E786" s="807"/>
      <c r="F786" s="808"/>
      <c r="G786" s="808"/>
      <c r="H786" s="425"/>
      <c r="I786" s="425"/>
      <c r="J786" s="425"/>
      <c r="K786" s="154"/>
      <c r="L786" s="155"/>
      <c r="M786" s="154"/>
      <c r="N786" s="154"/>
      <c r="O786" s="424"/>
      <c r="P786" s="424"/>
      <c r="Q786" s="424"/>
      <c r="R786" s="424"/>
      <c r="S786" s="424"/>
      <c r="T786" s="427"/>
      <c r="U786" s="427"/>
      <c r="V786" s="427"/>
      <c r="W786" s="427"/>
      <c r="X786" s="427"/>
      <c r="Y786" s="427"/>
      <c r="Z786" s="427"/>
      <c r="AA786" s="427"/>
      <c r="AB786" s="427"/>
      <c r="AC786" s="427"/>
      <c r="AD786" s="427"/>
      <c r="AE786" s="427"/>
      <c r="AF786" s="427"/>
      <c r="AG786" s="3"/>
    </row>
    <row r="787" spans="1:33" x14ac:dyDescent="0.35">
      <c r="A787" s="313"/>
      <c r="B787" s="293"/>
      <c r="C787" s="809" t="s">
        <v>377</v>
      </c>
      <c r="D787" s="810"/>
      <c r="E787" s="810"/>
      <c r="F787" s="811">
        <v>400000</v>
      </c>
      <c r="G787" s="811">
        <v>400000</v>
      </c>
      <c r="H787" s="690"/>
      <c r="I787" s="690"/>
      <c r="J787" s="690"/>
      <c r="K787" s="154"/>
      <c r="L787" s="155"/>
      <c r="M787" s="692"/>
      <c r="N787" s="154"/>
      <c r="O787" s="689"/>
      <c r="P787" s="689"/>
      <c r="Q787" s="689"/>
      <c r="R787" s="689"/>
      <c r="S787" s="689"/>
      <c r="T787" s="693"/>
      <c r="U787" s="693"/>
      <c r="V787" s="693"/>
      <c r="W787" s="693"/>
      <c r="X787" s="693"/>
      <c r="Y787" s="693"/>
      <c r="Z787" s="693"/>
      <c r="AA787" s="693"/>
      <c r="AB787" s="693"/>
      <c r="AC787" s="693"/>
      <c r="AD787" s="693"/>
      <c r="AE787" s="693"/>
      <c r="AF787" s="693"/>
    </row>
    <row r="788" spans="1:33" x14ac:dyDescent="0.35">
      <c r="A788" s="313"/>
      <c r="B788" s="293"/>
      <c r="C788" s="809" t="s">
        <v>378</v>
      </c>
      <c r="D788" s="810"/>
      <c r="E788" s="810"/>
      <c r="F788" s="811">
        <v>900</v>
      </c>
      <c r="G788" s="811">
        <v>900</v>
      </c>
      <c r="H788" s="690"/>
      <c r="I788" s="690"/>
      <c r="J788" s="690"/>
      <c r="K788" s="154"/>
      <c r="L788" s="155"/>
      <c r="M788" s="692"/>
      <c r="N788" s="154"/>
      <c r="O788" s="689"/>
      <c r="P788" s="689"/>
      <c r="Q788" s="689"/>
      <c r="R788" s="689"/>
      <c r="S788" s="689"/>
      <c r="T788" s="693"/>
      <c r="U788" s="693"/>
      <c r="V788" s="693"/>
      <c r="W788" s="693"/>
      <c r="X788" s="693"/>
      <c r="Y788" s="693"/>
      <c r="Z788" s="693"/>
      <c r="AA788" s="693"/>
      <c r="AB788" s="693"/>
      <c r="AC788" s="693"/>
      <c r="AD788" s="693"/>
      <c r="AE788" s="693"/>
      <c r="AF788" s="693"/>
    </row>
    <row r="789" spans="1:33" x14ac:dyDescent="0.35">
      <c r="A789" s="313"/>
      <c r="B789" s="293"/>
      <c r="C789" s="809" t="s">
        <v>379</v>
      </c>
      <c r="D789" s="810"/>
      <c r="E789" s="810"/>
      <c r="F789" s="811">
        <v>4800</v>
      </c>
      <c r="G789" s="811">
        <v>4800</v>
      </c>
      <c r="H789" s="690"/>
      <c r="I789" s="690"/>
      <c r="J789" s="690"/>
      <c r="K789" s="154"/>
      <c r="L789" s="155"/>
      <c r="M789" s="692"/>
      <c r="N789" s="154"/>
      <c r="O789" s="689"/>
      <c r="P789" s="689"/>
      <c r="Q789" s="689"/>
      <c r="R789" s="689"/>
      <c r="S789" s="689"/>
      <c r="T789" s="693"/>
      <c r="U789" s="693"/>
      <c r="V789" s="693"/>
      <c r="W789" s="693"/>
      <c r="X789" s="693"/>
      <c r="Y789" s="693"/>
      <c r="Z789" s="693"/>
      <c r="AA789" s="693"/>
      <c r="AB789" s="693"/>
      <c r="AC789" s="693"/>
      <c r="AD789" s="693"/>
      <c r="AE789" s="693"/>
      <c r="AF789" s="693"/>
    </row>
    <row r="790" spans="1:33" x14ac:dyDescent="0.35">
      <c r="A790" s="313"/>
      <c r="B790" s="72" t="s">
        <v>436</v>
      </c>
      <c r="C790" s="125"/>
      <c r="D790" s="689"/>
      <c r="E790" s="690">
        <v>66984300</v>
      </c>
      <c r="F790" s="691">
        <f>+F791</f>
        <v>5914200</v>
      </c>
      <c r="G790" s="691">
        <f>+G791</f>
        <v>5664200</v>
      </c>
      <c r="H790" s="690"/>
      <c r="I790" s="690">
        <f>+G790-H790</f>
        <v>5664200</v>
      </c>
      <c r="J790" s="690">
        <f>+E790-G790</f>
        <v>61320100</v>
      </c>
      <c r="K790" s="154"/>
      <c r="L790" s="155"/>
      <c r="M790" s="692"/>
      <c r="N790" s="154"/>
      <c r="O790" s="689"/>
      <c r="P790" s="689"/>
      <c r="Q790" s="689">
        <f t="shared" si="188"/>
        <v>0</v>
      </c>
      <c r="R790" s="689"/>
      <c r="S790" s="689"/>
      <c r="T790" s="693"/>
      <c r="U790" s="693"/>
      <c r="V790" s="693"/>
      <c r="W790" s="693"/>
      <c r="X790" s="693"/>
      <c r="Y790" s="693"/>
      <c r="Z790" s="693"/>
      <c r="AA790" s="693"/>
      <c r="AB790" s="693"/>
      <c r="AC790" s="693"/>
      <c r="AD790" s="693"/>
      <c r="AE790" s="693"/>
      <c r="AF790" s="693"/>
      <c r="AG790" s="432">
        <v>5664200</v>
      </c>
    </row>
    <row r="791" spans="1:33" x14ac:dyDescent="0.35">
      <c r="A791" s="313"/>
      <c r="B791" s="293" t="s">
        <v>380</v>
      </c>
      <c r="C791" s="125"/>
      <c r="D791" s="689"/>
      <c r="E791" s="690"/>
      <c r="F791" s="694">
        <f>SUM(F793:F803)</f>
        <v>5914200</v>
      </c>
      <c r="G791" s="694">
        <f>SUM(G793:G803)</f>
        <v>5664200</v>
      </c>
      <c r="H791" s="690"/>
      <c r="I791" s="690"/>
      <c r="J791" s="690"/>
      <c r="K791" s="154"/>
      <c r="L791" s="155"/>
      <c r="M791" s="692"/>
      <c r="N791" s="154"/>
      <c r="O791" s="689"/>
      <c r="P791" s="689"/>
      <c r="Q791" s="689"/>
      <c r="R791" s="689"/>
      <c r="S791" s="689"/>
      <c r="T791" s="693"/>
      <c r="U791" s="693"/>
      <c r="V791" s="693"/>
      <c r="W791" s="693"/>
      <c r="X791" s="693"/>
      <c r="Y791" s="693"/>
      <c r="Z791" s="693"/>
      <c r="AA791" s="693"/>
      <c r="AB791" s="693"/>
      <c r="AC791" s="693"/>
      <c r="AD791" s="693"/>
      <c r="AE791" s="693"/>
      <c r="AF791" s="693"/>
    </row>
    <row r="792" spans="1:33" x14ac:dyDescent="0.35">
      <c r="A792" s="313"/>
      <c r="B792" s="293"/>
      <c r="C792" s="743" t="s">
        <v>262</v>
      </c>
      <c r="D792" s="744"/>
      <c r="E792" s="745"/>
      <c r="F792" s="746"/>
      <c r="G792" s="746"/>
      <c r="H792" s="425"/>
      <c r="I792" s="425"/>
      <c r="J792" s="425"/>
      <c r="K792" s="154"/>
      <c r="L792" s="155"/>
      <c r="M792" s="154"/>
      <c r="N792" s="154"/>
      <c r="O792" s="424"/>
      <c r="P792" s="424"/>
      <c r="Q792" s="424"/>
      <c r="R792" s="424"/>
      <c r="S792" s="424"/>
      <c r="T792" s="427"/>
      <c r="U792" s="427"/>
      <c r="V792" s="427"/>
      <c r="W792" s="427"/>
      <c r="X792" s="427"/>
      <c r="Y792" s="427"/>
      <c r="Z792" s="427"/>
      <c r="AA792" s="427"/>
      <c r="AB792" s="427"/>
      <c r="AC792" s="427"/>
      <c r="AD792" s="427"/>
      <c r="AE792" s="427"/>
      <c r="AF792" s="427"/>
      <c r="AG792" s="3"/>
    </row>
    <row r="793" spans="1:33" x14ac:dyDescent="0.35">
      <c r="A793" s="313"/>
      <c r="B793" s="293"/>
      <c r="C793" s="747" t="s">
        <v>381</v>
      </c>
      <c r="D793" s="748"/>
      <c r="E793" s="749"/>
      <c r="F793" s="750">
        <v>1740000</v>
      </c>
      <c r="G793" s="750">
        <v>1740000</v>
      </c>
      <c r="H793" s="690"/>
      <c r="I793" s="690"/>
      <c r="J793" s="690"/>
      <c r="K793" s="154"/>
      <c r="L793" s="155"/>
      <c r="M793" s="692"/>
      <c r="N793" s="154"/>
      <c r="O793" s="689"/>
      <c r="P793" s="689"/>
      <c r="Q793" s="689"/>
      <c r="R793" s="689"/>
      <c r="S793" s="689"/>
      <c r="T793" s="693"/>
      <c r="U793" s="693"/>
      <c r="V793" s="693"/>
      <c r="W793" s="693"/>
      <c r="X793" s="693"/>
      <c r="Y793" s="693"/>
      <c r="Z793" s="693"/>
      <c r="AA793" s="693"/>
      <c r="AB793" s="693"/>
      <c r="AC793" s="693"/>
      <c r="AD793" s="693"/>
      <c r="AE793" s="693"/>
      <c r="AF793" s="693"/>
    </row>
    <row r="794" spans="1:33" x14ac:dyDescent="0.35">
      <c r="A794" s="313"/>
      <c r="B794" s="293"/>
      <c r="C794" s="747" t="s">
        <v>382</v>
      </c>
      <c r="D794" s="748"/>
      <c r="E794" s="749"/>
      <c r="F794" s="750">
        <v>550000</v>
      </c>
      <c r="G794" s="750">
        <v>550000</v>
      </c>
      <c r="H794" s="690"/>
      <c r="I794" s="690"/>
      <c r="J794" s="690"/>
      <c r="K794" s="154"/>
      <c r="L794" s="155"/>
      <c r="M794" s="692"/>
      <c r="N794" s="154"/>
      <c r="O794" s="689"/>
      <c r="P794" s="689"/>
      <c r="Q794" s="689"/>
      <c r="R794" s="689"/>
      <c r="S794" s="689"/>
      <c r="T794" s="693"/>
      <c r="U794" s="693"/>
      <c r="V794" s="693"/>
      <c r="W794" s="693"/>
      <c r="X794" s="693"/>
      <c r="Y794" s="693"/>
      <c r="Z794" s="693"/>
      <c r="AA794" s="693"/>
      <c r="AB794" s="693"/>
      <c r="AC794" s="693"/>
      <c r="AD794" s="693"/>
      <c r="AE794" s="693"/>
      <c r="AF794" s="693"/>
    </row>
    <row r="795" spans="1:33" x14ac:dyDescent="0.35">
      <c r="A795" s="313"/>
      <c r="B795" s="293"/>
      <c r="C795" s="747" t="s">
        <v>383</v>
      </c>
      <c r="D795" s="748"/>
      <c r="E795" s="749"/>
      <c r="F795" s="750">
        <v>705000</v>
      </c>
      <c r="G795" s="750">
        <v>705000</v>
      </c>
      <c r="H795" s="690"/>
      <c r="I795" s="690"/>
      <c r="J795" s="690"/>
      <c r="K795" s="154"/>
      <c r="L795" s="155"/>
      <c r="M795" s="692"/>
      <c r="N795" s="154"/>
      <c r="O795" s="689"/>
      <c r="P795" s="689"/>
      <c r="Q795" s="689"/>
      <c r="R795" s="689"/>
      <c r="S795" s="689"/>
      <c r="T795" s="693"/>
      <c r="U795" s="693"/>
      <c r="V795" s="693"/>
      <c r="W795" s="693"/>
      <c r="X795" s="693"/>
      <c r="Y795" s="693"/>
      <c r="Z795" s="693"/>
      <c r="AA795" s="693"/>
      <c r="AB795" s="693"/>
      <c r="AC795" s="693"/>
      <c r="AD795" s="693"/>
      <c r="AE795" s="693"/>
      <c r="AF795" s="693"/>
    </row>
    <row r="796" spans="1:33" x14ac:dyDescent="0.35">
      <c r="A796" s="313"/>
      <c r="B796" s="293"/>
      <c r="C796" s="812" t="s">
        <v>384</v>
      </c>
      <c r="D796" s="748"/>
      <c r="E796" s="749"/>
      <c r="F796" s="750">
        <v>621000</v>
      </c>
      <c r="G796" s="750">
        <v>621000</v>
      </c>
      <c r="H796" s="690"/>
      <c r="I796" s="690"/>
      <c r="J796" s="690"/>
      <c r="K796" s="154"/>
      <c r="L796" s="155"/>
      <c r="M796" s="692"/>
      <c r="N796" s="154"/>
      <c r="O796" s="689"/>
      <c r="P796" s="689"/>
      <c r="Q796" s="689"/>
      <c r="R796" s="689"/>
      <c r="S796" s="689"/>
      <c r="T796" s="693"/>
      <c r="U796" s="693"/>
      <c r="V796" s="693"/>
      <c r="W796" s="693"/>
      <c r="X796" s="693"/>
      <c r="Y796" s="693"/>
      <c r="Z796" s="693"/>
      <c r="AA796" s="693"/>
      <c r="AB796" s="693"/>
      <c r="AC796" s="693"/>
      <c r="AD796" s="693"/>
      <c r="AE796" s="693"/>
      <c r="AF796" s="693"/>
    </row>
    <row r="797" spans="1:33" x14ac:dyDescent="0.35">
      <c r="A797" s="313"/>
      <c r="B797" s="293"/>
      <c r="C797" s="747" t="s">
        <v>675</v>
      </c>
      <c r="D797" s="748"/>
      <c r="E797" s="749"/>
      <c r="F797" s="750">
        <v>216000</v>
      </c>
      <c r="G797" s="750">
        <v>216000</v>
      </c>
      <c r="H797" s="690"/>
      <c r="I797" s="690"/>
      <c r="J797" s="690"/>
      <c r="K797" s="154"/>
      <c r="L797" s="155"/>
      <c r="M797" s="692"/>
      <c r="N797" s="154"/>
      <c r="O797" s="689"/>
      <c r="P797" s="689"/>
      <c r="Q797" s="689"/>
      <c r="R797" s="689"/>
      <c r="S797" s="689"/>
      <c r="T797" s="693"/>
      <c r="U797" s="693"/>
      <c r="V797" s="693"/>
      <c r="W797" s="693"/>
      <c r="X797" s="693"/>
      <c r="Y797" s="693"/>
      <c r="Z797" s="693"/>
      <c r="AA797" s="693"/>
      <c r="AB797" s="693"/>
      <c r="AC797" s="693"/>
      <c r="AD797" s="693"/>
      <c r="AE797" s="693"/>
      <c r="AF797" s="693"/>
    </row>
    <row r="798" spans="1:33" x14ac:dyDescent="0.35">
      <c r="A798" s="313"/>
      <c r="B798" s="293"/>
      <c r="C798" s="747" t="s">
        <v>385</v>
      </c>
      <c r="D798" s="748"/>
      <c r="E798" s="749"/>
      <c r="F798" s="750">
        <v>5800</v>
      </c>
      <c r="G798" s="750">
        <v>5800</v>
      </c>
      <c r="H798" s="690"/>
      <c r="I798" s="690"/>
      <c r="J798" s="690"/>
      <c r="K798" s="154"/>
      <c r="L798" s="155"/>
      <c r="M798" s="692"/>
      <c r="N798" s="154"/>
      <c r="O798" s="689"/>
      <c r="P798" s="689"/>
      <c r="Q798" s="689"/>
      <c r="R798" s="689"/>
      <c r="S798" s="689"/>
      <c r="T798" s="693"/>
      <c r="U798" s="693"/>
      <c r="V798" s="693"/>
      <c r="W798" s="693"/>
      <c r="X798" s="693"/>
      <c r="Y798" s="693"/>
      <c r="Z798" s="693"/>
      <c r="AA798" s="693"/>
      <c r="AB798" s="693"/>
      <c r="AC798" s="693"/>
      <c r="AD798" s="693"/>
      <c r="AE798" s="693"/>
      <c r="AF798" s="693"/>
    </row>
    <row r="799" spans="1:33" ht="42" x14ac:dyDescent="0.35">
      <c r="A799" s="313"/>
      <c r="B799" s="293"/>
      <c r="C799" s="812" t="s">
        <v>386</v>
      </c>
      <c r="D799" s="748"/>
      <c r="E799" s="749"/>
      <c r="F799" s="750">
        <v>315400</v>
      </c>
      <c r="G799" s="750">
        <v>315400</v>
      </c>
      <c r="H799" s="690"/>
      <c r="I799" s="690"/>
      <c r="J799" s="690"/>
      <c r="K799" s="154"/>
      <c r="L799" s="155"/>
      <c r="M799" s="692"/>
      <c r="N799" s="154"/>
      <c r="O799" s="689"/>
      <c r="P799" s="689"/>
      <c r="Q799" s="689"/>
      <c r="R799" s="689"/>
      <c r="S799" s="689"/>
      <c r="T799" s="693"/>
      <c r="U799" s="693"/>
      <c r="V799" s="693"/>
      <c r="W799" s="693"/>
      <c r="X799" s="693"/>
      <c r="Y799" s="693"/>
      <c r="Z799" s="693"/>
      <c r="AA799" s="693"/>
      <c r="AB799" s="693"/>
      <c r="AC799" s="693"/>
      <c r="AD799" s="693"/>
      <c r="AE799" s="693"/>
      <c r="AF799" s="693"/>
    </row>
    <row r="800" spans="1:33" x14ac:dyDescent="0.35">
      <c r="A800" s="313"/>
      <c r="B800" s="293"/>
      <c r="C800" s="812" t="s">
        <v>387</v>
      </c>
      <c r="D800" s="748"/>
      <c r="E800" s="749"/>
      <c r="F800" s="750">
        <v>996000</v>
      </c>
      <c r="G800" s="750">
        <v>996000</v>
      </c>
      <c r="H800" s="690"/>
      <c r="I800" s="690"/>
      <c r="J800" s="690"/>
      <c r="K800" s="154"/>
      <c r="L800" s="155"/>
      <c r="M800" s="692"/>
      <c r="N800" s="154"/>
      <c r="O800" s="689"/>
      <c r="P800" s="689"/>
      <c r="Q800" s="689"/>
      <c r="R800" s="689"/>
      <c r="S800" s="689"/>
      <c r="T800" s="693"/>
      <c r="U800" s="693"/>
      <c r="V800" s="693"/>
      <c r="W800" s="693"/>
      <c r="X800" s="693"/>
      <c r="Y800" s="693"/>
      <c r="Z800" s="693"/>
      <c r="AA800" s="693"/>
      <c r="AB800" s="693"/>
      <c r="AC800" s="693"/>
      <c r="AD800" s="693"/>
      <c r="AE800" s="693"/>
      <c r="AF800" s="693"/>
    </row>
    <row r="801" spans="1:34" x14ac:dyDescent="0.35">
      <c r="A801" s="313"/>
      <c r="B801" s="293"/>
      <c r="C801" s="747" t="s">
        <v>388</v>
      </c>
      <c r="D801" s="748"/>
      <c r="E801" s="749"/>
      <c r="F801" s="750">
        <v>95000</v>
      </c>
      <c r="G801" s="750">
        <v>95000</v>
      </c>
      <c r="H801" s="690"/>
      <c r="I801" s="690"/>
      <c r="J801" s="690"/>
      <c r="K801" s="154"/>
      <c r="L801" s="155"/>
      <c r="M801" s="692"/>
      <c r="N801" s="154"/>
      <c r="O801" s="689"/>
      <c r="P801" s="689"/>
      <c r="Q801" s="689"/>
      <c r="R801" s="689"/>
      <c r="S801" s="689"/>
      <c r="T801" s="693"/>
      <c r="U801" s="693"/>
      <c r="V801" s="693"/>
      <c r="W801" s="693"/>
      <c r="X801" s="693"/>
      <c r="Y801" s="693"/>
      <c r="Z801" s="693"/>
      <c r="AA801" s="693"/>
      <c r="AB801" s="693"/>
      <c r="AC801" s="693"/>
      <c r="AD801" s="693"/>
      <c r="AE801" s="693"/>
      <c r="AF801" s="693"/>
    </row>
    <row r="802" spans="1:34" x14ac:dyDescent="0.35">
      <c r="A802" s="313"/>
      <c r="B802" s="293"/>
      <c r="C802" s="813" t="s">
        <v>42</v>
      </c>
      <c r="D802" s="424"/>
      <c r="E802" s="425"/>
      <c r="F802" s="426"/>
      <c r="G802" s="426"/>
      <c r="H802" s="425"/>
      <c r="I802" s="425"/>
      <c r="J802" s="425"/>
      <c r="K802" s="154"/>
      <c r="L802" s="155"/>
      <c r="M802" s="154"/>
      <c r="N802" s="154"/>
      <c r="O802" s="424"/>
      <c r="P802" s="424"/>
      <c r="Q802" s="424"/>
      <c r="R802" s="424"/>
      <c r="S802" s="424"/>
      <c r="T802" s="427"/>
      <c r="U802" s="427"/>
      <c r="V802" s="427"/>
      <c r="W802" s="427"/>
      <c r="X802" s="427"/>
      <c r="Y802" s="427"/>
      <c r="Z802" s="427"/>
      <c r="AA802" s="427"/>
      <c r="AB802" s="427"/>
      <c r="AC802" s="427"/>
      <c r="AD802" s="427"/>
      <c r="AE802" s="427"/>
      <c r="AF802" s="427"/>
      <c r="AG802" s="3"/>
    </row>
    <row r="803" spans="1:34" s="413" customFormat="1" x14ac:dyDescent="0.35">
      <c r="A803" s="697"/>
      <c r="B803" s="698"/>
      <c r="C803" s="407" t="s">
        <v>389</v>
      </c>
      <c r="D803" s="700"/>
      <c r="E803" s="700"/>
      <c r="F803" s="701">
        <v>670000</v>
      </c>
      <c r="G803" s="701">
        <v>420000</v>
      </c>
      <c r="H803" s="700"/>
      <c r="I803" s="700"/>
      <c r="J803" s="700"/>
      <c r="K803" s="411"/>
      <c r="L803" s="412"/>
      <c r="M803" s="702"/>
      <c r="N803" s="411"/>
      <c r="O803" s="700"/>
      <c r="P803" s="700"/>
      <c r="Q803" s="700"/>
      <c r="R803" s="700"/>
      <c r="S803" s="700"/>
      <c r="T803" s="703"/>
      <c r="U803" s="703"/>
      <c r="V803" s="703"/>
      <c r="W803" s="703"/>
      <c r="X803" s="703"/>
      <c r="Y803" s="703"/>
      <c r="Z803" s="703"/>
      <c r="AA803" s="703"/>
      <c r="AB803" s="703"/>
      <c r="AC803" s="703"/>
      <c r="AD803" s="703"/>
      <c r="AE803" s="703"/>
      <c r="AF803" s="703"/>
      <c r="AG803" s="704"/>
      <c r="AH803" s="704"/>
    </row>
    <row r="804" spans="1:34" x14ac:dyDescent="0.35">
      <c r="A804" s="313"/>
      <c r="B804" s="72" t="s">
        <v>437</v>
      </c>
      <c r="C804" s="125"/>
      <c r="D804" s="689"/>
      <c r="E804" s="690">
        <v>66984300</v>
      </c>
      <c r="F804" s="691">
        <f>+F805</f>
        <v>365000</v>
      </c>
      <c r="G804" s="691">
        <f>+G805</f>
        <v>365000</v>
      </c>
      <c r="H804" s="690"/>
      <c r="I804" s="690">
        <f>+G804-H804</f>
        <v>365000</v>
      </c>
      <c r="J804" s="690">
        <f>+E804-G804</f>
        <v>66619300</v>
      </c>
      <c r="K804" s="154"/>
      <c r="L804" s="155"/>
      <c r="M804" s="692"/>
      <c r="N804" s="154"/>
      <c r="O804" s="689"/>
      <c r="P804" s="689"/>
      <c r="Q804" s="689">
        <f t="shared" ref="Q804" si="248">+O804-P804</f>
        <v>0</v>
      </c>
      <c r="R804" s="689"/>
      <c r="S804" s="689"/>
      <c r="T804" s="693"/>
      <c r="U804" s="693"/>
      <c r="V804" s="693"/>
      <c r="W804" s="693"/>
      <c r="X804" s="693"/>
      <c r="Y804" s="693"/>
      <c r="Z804" s="693"/>
      <c r="AA804" s="693"/>
      <c r="AB804" s="693"/>
      <c r="AC804" s="693"/>
      <c r="AD804" s="693"/>
      <c r="AE804" s="693"/>
      <c r="AF804" s="693"/>
      <c r="AG804" s="432">
        <v>365000</v>
      </c>
    </row>
    <row r="805" spans="1:34" x14ac:dyDescent="0.35">
      <c r="A805" s="313"/>
      <c r="B805" s="293" t="s">
        <v>420</v>
      </c>
      <c r="C805" s="125"/>
      <c r="D805" s="689"/>
      <c r="E805" s="690"/>
      <c r="F805" s="694">
        <f>SUM(F807:F832)</f>
        <v>365000</v>
      </c>
      <c r="G805" s="694">
        <f>SUM(G807:G832)</f>
        <v>365000</v>
      </c>
      <c r="H805" s="690"/>
      <c r="I805" s="690"/>
      <c r="J805" s="690"/>
      <c r="K805" s="154"/>
      <c r="L805" s="155"/>
      <c r="M805" s="692"/>
      <c r="N805" s="154"/>
      <c r="O805" s="689"/>
      <c r="P805" s="689"/>
      <c r="Q805" s="689"/>
      <c r="R805" s="689"/>
      <c r="S805" s="689"/>
      <c r="T805" s="693"/>
      <c r="U805" s="693"/>
      <c r="V805" s="693"/>
      <c r="W805" s="693"/>
      <c r="X805" s="693"/>
      <c r="Y805" s="693"/>
      <c r="Z805" s="693"/>
      <c r="AA805" s="693"/>
      <c r="AB805" s="693"/>
      <c r="AC805" s="693"/>
      <c r="AD805" s="693"/>
      <c r="AE805" s="693"/>
      <c r="AF805" s="693"/>
    </row>
    <row r="806" spans="1:34" x14ac:dyDescent="0.35">
      <c r="A806" s="313"/>
      <c r="B806" s="293"/>
      <c r="C806" s="743" t="s">
        <v>759</v>
      </c>
      <c r="D806" s="744"/>
      <c r="E806" s="745"/>
      <c r="F806" s="746"/>
      <c r="G806" s="746"/>
      <c r="H806" s="425"/>
      <c r="I806" s="425"/>
      <c r="J806" s="425"/>
      <c r="K806" s="154"/>
      <c r="L806" s="155"/>
      <c r="M806" s="154"/>
      <c r="N806" s="154"/>
      <c r="O806" s="424"/>
      <c r="P806" s="424"/>
      <c r="Q806" s="424"/>
      <c r="R806" s="424"/>
      <c r="S806" s="424"/>
      <c r="T806" s="427"/>
      <c r="U806" s="427"/>
      <c r="V806" s="427"/>
      <c r="W806" s="427"/>
      <c r="X806" s="427"/>
      <c r="Y806" s="427"/>
      <c r="Z806" s="427"/>
      <c r="AA806" s="427"/>
      <c r="AB806" s="427"/>
      <c r="AC806" s="427"/>
      <c r="AD806" s="427"/>
      <c r="AE806" s="427"/>
      <c r="AF806" s="427"/>
      <c r="AG806" s="3"/>
    </row>
    <row r="807" spans="1:34" x14ac:dyDescent="0.35">
      <c r="A807" s="313"/>
      <c r="B807" s="293"/>
      <c r="C807" s="812" t="s">
        <v>421</v>
      </c>
      <c r="D807" s="748"/>
      <c r="E807" s="749"/>
      <c r="F807" s="750">
        <v>18500</v>
      </c>
      <c r="G807" s="750">
        <v>18500</v>
      </c>
      <c r="H807" s="690"/>
      <c r="I807" s="690"/>
      <c r="J807" s="690"/>
      <c r="K807" s="154"/>
      <c r="L807" s="155"/>
      <c r="M807" s="692"/>
      <c r="N807" s="154"/>
      <c r="O807" s="689"/>
      <c r="P807" s="689"/>
      <c r="Q807" s="689"/>
      <c r="R807" s="689"/>
      <c r="S807" s="689"/>
      <c r="T807" s="693"/>
      <c r="U807" s="693"/>
      <c r="V807" s="693"/>
      <c r="W807" s="693"/>
      <c r="X807" s="693"/>
      <c r="Y807" s="693"/>
      <c r="Z807" s="693"/>
      <c r="AA807" s="693"/>
      <c r="AB807" s="693"/>
      <c r="AC807" s="693"/>
      <c r="AD807" s="693"/>
      <c r="AE807" s="693"/>
      <c r="AF807" s="693"/>
    </row>
    <row r="808" spans="1:34" x14ac:dyDescent="0.35">
      <c r="A808" s="313"/>
      <c r="B808" s="293"/>
      <c r="C808" s="814" t="s">
        <v>760</v>
      </c>
      <c r="D808" s="744"/>
      <c r="E808" s="745"/>
      <c r="F808" s="746"/>
      <c r="G808" s="746"/>
      <c r="H808" s="425"/>
      <c r="I808" s="425"/>
      <c r="J808" s="425"/>
      <c r="K808" s="154"/>
      <c r="L808" s="155"/>
      <c r="M808" s="154"/>
      <c r="N808" s="154"/>
      <c r="O808" s="424"/>
      <c r="P808" s="424"/>
      <c r="Q808" s="424"/>
      <c r="R808" s="424"/>
      <c r="S808" s="424"/>
      <c r="T808" s="427"/>
      <c r="U808" s="427"/>
      <c r="V808" s="427"/>
      <c r="W808" s="427"/>
      <c r="X808" s="427"/>
      <c r="Y808" s="427"/>
      <c r="Z808" s="427"/>
      <c r="AA808" s="427"/>
      <c r="AB808" s="427"/>
      <c r="AC808" s="427"/>
      <c r="AD808" s="427"/>
      <c r="AE808" s="427"/>
      <c r="AF808" s="427"/>
      <c r="AG808" s="3"/>
    </row>
    <row r="809" spans="1:34" x14ac:dyDescent="0.35">
      <c r="A809" s="313"/>
      <c r="B809" s="293"/>
      <c r="C809" s="812" t="s">
        <v>422</v>
      </c>
      <c r="D809" s="748"/>
      <c r="E809" s="749"/>
      <c r="F809" s="750">
        <v>39600</v>
      </c>
      <c r="G809" s="750">
        <v>39600</v>
      </c>
      <c r="H809" s="690"/>
      <c r="I809" s="690"/>
      <c r="J809" s="690"/>
      <c r="K809" s="154"/>
      <c r="L809" s="155"/>
      <c r="M809" s="692"/>
      <c r="N809" s="154"/>
      <c r="O809" s="689"/>
      <c r="P809" s="689"/>
      <c r="Q809" s="689"/>
      <c r="R809" s="689"/>
      <c r="S809" s="689"/>
      <c r="T809" s="693"/>
      <c r="U809" s="693"/>
      <c r="V809" s="693"/>
      <c r="W809" s="693"/>
      <c r="X809" s="693"/>
      <c r="Y809" s="693"/>
      <c r="Z809" s="693"/>
      <c r="AA809" s="693"/>
      <c r="AB809" s="693"/>
      <c r="AC809" s="693"/>
      <c r="AD809" s="693"/>
      <c r="AE809" s="693"/>
      <c r="AF809" s="693"/>
    </row>
    <row r="810" spans="1:34" x14ac:dyDescent="0.35">
      <c r="A810" s="313"/>
      <c r="B810" s="293"/>
      <c r="C810" s="814" t="s">
        <v>70</v>
      </c>
      <c r="D810" s="744"/>
      <c r="E810" s="745"/>
      <c r="F810" s="746"/>
      <c r="G810" s="746"/>
      <c r="H810" s="425"/>
      <c r="I810" s="425"/>
      <c r="J810" s="425"/>
      <c r="K810" s="154"/>
      <c r="L810" s="155"/>
      <c r="M810" s="154"/>
      <c r="N810" s="154"/>
      <c r="O810" s="424"/>
      <c r="P810" s="424"/>
      <c r="Q810" s="424"/>
      <c r="R810" s="424"/>
      <c r="S810" s="424"/>
      <c r="T810" s="427"/>
      <c r="U810" s="427"/>
      <c r="V810" s="427"/>
      <c r="W810" s="427"/>
      <c r="X810" s="427"/>
      <c r="Y810" s="427"/>
      <c r="Z810" s="427"/>
      <c r="AA810" s="427"/>
      <c r="AB810" s="427"/>
      <c r="AC810" s="427"/>
      <c r="AD810" s="427"/>
      <c r="AE810" s="427"/>
      <c r="AF810" s="427"/>
      <c r="AG810" s="3"/>
    </row>
    <row r="811" spans="1:34" x14ac:dyDescent="0.35">
      <c r="A811" s="313"/>
      <c r="B811" s="293"/>
      <c r="C811" s="812" t="s">
        <v>423</v>
      </c>
      <c r="D811" s="748"/>
      <c r="E811" s="749"/>
      <c r="F811" s="750">
        <v>24500</v>
      </c>
      <c r="G811" s="750">
        <v>24500</v>
      </c>
      <c r="H811" s="690"/>
      <c r="I811" s="690"/>
      <c r="J811" s="690"/>
      <c r="K811" s="154"/>
      <c r="L811" s="155"/>
      <c r="M811" s="692"/>
      <c r="N811" s="154"/>
      <c r="O811" s="689"/>
      <c r="P811" s="689"/>
      <c r="Q811" s="689"/>
      <c r="R811" s="689"/>
      <c r="S811" s="689"/>
      <c r="T811" s="693"/>
      <c r="U811" s="693"/>
      <c r="V811" s="693"/>
      <c r="W811" s="693"/>
      <c r="X811" s="693"/>
      <c r="Y811" s="693"/>
      <c r="Z811" s="693"/>
      <c r="AA811" s="693"/>
      <c r="AB811" s="693"/>
      <c r="AC811" s="693"/>
      <c r="AD811" s="693"/>
      <c r="AE811" s="693"/>
      <c r="AF811" s="693"/>
    </row>
    <row r="812" spans="1:34" x14ac:dyDescent="0.35">
      <c r="A812" s="313"/>
      <c r="B812" s="293"/>
      <c r="C812" s="812" t="s">
        <v>424</v>
      </c>
      <c r="D812" s="748"/>
      <c r="E812" s="749"/>
      <c r="F812" s="750">
        <v>19800</v>
      </c>
      <c r="G812" s="750">
        <v>19800</v>
      </c>
      <c r="H812" s="690"/>
      <c r="I812" s="690"/>
      <c r="J812" s="690"/>
      <c r="K812" s="154"/>
      <c r="L812" s="155"/>
      <c r="M812" s="692"/>
      <c r="N812" s="154"/>
      <c r="O812" s="689"/>
      <c r="P812" s="689"/>
      <c r="Q812" s="689"/>
      <c r="R812" s="689"/>
      <c r="S812" s="689"/>
      <c r="T812" s="693"/>
      <c r="U812" s="693"/>
      <c r="V812" s="693"/>
      <c r="W812" s="693"/>
      <c r="X812" s="693"/>
      <c r="Y812" s="693"/>
      <c r="Z812" s="693"/>
      <c r="AA812" s="693"/>
      <c r="AB812" s="693"/>
      <c r="AC812" s="693"/>
      <c r="AD812" s="693"/>
      <c r="AE812" s="693"/>
      <c r="AF812" s="693"/>
    </row>
    <row r="813" spans="1:34" x14ac:dyDescent="0.35">
      <c r="A813" s="313"/>
      <c r="B813" s="293"/>
      <c r="C813" s="814" t="s">
        <v>262</v>
      </c>
      <c r="D813" s="744"/>
      <c r="E813" s="745"/>
      <c r="F813" s="746"/>
      <c r="G813" s="746"/>
      <c r="H813" s="425"/>
      <c r="I813" s="425"/>
      <c r="J813" s="425"/>
      <c r="K813" s="154"/>
      <c r="L813" s="155"/>
      <c r="M813" s="154"/>
      <c r="N813" s="154"/>
      <c r="O813" s="424"/>
      <c r="P813" s="424"/>
      <c r="Q813" s="424"/>
      <c r="R813" s="424"/>
      <c r="S813" s="424"/>
      <c r="T813" s="427"/>
      <c r="U813" s="427"/>
      <c r="V813" s="427"/>
      <c r="W813" s="427"/>
      <c r="X813" s="427"/>
      <c r="Y813" s="427"/>
      <c r="Z813" s="427"/>
      <c r="AA813" s="427"/>
      <c r="AB813" s="427"/>
      <c r="AC813" s="427"/>
      <c r="AD813" s="427"/>
      <c r="AE813" s="427"/>
      <c r="AF813" s="427"/>
      <c r="AG813" s="3"/>
    </row>
    <row r="814" spans="1:34" x14ac:dyDescent="0.35">
      <c r="A814" s="313"/>
      <c r="B814" s="293"/>
      <c r="C814" s="747" t="s">
        <v>425</v>
      </c>
      <c r="D814" s="748"/>
      <c r="E814" s="749"/>
      <c r="F814" s="750">
        <v>19800</v>
      </c>
      <c r="G814" s="750">
        <v>19800</v>
      </c>
      <c r="H814" s="690"/>
      <c r="I814" s="690"/>
      <c r="J814" s="690"/>
      <c r="K814" s="154"/>
      <c r="L814" s="155"/>
      <c r="M814" s="692"/>
      <c r="N814" s="154"/>
      <c r="O814" s="689"/>
      <c r="P814" s="689"/>
      <c r="Q814" s="689"/>
      <c r="R814" s="689"/>
      <c r="S814" s="689"/>
      <c r="T814" s="693"/>
      <c r="U814" s="693"/>
      <c r="V814" s="693"/>
      <c r="W814" s="693"/>
      <c r="X814" s="693"/>
      <c r="Y814" s="693"/>
      <c r="Z814" s="693"/>
      <c r="AA814" s="693"/>
      <c r="AB814" s="693"/>
      <c r="AC814" s="693"/>
      <c r="AD814" s="693"/>
      <c r="AE814" s="693"/>
      <c r="AF814" s="693"/>
    </row>
    <row r="815" spans="1:34" x14ac:dyDescent="0.35">
      <c r="A815" s="313"/>
      <c r="B815" s="293"/>
      <c r="C815" s="743" t="s">
        <v>69</v>
      </c>
      <c r="D815" s="744"/>
      <c r="E815" s="745"/>
      <c r="F815" s="746"/>
      <c r="G815" s="746"/>
      <c r="H815" s="425"/>
      <c r="I815" s="425"/>
      <c r="J815" s="425"/>
      <c r="K815" s="154"/>
      <c r="L815" s="155"/>
      <c r="M815" s="154"/>
      <c r="N815" s="154"/>
      <c r="O815" s="424"/>
      <c r="P815" s="424"/>
      <c r="Q815" s="424"/>
      <c r="R815" s="424"/>
      <c r="S815" s="424"/>
      <c r="T815" s="427"/>
      <c r="U815" s="427"/>
      <c r="V815" s="427"/>
      <c r="W815" s="427"/>
      <c r="X815" s="427"/>
      <c r="Y815" s="427"/>
      <c r="Z815" s="427"/>
      <c r="AA815" s="427"/>
      <c r="AB815" s="427"/>
      <c r="AC815" s="427"/>
      <c r="AD815" s="427"/>
      <c r="AE815" s="427"/>
      <c r="AF815" s="427"/>
      <c r="AG815" s="3"/>
    </row>
    <row r="816" spans="1:34" x14ac:dyDescent="0.35">
      <c r="A816" s="313"/>
      <c r="B816" s="293"/>
      <c r="C816" s="812" t="s">
        <v>426</v>
      </c>
      <c r="D816" s="748"/>
      <c r="E816" s="749"/>
      <c r="F816" s="750">
        <v>9500</v>
      </c>
      <c r="G816" s="750">
        <v>9500</v>
      </c>
      <c r="H816" s="690"/>
      <c r="I816" s="690"/>
      <c r="J816" s="690"/>
      <c r="K816" s="154"/>
      <c r="L816" s="155"/>
      <c r="M816" s="692"/>
      <c r="N816" s="154"/>
      <c r="O816" s="689"/>
      <c r="P816" s="689"/>
      <c r="Q816" s="689"/>
      <c r="R816" s="689"/>
      <c r="S816" s="689"/>
      <c r="T816" s="693"/>
      <c r="U816" s="693"/>
      <c r="V816" s="693"/>
      <c r="W816" s="693"/>
      <c r="X816" s="693"/>
      <c r="Y816" s="693"/>
      <c r="Z816" s="693"/>
      <c r="AA816" s="693"/>
      <c r="AB816" s="693"/>
      <c r="AC816" s="693"/>
      <c r="AD816" s="693"/>
      <c r="AE816" s="693"/>
      <c r="AF816" s="693"/>
    </row>
    <row r="817" spans="1:33" x14ac:dyDescent="0.35">
      <c r="A817" s="313"/>
      <c r="B817" s="293"/>
      <c r="C817" s="814" t="s">
        <v>263</v>
      </c>
      <c r="D817" s="744"/>
      <c r="E817" s="745"/>
      <c r="F817" s="746"/>
      <c r="G817" s="746"/>
      <c r="H817" s="425"/>
      <c r="I817" s="425"/>
      <c r="J817" s="425"/>
      <c r="K817" s="154"/>
      <c r="L817" s="155"/>
      <c r="M817" s="154"/>
      <c r="N817" s="154"/>
      <c r="O817" s="424"/>
      <c r="P817" s="424"/>
      <c r="Q817" s="424"/>
      <c r="R817" s="424"/>
      <c r="S817" s="424"/>
      <c r="T817" s="427"/>
      <c r="U817" s="427"/>
      <c r="V817" s="427"/>
      <c r="W817" s="427"/>
      <c r="X817" s="427"/>
      <c r="Y817" s="427"/>
      <c r="Z817" s="427"/>
      <c r="AA817" s="427"/>
      <c r="AB817" s="427"/>
      <c r="AC817" s="427"/>
      <c r="AD817" s="427"/>
      <c r="AE817" s="427"/>
      <c r="AF817" s="427"/>
      <c r="AG817" s="3"/>
    </row>
    <row r="818" spans="1:33" x14ac:dyDescent="0.35">
      <c r="A818" s="313"/>
      <c r="B818" s="293"/>
      <c r="C818" s="812" t="s">
        <v>427</v>
      </c>
      <c r="D818" s="748"/>
      <c r="E818" s="749"/>
      <c r="F818" s="750">
        <v>8500</v>
      </c>
      <c r="G818" s="750">
        <v>8500</v>
      </c>
      <c r="H818" s="690"/>
      <c r="I818" s="690"/>
      <c r="J818" s="690"/>
      <c r="K818" s="154"/>
      <c r="L818" s="155"/>
      <c r="M818" s="692"/>
      <c r="N818" s="154"/>
      <c r="O818" s="689"/>
      <c r="P818" s="689"/>
      <c r="Q818" s="689"/>
      <c r="R818" s="689"/>
      <c r="S818" s="689"/>
      <c r="T818" s="693"/>
      <c r="U818" s="693"/>
      <c r="V818" s="693"/>
      <c r="W818" s="693"/>
      <c r="X818" s="693"/>
      <c r="Y818" s="693"/>
      <c r="Z818" s="693"/>
      <c r="AA818" s="693"/>
      <c r="AB818" s="693"/>
      <c r="AC818" s="693"/>
      <c r="AD818" s="693"/>
      <c r="AE818" s="693"/>
      <c r="AF818" s="693"/>
    </row>
    <row r="819" spans="1:33" x14ac:dyDescent="0.35">
      <c r="A819" s="313"/>
      <c r="B819" s="293"/>
      <c r="C819" s="815" t="s">
        <v>54</v>
      </c>
      <c r="D819" s="759"/>
      <c r="E819" s="760"/>
      <c r="F819" s="761"/>
      <c r="G819" s="761"/>
      <c r="H819" s="425"/>
      <c r="I819" s="425"/>
      <c r="J819" s="425"/>
      <c r="K819" s="154"/>
      <c r="L819" s="155"/>
      <c r="M819" s="154"/>
      <c r="N819" s="154"/>
      <c r="O819" s="424"/>
      <c r="P819" s="424"/>
      <c r="Q819" s="424"/>
      <c r="R819" s="424"/>
      <c r="S819" s="424"/>
      <c r="T819" s="427"/>
      <c r="U819" s="427"/>
      <c r="V819" s="427"/>
      <c r="W819" s="427"/>
      <c r="X819" s="427"/>
      <c r="Y819" s="427"/>
      <c r="Z819" s="427"/>
      <c r="AA819" s="427"/>
      <c r="AB819" s="427"/>
      <c r="AC819" s="427"/>
      <c r="AD819" s="427"/>
      <c r="AE819" s="427"/>
      <c r="AF819" s="427"/>
      <c r="AG819" s="3"/>
    </row>
    <row r="820" spans="1:33" x14ac:dyDescent="0.35">
      <c r="A820" s="313"/>
      <c r="B820" s="293"/>
      <c r="C820" s="816" t="s">
        <v>428</v>
      </c>
      <c r="D820" s="763"/>
      <c r="E820" s="764"/>
      <c r="F820" s="765">
        <v>9900</v>
      </c>
      <c r="G820" s="766">
        <v>9900</v>
      </c>
      <c r="H820" s="690"/>
      <c r="I820" s="690"/>
      <c r="J820" s="690"/>
      <c r="K820" s="154"/>
      <c r="L820" s="155"/>
      <c r="M820" s="692"/>
      <c r="N820" s="154"/>
      <c r="O820" s="689"/>
      <c r="P820" s="689"/>
      <c r="Q820" s="689"/>
      <c r="R820" s="689"/>
      <c r="S820" s="689"/>
      <c r="T820" s="693"/>
      <c r="U820" s="693"/>
      <c r="V820" s="693"/>
      <c r="W820" s="693"/>
      <c r="X820" s="693"/>
      <c r="Y820" s="693"/>
      <c r="Z820" s="693"/>
      <c r="AA820" s="693"/>
      <c r="AB820" s="693"/>
      <c r="AC820" s="693"/>
      <c r="AD820" s="693"/>
      <c r="AE820" s="693"/>
      <c r="AF820" s="693"/>
    </row>
    <row r="821" spans="1:33" x14ac:dyDescent="0.35">
      <c r="A821" s="313"/>
      <c r="B821" s="293"/>
      <c r="C821" s="817" t="s">
        <v>62</v>
      </c>
      <c r="D821" s="774"/>
      <c r="E821" s="774"/>
      <c r="F821" s="775"/>
      <c r="G821" s="775"/>
      <c r="H821" s="425"/>
      <c r="I821" s="425"/>
      <c r="J821" s="425"/>
      <c r="K821" s="154"/>
      <c r="L821" s="155"/>
      <c r="M821" s="154"/>
      <c r="N821" s="154"/>
      <c r="O821" s="424"/>
      <c r="P821" s="424"/>
      <c r="Q821" s="424"/>
      <c r="R821" s="424"/>
      <c r="S821" s="424"/>
      <c r="T821" s="427"/>
      <c r="U821" s="427"/>
      <c r="V821" s="427"/>
      <c r="W821" s="427"/>
      <c r="X821" s="427"/>
      <c r="Y821" s="427"/>
      <c r="Z821" s="427"/>
      <c r="AA821" s="427"/>
      <c r="AB821" s="427"/>
      <c r="AC821" s="427"/>
      <c r="AD821" s="427"/>
      <c r="AE821" s="427"/>
      <c r="AF821" s="427"/>
      <c r="AG821" s="3"/>
    </row>
    <row r="822" spans="1:33" x14ac:dyDescent="0.35">
      <c r="A822" s="313"/>
      <c r="B822" s="293"/>
      <c r="C822" s="818" t="s">
        <v>429</v>
      </c>
      <c r="D822" s="777"/>
      <c r="E822" s="777"/>
      <c r="F822" s="778">
        <v>18500</v>
      </c>
      <c r="G822" s="778">
        <v>18500</v>
      </c>
      <c r="H822" s="690"/>
      <c r="I822" s="690"/>
      <c r="J822" s="690"/>
      <c r="K822" s="154"/>
      <c r="L822" s="155"/>
      <c r="M822" s="692"/>
      <c r="N822" s="154"/>
      <c r="O822" s="689"/>
      <c r="P822" s="689"/>
      <c r="Q822" s="689"/>
      <c r="R822" s="689"/>
      <c r="S822" s="689"/>
      <c r="T822" s="693"/>
      <c r="U822" s="693"/>
      <c r="V822" s="693"/>
      <c r="W822" s="693"/>
      <c r="X822" s="693"/>
      <c r="Y822" s="693"/>
      <c r="Z822" s="693"/>
      <c r="AA822" s="693"/>
      <c r="AB822" s="693"/>
      <c r="AC822" s="693"/>
      <c r="AD822" s="693"/>
      <c r="AE822" s="693"/>
      <c r="AF822" s="693"/>
    </row>
    <row r="823" spans="1:33" x14ac:dyDescent="0.35">
      <c r="A823" s="313"/>
      <c r="B823" s="293"/>
      <c r="C823" s="818" t="s">
        <v>430</v>
      </c>
      <c r="D823" s="777"/>
      <c r="E823" s="777"/>
      <c r="F823" s="778">
        <v>9900</v>
      </c>
      <c r="G823" s="778">
        <v>9900</v>
      </c>
      <c r="H823" s="690"/>
      <c r="I823" s="690"/>
      <c r="J823" s="690"/>
      <c r="K823" s="154"/>
      <c r="L823" s="155"/>
      <c r="M823" s="692"/>
      <c r="N823" s="154"/>
      <c r="O823" s="689"/>
      <c r="P823" s="689"/>
      <c r="Q823" s="689"/>
      <c r="R823" s="689"/>
      <c r="S823" s="689"/>
      <c r="T823" s="693"/>
      <c r="U823" s="693"/>
      <c r="V823" s="693"/>
      <c r="W823" s="693"/>
      <c r="X823" s="693"/>
      <c r="Y823" s="693"/>
      <c r="Z823" s="693"/>
      <c r="AA823" s="693"/>
      <c r="AB823" s="693"/>
      <c r="AC823" s="693"/>
      <c r="AD823" s="693"/>
      <c r="AE823" s="693"/>
      <c r="AF823" s="693"/>
    </row>
    <row r="824" spans="1:33" x14ac:dyDescent="0.35">
      <c r="A824" s="313"/>
      <c r="B824" s="293"/>
      <c r="C824" s="819" t="s">
        <v>50</v>
      </c>
      <c r="D824" s="780"/>
      <c r="E824" s="780"/>
      <c r="F824" s="781"/>
      <c r="G824" s="781"/>
      <c r="H824" s="425"/>
      <c r="I824" s="425"/>
      <c r="J824" s="425"/>
      <c r="K824" s="154"/>
      <c r="L824" s="155"/>
      <c r="M824" s="154"/>
      <c r="N824" s="154"/>
      <c r="O824" s="424"/>
      <c r="P824" s="424"/>
      <c r="Q824" s="424"/>
      <c r="R824" s="424"/>
      <c r="S824" s="424"/>
      <c r="T824" s="427"/>
      <c r="U824" s="427"/>
      <c r="V824" s="427"/>
      <c r="W824" s="427"/>
      <c r="X824" s="427"/>
      <c r="Y824" s="427"/>
      <c r="Z824" s="427"/>
      <c r="AA824" s="427"/>
      <c r="AB824" s="427"/>
      <c r="AC824" s="427"/>
      <c r="AD824" s="427"/>
      <c r="AE824" s="427"/>
      <c r="AF824" s="427"/>
      <c r="AG824" s="3"/>
    </row>
    <row r="825" spans="1:33" x14ac:dyDescent="0.35">
      <c r="A825" s="313"/>
      <c r="B825" s="293"/>
      <c r="C825" s="699" t="s">
        <v>431</v>
      </c>
      <c r="D825" s="700"/>
      <c r="E825" s="700"/>
      <c r="F825" s="701">
        <v>9900</v>
      </c>
      <c r="G825" s="701">
        <v>9900</v>
      </c>
      <c r="H825" s="690"/>
      <c r="I825" s="690"/>
      <c r="J825" s="690"/>
      <c r="K825" s="154"/>
      <c r="L825" s="155"/>
      <c r="M825" s="692"/>
      <c r="N825" s="154"/>
      <c r="O825" s="689"/>
      <c r="P825" s="689"/>
      <c r="Q825" s="689"/>
      <c r="R825" s="689"/>
      <c r="S825" s="689"/>
      <c r="T825" s="693"/>
      <c r="U825" s="693"/>
      <c r="V825" s="693"/>
      <c r="W825" s="693"/>
      <c r="X825" s="693"/>
      <c r="Y825" s="693"/>
      <c r="Z825" s="693"/>
      <c r="AA825" s="693"/>
      <c r="AB825" s="693"/>
      <c r="AC825" s="693"/>
      <c r="AD825" s="693"/>
      <c r="AE825" s="693"/>
      <c r="AF825" s="693"/>
    </row>
    <row r="826" spans="1:33" x14ac:dyDescent="0.35">
      <c r="A826" s="313"/>
      <c r="B826" s="293"/>
      <c r="C826" s="782" t="s">
        <v>61</v>
      </c>
      <c r="D826" s="783"/>
      <c r="E826" s="783"/>
      <c r="F826" s="784"/>
      <c r="G826" s="784"/>
      <c r="H826" s="425"/>
      <c r="I826" s="425"/>
      <c r="J826" s="425"/>
      <c r="K826" s="154"/>
      <c r="L826" s="155"/>
      <c r="M826" s="154"/>
      <c r="N826" s="154"/>
      <c r="O826" s="424"/>
      <c r="P826" s="424"/>
      <c r="Q826" s="424"/>
      <c r="R826" s="424"/>
      <c r="S826" s="424"/>
      <c r="T826" s="427"/>
      <c r="U826" s="427"/>
      <c r="V826" s="427"/>
      <c r="W826" s="427"/>
      <c r="X826" s="427"/>
      <c r="Y826" s="427"/>
      <c r="Z826" s="427"/>
      <c r="AA826" s="427"/>
      <c r="AB826" s="427"/>
      <c r="AC826" s="427"/>
      <c r="AD826" s="427"/>
      <c r="AE826" s="427"/>
      <c r="AF826" s="427"/>
      <c r="AG826" s="3"/>
    </row>
    <row r="827" spans="1:33" x14ac:dyDescent="0.35">
      <c r="A827" s="313"/>
      <c r="B827" s="293"/>
      <c r="C827" s="820" t="s">
        <v>432</v>
      </c>
      <c r="D827" s="786"/>
      <c r="E827" s="786"/>
      <c r="F827" s="787">
        <v>19800</v>
      </c>
      <c r="G827" s="787">
        <v>19800</v>
      </c>
      <c r="H827" s="690"/>
      <c r="I827" s="690"/>
      <c r="J827" s="690"/>
      <c r="K827" s="154"/>
      <c r="L827" s="155"/>
      <c r="M827" s="692"/>
      <c r="N827" s="154"/>
      <c r="O827" s="689"/>
      <c r="P827" s="689"/>
      <c r="Q827" s="689"/>
      <c r="R827" s="689"/>
      <c r="S827" s="689"/>
      <c r="T827" s="693"/>
      <c r="U827" s="693"/>
      <c r="V827" s="693"/>
      <c r="W827" s="693"/>
      <c r="X827" s="693"/>
      <c r="Y827" s="693"/>
      <c r="Z827" s="693"/>
      <c r="AA827" s="693"/>
      <c r="AB827" s="693"/>
      <c r="AC827" s="693"/>
      <c r="AD827" s="693"/>
      <c r="AE827" s="693"/>
      <c r="AF827" s="693"/>
    </row>
    <row r="828" spans="1:33" x14ac:dyDescent="0.35">
      <c r="A828" s="313"/>
      <c r="B828" s="293"/>
      <c r="C828" s="821" t="s">
        <v>52</v>
      </c>
      <c r="D828" s="795"/>
      <c r="E828" s="796"/>
      <c r="F828" s="797"/>
      <c r="G828" s="797"/>
      <c r="H828" s="425"/>
      <c r="I828" s="425"/>
      <c r="J828" s="425"/>
      <c r="K828" s="154"/>
      <c r="L828" s="155"/>
      <c r="M828" s="154"/>
      <c r="N828" s="154"/>
      <c r="O828" s="424"/>
      <c r="P828" s="424"/>
      <c r="Q828" s="424"/>
      <c r="R828" s="424"/>
      <c r="S828" s="424"/>
      <c r="T828" s="427"/>
      <c r="U828" s="427"/>
      <c r="V828" s="427"/>
      <c r="W828" s="427"/>
      <c r="X828" s="427"/>
      <c r="Y828" s="427"/>
      <c r="Z828" s="427"/>
      <c r="AA828" s="427"/>
      <c r="AB828" s="427"/>
      <c r="AC828" s="427"/>
      <c r="AD828" s="427"/>
      <c r="AE828" s="427"/>
      <c r="AF828" s="427"/>
      <c r="AG828" s="3"/>
    </row>
    <row r="829" spans="1:33" x14ac:dyDescent="0.35">
      <c r="A829" s="313"/>
      <c r="B829" s="293"/>
      <c r="C829" s="822" t="s">
        <v>433</v>
      </c>
      <c r="D829" s="735"/>
      <c r="E829" s="736"/>
      <c r="F829" s="799">
        <v>122500</v>
      </c>
      <c r="G829" s="799">
        <v>122500</v>
      </c>
      <c r="H829" s="690"/>
      <c r="I829" s="690"/>
      <c r="J829" s="690"/>
      <c r="K829" s="154"/>
      <c r="L829" s="155"/>
      <c r="M829" s="692"/>
      <c r="N829" s="154"/>
      <c r="O829" s="689"/>
      <c r="P829" s="689"/>
      <c r="Q829" s="689"/>
      <c r="R829" s="689"/>
      <c r="S829" s="689"/>
      <c r="T829" s="693"/>
      <c r="U829" s="693"/>
      <c r="V829" s="693"/>
      <c r="W829" s="693"/>
      <c r="X829" s="693"/>
      <c r="Y829" s="693"/>
      <c r="Z829" s="693"/>
      <c r="AA829" s="693"/>
      <c r="AB829" s="693"/>
      <c r="AC829" s="693"/>
      <c r="AD829" s="693"/>
      <c r="AE829" s="693"/>
      <c r="AF829" s="693"/>
    </row>
    <row r="830" spans="1:33" x14ac:dyDescent="0.35">
      <c r="A830" s="313"/>
      <c r="B830" s="293"/>
      <c r="C830" s="823" t="s">
        <v>80</v>
      </c>
      <c r="D830" s="807"/>
      <c r="E830" s="807"/>
      <c r="F830" s="808"/>
      <c r="G830" s="808"/>
      <c r="H830" s="425"/>
      <c r="I830" s="425"/>
      <c r="J830" s="425"/>
      <c r="K830" s="154"/>
      <c r="L830" s="155"/>
      <c r="M830" s="154"/>
      <c r="N830" s="154"/>
      <c r="O830" s="424"/>
      <c r="P830" s="424"/>
      <c r="Q830" s="424"/>
      <c r="R830" s="424"/>
      <c r="S830" s="424"/>
      <c r="T830" s="427"/>
      <c r="U830" s="427"/>
      <c r="V830" s="427"/>
      <c r="W830" s="427"/>
      <c r="X830" s="427"/>
      <c r="Y830" s="427"/>
      <c r="Z830" s="427"/>
      <c r="AA830" s="427"/>
      <c r="AB830" s="427"/>
      <c r="AC830" s="427"/>
      <c r="AD830" s="427"/>
      <c r="AE830" s="427"/>
      <c r="AF830" s="427"/>
      <c r="AG830" s="3"/>
    </row>
    <row r="831" spans="1:33" x14ac:dyDescent="0.35">
      <c r="A831" s="313"/>
      <c r="B831" s="293"/>
      <c r="C831" s="809" t="s">
        <v>434</v>
      </c>
      <c r="D831" s="810"/>
      <c r="E831" s="810"/>
      <c r="F831" s="811">
        <v>14500</v>
      </c>
      <c r="G831" s="811">
        <v>14500</v>
      </c>
      <c r="H831" s="690"/>
      <c r="I831" s="690"/>
      <c r="J831" s="690"/>
      <c r="K831" s="154"/>
      <c r="L831" s="155"/>
      <c r="M831" s="692"/>
      <c r="N831" s="154"/>
      <c r="O831" s="689"/>
      <c r="P831" s="689"/>
      <c r="Q831" s="689"/>
      <c r="R831" s="689"/>
      <c r="S831" s="689"/>
      <c r="T831" s="693"/>
      <c r="U831" s="693"/>
      <c r="V831" s="693"/>
      <c r="W831" s="693"/>
      <c r="X831" s="693"/>
      <c r="Y831" s="693"/>
      <c r="Z831" s="693"/>
      <c r="AA831" s="693"/>
      <c r="AB831" s="693"/>
      <c r="AC831" s="693"/>
      <c r="AD831" s="693"/>
      <c r="AE831" s="693"/>
      <c r="AF831" s="693"/>
    </row>
    <row r="832" spans="1:33" x14ac:dyDescent="0.35">
      <c r="A832" s="313"/>
      <c r="B832" s="293"/>
      <c r="C832" s="809" t="s">
        <v>435</v>
      </c>
      <c r="D832" s="810"/>
      <c r="E832" s="810"/>
      <c r="F832" s="811">
        <v>19800</v>
      </c>
      <c r="G832" s="811">
        <v>19800</v>
      </c>
      <c r="H832" s="690"/>
      <c r="I832" s="690"/>
      <c r="J832" s="690"/>
      <c r="K832" s="154"/>
      <c r="L832" s="155"/>
      <c r="M832" s="692"/>
      <c r="N832" s="154"/>
      <c r="O832" s="689"/>
      <c r="P832" s="689"/>
      <c r="Q832" s="689"/>
      <c r="R832" s="689"/>
      <c r="S832" s="689"/>
      <c r="T832" s="693"/>
      <c r="U832" s="693"/>
      <c r="V832" s="693"/>
      <c r="W832" s="693"/>
      <c r="X832" s="693"/>
      <c r="Y832" s="693"/>
      <c r="Z832" s="693"/>
      <c r="AA832" s="693"/>
      <c r="AB832" s="693"/>
      <c r="AC832" s="693"/>
      <c r="AD832" s="693"/>
      <c r="AE832" s="693"/>
      <c r="AF832" s="693"/>
    </row>
    <row r="833" spans="1:33" x14ac:dyDescent="0.35">
      <c r="A833" s="313"/>
      <c r="B833" s="72" t="s">
        <v>438</v>
      </c>
      <c r="C833" s="125"/>
      <c r="D833" s="689"/>
      <c r="E833" s="690">
        <v>66984300</v>
      </c>
      <c r="F833" s="691">
        <f>+F834</f>
        <v>580800</v>
      </c>
      <c r="G833" s="691">
        <f>+G834</f>
        <v>580800</v>
      </c>
      <c r="H833" s="690"/>
      <c r="I833" s="690">
        <f>+G833-H833</f>
        <v>580800</v>
      </c>
      <c r="J833" s="690">
        <f>+E833-G833</f>
        <v>66403500</v>
      </c>
      <c r="K833" s="154"/>
      <c r="L833" s="155"/>
      <c r="M833" s="692"/>
      <c r="N833" s="154"/>
      <c r="O833" s="689"/>
      <c r="P833" s="689"/>
      <c r="Q833" s="689">
        <f t="shared" ref="Q833" si="249">+O833-P833</f>
        <v>0</v>
      </c>
      <c r="R833" s="689"/>
      <c r="S833" s="689"/>
      <c r="T833" s="693"/>
      <c r="U833" s="693"/>
      <c r="V833" s="693"/>
      <c r="W833" s="693"/>
      <c r="X833" s="693"/>
      <c r="Y833" s="693"/>
      <c r="Z833" s="693"/>
      <c r="AA833" s="693"/>
      <c r="AB833" s="693"/>
      <c r="AC833" s="693"/>
      <c r="AD833" s="693"/>
      <c r="AE833" s="693"/>
      <c r="AF833" s="693"/>
      <c r="AG833" s="432">
        <v>580800</v>
      </c>
    </row>
    <row r="834" spans="1:33" x14ac:dyDescent="0.35">
      <c r="A834" s="313"/>
      <c r="B834" s="293" t="s">
        <v>390</v>
      </c>
      <c r="C834" s="125"/>
      <c r="D834" s="689"/>
      <c r="E834" s="690"/>
      <c r="F834" s="694">
        <f>SUM(F836:F861)</f>
        <v>580800</v>
      </c>
      <c r="G834" s="694">
        <f>SUM(G836:G861)</f>
        <v>580800</v>
      </c>
      <c r="H834" s="690"/>
      <c r="I834" s="690"/>
      <c r="J834" s="690"/>
      <c r="K834" s="154"/>
      <c r="L834" s="155"/>
      <c r="M834" s="692"/>
      <c r="N834" s="154"/>
      <c r="O834" s="689"/>
      <c r="P834" s="689"/>
      <c r="Q834" s="689"/>
      <c r="R834" s="689"/>
      <c r="S834" s="689"/>
      <c r="T834" s="693"/>
      <c r="U834" s="693"/>
      <c r="V834" s="693"/>
      <c r="W834" s="693"/>
      <c r="X834" s="693"/>
      <c r="Y834" s="693"/>
      <c r="Z834" s="693"/>
      <c r="AA834" s="693"/>
      <c r="AB834" s="693"/>
      <c r="AC834" s="693"/>
      <c r="AD834" s="693"/>
      <c r="AE834" s="693"/>
      <c r="AF834" s="693"/>
    </row>
    <row r="835" spans="1:33" x14ac:dyDescent="0.35">
      <c r="A835" s="313"/>
      <c r="B835" s="293"/>
      <c r="C835" s="743" t="s">
        <v>759</v>
      </c>
      <c r="D835" s="744"/>
      <c r="E835" s="745"/>
      <c r="F835" s="746"/>
      <c r="G835" s="746"/>
      <c r="H835" s="425"/>
      <c r="I835" s="425"/>
      <c r="J835" s="425"/>
      <c r="K835" s="154"/>
      <c r="L835" s="155"/>
      <c r="M835" s="154"/>
      <c r="N835" s="154"/>
      <c r="O835" s="424"/>
      <c r="P835" s="424"/>
      <c r="Q835" s="424"/>
      <c r="R835" s="424"/>
      <c r="S835" s="424"/>
      <c r="T835" s="427"/>
      <c r="U835" s="427"/>
      <c r="V835" s="427"/>
      <c r="W835" s="427"/>
      <c r="X835" s="427"/>
      <c r="Y835" s="427"/>
      <c r="Z835" s="427"/>
      <c r="AA835" s="427"/>
      <c r="AB835" s="427"/>
      <c r="AC835" s="427"/>
      <c r="AD835" s="427"/>
      <c r="AE835" s="427"/>
      <c r="AF835" s="427"/>
      <c r="AG835" s="3"/>
    </row>
    <row r="836" spans="1:33" ht="42" x14ac:dyDescent="0.35">
      <c r="A836" s="313"/>
      <c r="B836" s="293"/>
      <c r="C836" s="812" t="s">
        <v>391</v>
      </c>
      <c r="D836" s="748"/>
      <c r="E836" s="749"/>
      <c r="F836" s="750">
        <v>15400</v>
      </c>
      <c r="G836" s="750">
        <v>15400</v>
      </c>
      <c r="H836" s="690"/>
      <c r="I836" s="690"/>
      <c r="J836" s="690"/>
      <c r="K836" s="154"/>
      <c r="L836" s="155"/>
      <c r="M836" s="692"/>
      <c r="N836" s="154"/>
      <c r="O836" s="689"/>
      <c r="P836" s="689"/>
      <c r="Q836" s="689"/>
      <c r="R836" s="689"/>
      <c r="S836" s="689"/>
      <c r="T836" s="693"/>
      <c r="U836" s="693"/>
      <c r="V836" s="693"/>
      <c r="W836" s="693"/>
      <c r="X836" s="693"/>
      <c r="Y836" s="693"/>
      <c r="Z836" s="693"/>
      <c r="AA836" s="693"/>
      <c r="AB836" s="693"/>
      <c r="AC836" s="693"/>
      <c r="AD836" s="693"/>
      <c r="AE836" s="693"/>
      <c r="AF836" s="693"/>
    </row>
    <row r="837" spans="1:33" ht="42" x14ac:dyDescent="0.35">
      <c r="A837" s="313"/>
      <c r="B837" s="293"/>
      <c r="C837" s="812" t="s">
        <v>392</v>
      </c>
      <c r="D837" s="748"/>
      <c r="E837" s="749"/>
      <c r="F837" s="750">
        <v>8900</v>
      </c>
      <c r="G837" s="750">
        <v>8900</v>
      </c>
      <c r="H837" s="690"/>
      <c r="I837" s="690"/>
      <c r="J837" s="690"/>
      <c r="K837" s="154"/>
      <c r="L837" s="155"/>
      <c r="M837" s="692"/>
      <c r="N837" s="154"/>
      <c r="O837" s="689"/>
      <c r="P837" s="689"/>
      <c r="Q837" s="689"/>
      <c r="R837" s="689"/>
      <c r="S837" s="689"/>
      <c r="T837" s="693"/>
      <c r="U837" s="693"/>
      <c r="V837" s="693"/>
      <c r="W837" s="693"/>
      <c r="X837" s="693"/>
      <c r="Y837" s="693"/>
      <c r="Z837" s="693"/>
      <c r="AA837" s="693"/>
      <c r="AB837" s="693"/>
      <c r="AC837" s="693"/>
      <c r="AD837" s="693"/>
      <c r="AE837" s="693"/>
      <c r="AF837" s="693"/>
    </row>
    <row r="838" spans="1:33" x14ac:dyDescent="0.35">
      <c r="A838" s="313"/>
      <c r="B838" s="293"/>
      <c r="C838" s="814" t="s">
        <v>116</v>
      </c>
      <c r="D838" s="744"/>
      <c r="E838" s="745"/>
      <c r="F838" s="746"/>
      <c r="G838" s="746"/>
      <c r="H838" s="425"/>
      <c r="I838" s="425"/>
      <c r="J838" s="425"/>
      <c r="K838" s="154"/>
      <c r="L838" s="155"/>
      <c r="M838" s="154"/>
      <c r="N838" s="154"/>
      <c r="O838" s="424"/>
      <c r="P838" s="424"/>
      <c r="Q838" s="424"/>
      <c r="R838" s="424"/>
      <c r="S838" s="424"/>
      <c r="T838" s="427"/>
      <c r="U838" s="427"/>
      <c r="V838" s="427"/>
      <c r="W838" s="427"/>
      <c r="X838" s="427"/>
      <c r="Y838" s="427"/>
      <c r="Z838" s="427"/>
      <c r="AA838" s="427"/>
      <c r="AB838" s="427"/>
      <c r="AC838" s="427"/>
      <c r="AD838" s="427"/>
      <c r="AE838" s="427"/>
      <c r="AF838" s="427"/>
      <c r="AG838" s="3"/>
    </row>
    <row r="839" spans="1:33" ht="42" x14ac:dyDescent="0.35">
      <c r="A839" s="313"/>
      <c r="B839" s="293"/>
      <c r="C839" s="812" t="s">
        <v>393</v>
      </c>
      <c r="D839" s="748"/>
      <c r="E839" s="749"/>
      <c r="F839" s="750">
        <v>30800</v>
      </c>
      <c r="G839" s="750">
        <v>30800</v>
      </c>
      <c r="H839" s="690"/>
      <c r="I839" s="690"/>
      <c r="J839" s="690"/>
      <c r="K839" s="154"/>
      <c r="L839" s="155"/>
      <c r="M839" s="692"/>
      <c r="N839" s="154"/>
      <c r="O839" s="689"/>
      <c r="P839" s="689"/>
      <c r="Q839" s="689"/>
      <c r="R839" s="689"/>
      <c r="S839" s="689"/>
      <c r="T839" s="693"/>
      <c r="U839" s="693"/>
      <c r="V839" s="693"/>
      <c r="W839" s="693"/>
      <c r="X839" s="693"/>
      <c r="Y839" s="693"/>
      <c r="Z839" s="693"/>
      <c r="AA839" s="693"/>
      <c r="AB839" s="693"/>
      <c r="AC839" s="693"/>
      <c r="AD839" s="693"/>
      <c r="AE839" s="693"/>
      <c r="AF839" s="693"/>
    </row>
    <row r="840" spans="1:33" x14ac:dyDescent="0.35">
      <c r="A840" s="313"/>
      <c r="B840" s="293"/>
      <c r="C840" s="814" t="s">
        <v>761</v>
      </c>
      <c r="D840" s="744"/>
      <c r="E840" s="745"/>
      <c r="F840" s="746"/>
      <c r="G840" s="746"/>
      <c r="H840" s="425"/>
      <c r="I840" s="425"/>
      <c r="J840" s="425"/>
      <c r="K840" s="154"/>
      <c r="L840" s="155"/>
      <c r="M840" s="154"/>
      <c r="N840" s="154"/>
      <c r="O840" s="424"/>
      <c r="P840" s="424"/>
      <c r="Q840" s="424"/>
      <c r="R840" s="424"/>
      <c r="S840" s="424"/>
      <c r="T840" s="427"/>
      <c r="U840" s="427"/>
      <c r="V840" s="427"/>
      <c r="W840" s="427"/>
      <c r="X840" s="427"/>
      <c r="Y840" s="427"/>
      <c r="Z840" s="427"/>
      <c r="AA840" s="427"/>
      <c r="AB840" s="427"/>
      <c r="AC840" s="427"/>
      <c r="AD840" s="427"/>
      <c r="AE840" s="427"/>
      <c r="AF840" s="427"/>
      <c r="AG840" s="3"/>
    </row>
    <row r="841" spans="1:33" ht="42" x14ac:dyDescent="0.35">
      <c r="A841" s="313"/>
      <c r="B841" s="293"/>
      <c r="C841" s="812" t="s">
        <v>394</v>
      </c>
      <c r="D841" s="748"/>
      <c r="E841" s="749"/>
      <c r="F841" s="750">
        <v>15400</v>
      </c>
      <c r="G841" s="750">
        <v>15400</v>
      </c>
      <c r="H841" s="690"/>
      <c r="I841" s="690"/>
      <c r="J841" s="690"/>
      <c r="K841" s="154"/>
      <c r="L841" s="155"/>
      <c r="M841" s="692"/>
      <c r="N841" s="154"/>
      <c r="O841" s="689"/>
      <c r="P841" s="689"/>
      <c r="Q841" s="689"/>
      <c r="R841" s="689"/>
      <c r="S841" s="689"/>
      <c r="T841" s="693"/>
      <c r="U841" s="693"/>
      <c r="V841" s="693"/>
      <c r="W841" s="693"/>
      <c r="X841" s="693"/>
      <c r="Y841" s="693"/>
      <c r="Z841" s="693"/>
      <c r="AA841" s="693"/>
      <c r="AB841" s="693"/>
      <c r="AC841" s="693"/>
      <c r="AD841" s="693"/>
      <c r="AE841" s="693"/>
      <c r="AF841" s="693"/>
    </row>
    <row r="842" spans="1:33" x14ac:dyDescent="0.35">
      <c r="A842" s="313"/>
      <c r="B842" s="293"/>
      <c r="C842" s="814" t="s">
        <v>158</v>
      </c>
      <c r="D842" s="744"/>
      <c r="E842" s="745"/>
      <c r="F842" s="746"/>
      <c r="G842" s="746"/>
      <c r="H842" s="425"/>
      <c r="I842" s="425"/>
      <c r="J842" s="425"/>
      <c r="K842" s="154"/>
      <c r="L842" s="155"/>
      <c r="M842" s="154"/>
      <c r="N842" s="154"/>
      <c r="O842" s="424"/>
      <c r="P842" s="424"/>
      <c r="Q842" s="424"/>
      <c r="R842" s="424"/>
      <c r="S842" s="424"/>
      <c r="T842" s="427"/>
      <c r="U842" s="427"/>
      <c r="V842" s="427"/>
      <c r="W842" s="427"/>
      <c r="X842" s="427"/>
      <c r="Y842" s="427"/>
      <c r="Z842" s="427"/>
      <c r="AA842" s="427"/>
      <c r="AB842" s="427"/>
      <c r="AC842" s="427"/>
      <c r="AD842" s="427"/>
      <c r="AE842" s="427"/>
      <c r="AF842" s="427"/>
      <c r="AG842" s="3"/>
    </row>
    <row r="843" spans="1:33" x14ac:dyDescent="0.35">
      <c r="A843" s="313"/>
      <c r="B843" s="293"/>
      <c r="C843" s="747" t="s">
        <v>395</v>
      </c>
      <c r="D843" s="748"/>
      <c r="E843" s="749"/>
      <c r="F843" s="750">
        <v>135000</v>
      </c>
      <c r="G843" s="750">
        <v>135000</v>
      </c>
      <c r="H843" s="690"/>
      <c r="I843" s="690"/>
      <c r="J843" s="690"/>
      <c r="K843" s="154"/>
      <c r="L843" s="155"/>
      <c r="M843" s="692"/>
      <c r="N843" s="154"/>
      <c r="O843" s="689"/>
      <c r="P843" s="689"/>
      <c r="Q843" s="689"/>
      <c r="R843" s="689"/>
      <c r="S843" s="689"/>
      <c r="T843" s="693"/>
      <c r="U843" s="693"/>
      <c r="V843" s="693"/>
      <c r="W843" s="693"/>
      <c r="X843" s="693"/>
      <c r="Y843" s="693"/>
      <c r="Z843" s="693"/>
      <c r="AA843" s="693"/>
      <c r="AB843" s="693"/>
      <c r="AC843" s="693"/>
      <c r="AD843" s="693"/>
      <c r="AE843" s="693"/>
      <c r="AF843" s="693"/>
    </row>
    <row r="844" spans="1:33" x14ac:dyDescent="0.35">
      <c r="A844" s="313"/>
      <c r="B844" s="293"/>
      <c r="C844" s="751" t="s">
        <v>43</v>
      </c>
      <c r="D844" s="752"/>
      <c r="E844" s="753"/>
      <c r="F844" s="754"/>
      <c r="G844" s="754"/>
      <c r="H844" s="425"/>
      <c r="I844" s="425"/>
      <c r="J844" s="425"/>
      <c r="K844" s="154"/>
      <c r="L844" s="155"/>
      <c r="M844" s="154"/>
      <c r="N844" s="154"/>
      <c r="O844" s="424"/>
      <c r="P844" s="424"/>
      <c r="Q844" s="424"/>
      <c r="R844" s="424"/>
      <c r="S844" s="424"/>
      <c r="T844" s="427"/>
      <c r="U844" s="427"/>
      <c r="V844" s="427"/>
      <c r="W844" s="427"/>
      <c r="X844" s="427"/>
      <c r="Y844" s="427"/>
      <c r="Z844" s="427"/>
      <c r="AA844" s="427"/>
      <c r="AB844" s="427"/>
      <c r="AC844" s="427"/>
      <c r="AD844" s="427"/>
      <c r="AE844" s="427"/>
      <c r="AF844" s="427"/>
      <c r="AG844" s="3"/>
    </row>
    <row r="845" spans="1:33" ht="42" x14ac:dyDescent="0.35">
      <c r="A845" s="313"/>
      <c r="B845" s="293"/>
      <c r="C845" s="824" t="s">
        <v>396</v>
      </c>
      <c r="D845" s="738"/>
      <c r="E845" s="756"/>
      <c r="F845" s="757">
        <v>119400</v>
      </c>
      <c r="G845" s="757">
        <v>119400</v>
      </c>
      <c r="H845" s="690"/>
      <c r="I845" s="690"/>
      <c r="J845" s="690"/>
      <c r="K845" s="154"/>
      <c r="L845" s="155"/>
      <c r="M845" s="692"/>
      <c r="N845" s="154"/>
      <c r="O845" s="689"/>
      <c r="P845" s="689"/>
      <c r="Q845" s="689"/>
      <c r="R845" s="689"/>
      <c r="S845" s="689"/>
      <c r="T845" s="693"/>
      <c r="U845" s="693"/>
      <c r="V845" s="693"/>
      <c r="W845" s="693"/>
      <c r="X845" s="693"/>
      <c r="Y845" s="693"/>
      <c r="Z845" s="693"/>
      <c r="AA845" s="693"/>
      <c r="AB845" s="693"/>
      <c r="AC845" s="693"/>
      <c r="AD845" s="693"/>
      <c r="AE845" s="693"/>
      <c r="AF845" s="693"/>
    </row>
    <row r="846" spans="1:33" x14ac:dyDescent="0.35">
      <c r="A846" s="313"/>
      <c r="B846" s="293"/>
      <c r="C846" s="824" t="s">
        <v>397</v>
      </c>
      <c r="D846" s="738"/>
      <c r="E846" s="756"/>
      <c r="F846" s="757">
        <v>27000</v>
      </c>
      <c r="G846" s="757">
        <v>27000</v>
      </c>
      <c r="H846" s="690"/>
      <c r="I846" s="690"/>
      <c r="J846" s="690"/>
      <c r="K846" s="154"/>
      <c r="L846" s="155"/>
      <c r="M846" s="692"/>
      <c r="N846" s="154"/>
      <c r="O846" s="689"/>
      <c r="P846" s="689"/>
      <c r="Q846" s="689"/>
      <c r="R846" s="689"/>
      <c r="S846" s="689"/>
      <c r="T846" s="693"/>
      <c r="U846" s="693"/>
      <c r="V846" s="693"/>
      <c r="W846" s="693"/>
      <c r="X846" s="693"/>
      <c r="Y846" s="693"/>
      <c r="Z846" s="693"/>
      <c r="AA846" s="693"/>
      <c r="AB846" s="693"/>
      <c r="AC846" s="693"/>
      <c r="AD846" s="693"/>
      <c r="AE846" s="693"/>
      <c r="AF846" s="693"/>
    </row>
    <row r="847" spans="1:33" x14ac:dyDescent="0.35">
      <c r="A847" s="313"/>
      <c r="B847" s="293"/>
      <c r="C847" s="824" t="s">
        <v>398</v>
      </c>
      <c r="D847" s="738"/>
      <c r="E847" s="756"/>
      <c r="F847" s="757">
        <v>15300</v>
      </c>
      <c r="G847" s="757">
        <v>15300</v>
      </c>
      <c r="H847" s="690"/>
      <c r="I847" s="690"/>
      <c r="J847" s="690"/>
      <c r="K847" s="154"/>
      <c r="L847" s="155"/>
      <c r="M847" s="692"/>
      <c r="N847" s="154"/>
      <c r="O847" s="689"/>
      <c r="P847" s="689"/>
      <c r="Q847" s="689"/>
      <c r="R847" s="689"/>
      <c r="S847" s="689"/>
      <c r="T847" s="693"/>
      <c r="U847" s="693"/>
      <c r="V847" s="693"/>
      <c r="W847" s="693"/>
      <c r="X847" s="693"/>
      <c r="Y847" s="693"/>
      <c r="Z847" s="693"/>
      <c r="AA847" s="693"/>
      <c r="AB847" s="693"/>
      <c r="AC847" s="693"/>
      <c r="AD847" s="693"/>
      <c r="AE847" s="693"/>
      <c r="AF847" s="693"/>
    </row>
    <row r="848" spans="1:33" x14ac:dyDescent="0.35">
      <c r="A848" s="313"/>
      <c r="B848" s="293"/>
      <c r="C848" s="825" t="s">
        <v>51</v>
      </c>
      <c r="D848" s="768"/>
      <c r="E848" s="768"/>
      <c r="F848" s="769"/>
      <c r="G848" s="769"/>
      <c r="H848" s="425"/>
      <c r="I848" s="425"/>
      <c r="J848" s="425"/>
      <c r="K848" s="154"/>
      <c r="L848" s="155"/>
      <c r="M848" s="154"/>
      <c r="N848" s="154"/>
      <c r="O848" s="424"/>
      <c r="P848" s="424"/>
      <c r="Q848" s="424"/>
      <c r="R848" s="424"/>
      <c r="S848" s="424"/>
      <c r="T848" s="427"/>
      <c r="U848" s="427"/>
      <c r="V848" s="427"/>
      <c r="W848" s="427"/>
      <c r="X848" s="427"/>
      <c r="Y848" s="427"/>
      <c r="Z848" s="427"/>
      <c r="AA848" s="427"/>
      <c r="AB848" s="427"/>
      <c r="AC848" s="427"/>
      <c r="AD848" s="427"/>
      <c r="AE848" s="427"/>
      <c r="AF848" s="427"/>
      <c r="AG848" s="3"/>
    </row>
    <row r="849" spans="1:33" ht="42" x14ac:dyDescent="0.35">
      <c r="A849" s="313"/>
      <c r="B849" s="293"/>
      <c r="C849" s="826" t="s">
        <v>399</v>
      </c>
      <c r="D849" s="771"/>
      <c r="E849" s="771"/>
      <c r="F849" s="772">
        <v>19900</v>
      </c>
      <c r="G849" s="772">
        <v>19900</v>
      </c>
      <c r="H849" s="690"/>
      <c r="I849" s="690"/>
      <c r="J849" s="690"/>
      <c r="K849" s="154"/>
      <c r="L849" s="155"/>
      <c r="M849" s="692"/>
      <c r="N849" s="154"/>
      <c r="O849" s="689"/>
      <c r="P849" s="689"/>
      <c r="Q849" s="689"/>
      <c r="R849" s="689"/>
      <c r="S849" s="689"/>
      <c r="T849" s="693"/>
      <c r="U849" s="693"/>
      <c r="V849" s="693"/>
      <c r="W849" s="693"/>
      <c r="X849" s="693"/>
      <c r="Y849" s="693"/>
      <c r="Z849" s="693"/>
      <c r="AA849" s="693"/>
      <c r="AB849" s="693"/>
      <c r="AC849" s="693"/>
      <c r="AD849" s="693"/>
      <c r="AE849" s="693"/>
      <c r="AF849" s="693"/>
    </row>
    <row r="850" spans="1:33" x14ac:dyDescent="0.35">
      <c r="A850" s="313"/>
      <c r="B850" s="293"/>
      <c r="C850" s="819" t="s">
        <v>50</v>
      </c>
      <c r="D850" s="780"/>
      <c r="E850" s="780"/>
      <c r="F850" s="781"/>
      <c r="G850" s="781"/>
      <c r="H850" s="425"/>
      <c r="I850" s="425"/>
      <c r="J850" s="425"/>
      <c r="K850" s="154"/>
      <c r="L850" s="155"/>
      <c r="M850" s="154"/>
      <c r="N850" s="154"/>
      <c r="O850" s="424"/>
      <c r="P850" s="424"/>
      <c r="Q850" s="424"/>
      <c r="R850" s="424"/>
      <c r="S850" s="424"/>
      <c r="T850" s="427"/>
      <c r="U850" s="427"/>
      <c r="V850" s="427"/>
      <c r="W850" s="427"/>
      <c r="X850" s="427"/>
      <c r="Y850" s="427"/>
      <c r="Z850" s="427"/>
      <c r="AA850" s="427"/>
      <c r="AB850" s="427"/>
      <c r="AC850" s="427"/>
      <c r="AD850" s="427"/>
      <c r="AE850" s="427"/>
      <c r="AF850" s="427"/>
      <c r="AG850" s="3"/>
    </row>
    <row r="851" spans="1:33" ht="42" x14ac:dyDescent="0.35">
      <c r="A851" s="313"/>
      <c r="B851" s="293"/>
      <c r="C851" s="699" t="s">
        <v>400</v>
      </c>
      <c r="D851" s="700"/>
      <c r="E851" s="700"/>
      <c r="F851" s="701">
        <v>8900</v>
      </c>
      <c r="G851" s="701">
        <v>8900</v>
      </c>
      <c r="H851" s="690"/>
      <c r="I851" s="690"/>
      <c r="J851" s="690"/>
      <c r="K851" s="154"/>
      <c r="L851" s="155"/>
      <c r="M851" s="692"/>
      <c r="N851" s="154"/>
      <c r="O851" s="689"/>
      <c r="P851" s="689"/>
      <c r="Q851" s="689"/>
      <c r="R851" s="689"/>
      <c r="S851" s="689"/>
      <c r="T851" s="693"/>
      <c r="U851" s="693"/>
      <c r="V851" s="693"/>
      <c r="W851" s="693"/>
      <c r="X851" s="693"/>
      <c r="Y851" s="693"/>
      <c r="Z851" s="693"/>
      <c r="AA851" s="693"/>
      <c r="AB851" s="693"/>
      <c r="AC851" s="693"/>
      <c r="AD851" s="693"/>
      <c r="AE851" s="693"/>
      <c r="AF851" s="693"/>
    </row>
    <row r="852" spans="1:33" ht="42" x14ac:dyDescent="0.35">
      <c r="A852" s="313"/>
      <c r="B852" s="293"/>
      <c r="C852" s="699" t="s">
        <v>401</v>
      </c>
      <c r="D852" s="700"/>
      <c r="E852" s="700"/>
      <c r="F852" s="701">
        <v>30800</v>
      </c>
      <c r="G852" s="701">
        <v>30800</v>
      </c>
      <c r="H852" s="690"/>
      <c r="I852" s="690"/>
      <c r="J852" s="690"/>
      <c r="K852" s="154"/>
      <c r="L852" s="155"/>
      <c r="M852" s="692"/>
      <c r="N852" s="154"/>
      <c r="O852" s="689"/>
      <c r="P852" s="689"/>
      <c r="Q852" s="689"/>
      <c r="R852" s="689"/>
      <c r="S852" s="689"/>
      <c r="T852" s="693"/>
      <c r="U852" s="693"/>
      <c r="V852" s="693"/>
      <c r="W852" s="693"/>
      <c r="X852" s="693"/>
      <c r="Y852" s="693"/>
      <c r="Z852" s="693"/>
      <c r="AA852" s="693"/>
      <c r="AB852" s="693"/>
      <c r="AC852" s="693"/>
      <c r="AD852" s="693"/>
      <c r="AE852" s="693"/>
      <c r="AF852" s="693"/>
    </row>
    <row r="853" spans="1:33" x14ac:dyDescent="0.35">
      <c r="A853" s="313"/>
      <c r="B853" s="293"/>
      <c r="C853" s="827" t="s">
        <v>53</v>
      </c>
      <c r="D853" s="828"/>
      <c r="E853" s="828"/>
      <c r="F853" s="829"/>
      <c r="G853" s="829"/>
      <c r="H853" s="425"/>
      <c r="I853" s="425"/>
      <c r="J853" s="425"/>
      <c r="K853" s="154"/>
      <c r="L853" s="155"/>
      <c r="M853" s="154"/>
      <c r="N853" s="154"/>
      <c r="O853" s="424"/>
      <c r="P853" s="424"/>
      <c r="Q853" s="424"/>
      <c r="R853" s="424"/>
      <c r="S853" s="424"/>
      <c r="T853" s="427"/>
      <c r="U853" s="427"/>
      <c r="V853" s="427"/>
      <c r="W853" s="427"/>
      <c r="X853" s="427"/>
      <c r="Y853" s="427"/>
      <c r="Z853" s="427"/>
      <c r="AA853" s="427"/>
      <c r="AB853" s="427"/>
      <c r="AC853" s="427"/>
      <c r="AD853" s="427"/>
      <c r="AE853" s="427"/>
      <c r="AF853" s="427"/>
      <c r="AG853" s="3"/>
    </row>
    <row r="854" spans="1:33" ht="42" x14ac:dyDescent="0.35">
      <c r="A854" s="313"/>
      <c r="B854" s="293"/>
      <c r="C854" s="830" t="s">
        <v>402</v>
      </c>
      <c r="D854" s="831"/>
      <c r="E854" s="831"/>
      <c r="F854" s="832">
        <v>15400</v>
      </c>
      <c r="G854" s="832">
        <v>15400</v>
      </c>
      <c r="H854" s="690"/>
      <c r="I854" s="690"/>
      <c r="J854" s="690"/>
      <c r="K854" s="154"/>
      <c r="L854" s="155"/>
      <c r="M854" s="692"/>
      <c r="N854" s="154"/>
      <c r="O854" s="689"/>
      <c r="P854" s="689"/>
      <c r="Q854" s="689"/>
      <c r="R854" s="689"/>
      <c r="S854" s="689"/>
      <c r="T854" s="693"/>
      <c r="U854" s="693"/>
      <c r="V854" s="693"/>
      <c r="W854" s="693"/>
      <c r="X854" s="693"/>
      <c r="Y854" s="693"/>
      <c r="Z854" s="693"/>
      <c r="AA854" s="693"/>
      <c r="AB854" s="693"/>
      <c r="AC854" s="693"/>
      <c r="AD854" s="693"/>
      <c r="AE854" s="693"/>
      <c r="AF854" s="693"/>
    </row>
    <row r="855" spans="1:33" x14ac:dyDescent="0.35">
      <c r="A855" s="313"/>
      <c r="B855" s="293"/>
      <c r="C855" s="833" t="s">
        <v>63</v>
      </c>
      <c r="D855" s="789"/>
      <c r="E855" s="789"/>
      <c r="F855" s="790"/>
      <c r="G855" s="790"/>
      <c r="H855" s="425"/>
      <c r="I855" s="425"/>
      <c r="J855" s="425"/>
      <c r="K855" s="154"/>
      <c r="L855" s="155"/>
      <c r="M855" s="154"/>
      <c r="N855" s="154"/>
      <c r="O855" s="424"/>
      <c r="P855" s="424"/>
      <c r="Q855" s="424"/>
      <c r="R855" s="424"/>
      <c r="S855" s="424"/>
      <c r="T855" s="427"/>
      <c r="U855" s="427"/>
      <c r="V855" s="427"/>
      <c r="W855" s="427"/>
      <c r="X855" s="427"/>
      <c r="Y855" s="427"/>
      <c r="Z855" s="427"/>
      <c r="AA855" s="427"/>
      <c r="AB855" s="427"/>
      <c r="AC855" s="427"/>
      <c r="AD855" s="427"/>
      <c r="AE855" s="427"/>
      <c r="AF855" s="427"/>
      <c r="AG855" s="3"/>
    </row>
    <row r="856" spans="1:33" ht="42" x14ac:dyDescent="0.35">
      <c r="A856" s="313"/>
      <c r="B856" s="293"/>
      <c r="C856" s="834" t="s">
        <v>403</v>
      </c>
      <c r="D856" s="792"/>
      <c r="E856" s="792"/>
      <c r="F856" s="793">
        <v>60300</v>
      </c>
      <c r="G856" s="793">
        <v>60300</v>
      </c>
      <c r="H856" s="690"/>
      <c r="I856" s="690"/>
      <c r="J856" s="690"/>
      <c r="K856" s="154"/>
      <c r="L856" s="155"/>
      <c r="M856" s="692"/>
      <c r="N856" s="154"/>
      <c r="O856" s="689"/>
      <c r="P856" s="689"/>
      <c r="Q856" s="689"/>
      <c r="R856" s="689"/>
      <c r="S856" s="689"/>
      <c r="T856" s="693"/>
      <c r="U856" s="693"/>
      <c r="V856" s="693"/>
      <c r="W856" s="693"/>
      <c r="X856" s="693"/>
      <c r="Y856" s="693"/>
      <c r="Z856" s="693"/>
      <c r="AA856" s="693"/>
      <c r="AB856" s="693"/>
      <c r="AC856" s="693"/>
      <c r="AD856" s="693"/>
      <c r="AE856" s="693"/>
      <c r="AF856" s="693"/>
    </row>
    <row r="857" spans="1:33" x14ac:dyDescent="0.35">
      <c r="A857" s="313"/>
      <c r="B857" s="293"/>
      <c r="C857" s="821" t="s">
        <v>52</v>
      </c>
      <c r="D857" s="795"/>
      <c r="E857" s="796"/>
      <c r="F857" s="797"/>
      <c r="G857" s="797"/>
      <c r="H857" s="425"/>
      <c r="I857" s="425"/>
      <c r="J857" s="425"/>
      <c r="K857" s="154"/>
      <c r="L857" s="155"/>
      <c r="M857" s="154"/>
      <c r="N857" s="154"/>
      <c r="O857" s="424"/>
      <c r="P857" s="424"/>
      <c r="Q857" s="424"/>
      <c r="R857" s="424"/>
      <c r="S857" s="424"/>
      <c r="T857" s="427"/>
      <c r="U857" s="427"/>
      <c r="V857" s="427"/>
      <c r="W857" s="427"/>
      <c r="X857" s="427"/>
      <c r="Y857" s="427"/>
      <c r="Z857" s="427"/>
      <c r="AA857" s="427"/>
      <c r="AB857" s="427"/>
      <c r="AC857" s="427"/>
      <c r="AD857" s="427"/>
      <c r="AE857" s="427"/>
      <c r="AF857" s="427"/>
      <c r="AG857" s="3"/>
    </row>
    <row r="858" spans="1:33" x14ac:dyDescent="0.35">
      <c r="A858" s="313"/>
      <c r="B858" s="293"/>
      <c r="C858" s="798" t="s">
        <v>404</v>
      </c>
      <c r="D858" s="735"/>
      <c r="E858" s="736"/>
      <c r="F858" s="799">
        <v>24300</v>
      </c>
      <c r="G858" s="799">
        <v>24300</v>
      </c>
      <c r="H858" s="690"/>
      <c r="I858" s="690"/>
      <c r="J858" s="690"/>
      <c r="K858" s="154"/>
      <c r="L858" s="155"/>
      <c r="M858" s="692"/>
      <c r="N858" s="154"/>
      <c r="O858" s="689"/>
      <c r="P858" s="689"/>
      <c r="Q858" s="689"/>
      <c r="R858" s="689"/>
      <c r="S858" s="689"/>
      <c r="T858" s="693"/>
      <c r="U858" s="693"/>
      <c r="V858" s="693"/>
      <c r="W858" s="693"/>
      <c r="X858" s="693"/>
      <c r="Y858" s="693"/>
      <c r="Z858" s="693"/>
      <c r="AA858" s="693"/>
      <c r="AB858" s="693"/>
      <c r="AC858" s="693"/>
      <c r="AD858" s="693"/>
      <c r="AE858" s="693"/>
      <c r="AF858" s="693"/>
    </row>
    <row r="859" spans="1:33" x14ac:dyDescent="0.35">
      <c r="A859" s="313"/>
      <c r="B859" s="293"/>
      <c r="C859" s="798" t="s">
        <v>405</v>
      </c>
      <c r="D859" s="735"/>
      <c r="E859" s="736"/>
      <c r="F859" s="799">
        <v>27000</v>
      </c>
      <c r="G859" s="799">
        <v>27000</v>
      </c>
      <c r="H859" s="690"/>
      <c r="I859" s="690"/>
      <c r="J859" s="690"/>
      <c r="K859" s="154"/>
      <c r="L859" s="155"/>
      <c r="M859" s="692"/>
      <c r="N859" s="154"/>
      <c r="O859" s="689"/>
      <c r="P859" s="689"/>
      <c r="Q859" s="689"/>
      <c r="R859" s="689"/>
      <c r="S859" s="689"/>
      <c r="T859" s="693"/>
      <c r="U859" s="693"/>
      <c r="V859" s="693"/>
      <c r="W859" s="693"/>
      <c r="X859" s="693"/>
      <c r="Y859" s="693"/>
      <c r="Z859" s="693"/>
      <c r="AA859" s="693"/>
      <c r="AB859" s="693"/>
      <c r="AC859" s="693"/>
      <c r="AD859" s="693"/>
      <c r="AE859" s="693"/>
      <c r="AF859" s="693"/>
    </row>
    <row r="860" spans="1:33" x14ac:dyDescent="0.35">
      <c r="A860" s="313"/>
      <c r="B860" s="293"/>
      <c r="C860" s="806" t="s">
        <v>80</v>
      </c>
      <c r="D860" s="807"/>
      <c r="E860" s="807"/>
      <c r="F860" s="808"/>
      <c r="G860" s="808"/>
      <c r="H860" s="425"/>
      <c r="I860" s="425"/>
      <c r="J860" s="425"/>
      <c r="K860" s="154"/>
      <c r="L860" s="155"/>
      <c r="M860" s="154"/>
      <c r="N860" s="154"/>
      <c r="O860" s="424"/>
      <c r="P860" s="424"/>
      <c r="Q860" s="424"/>
      <c r="R860" s="424"/>
      <c r="S860" s="424"/>
      <c r="T860" s="427"/>
      <c r="U860" s="427"/>
      <c r="V860" s="427"/>
      <c r="W860" s="427"/>
      <c r="X860" s="427"/>
      <c r="Y860" s="427"/>
      <c r="Z860" s="427"/>
      <c r="AA860" s="427"/>
      <c r="AB860" s="427"/>
      <c r="AC860" s="427"/>
      <c r="AD860" s="427"/>
      <c r="AE860" s="427"/>
      <c r="AF860" s="427"/>
      <c r="AG860" s="3"/>
    </row>
    <row r="861" spans="1:33" x14ac:dyDescent="0.35">
      <c r="A861" s="313"/>
      <c r="B861" s="293"/>
      <c r="C861" s="809" t="s">
        <v>406</v>
      </c>
      <c r="D861" s="810"/>
      <c r="E861" s="810"/>
      <c r="F861" s="811">
        <v>27000</v>
      </c>
      <c r="G861" s="811">
        <v>27000</v>
      </c>
      <c r="H861" s="690"/>
      <c r="I861" s="690"/>
      <c r="J861" s="690"/>
      <c r="K861" s="154"/>
      <c r="L861" s="155"/>
      <c r="M861" s="692"/>
      <c r="N861" s="154"/>
      <c r="O861" s="689"/>
      <c r="P861" s="689"/>
      <c r="Q861" s="689"/>
      <c r="R861" s="689"/>
      <c r="S861" s="689"/>
      <c r="T861" s="693"/>
      <c r="U861" s="693"/>
      <c r="V861" s="693"/>
      <c r="W861" s="693"/>
      <c r="X861" s="693"/>
      <c r="Y861" s="693"/>
      <c r="Z861" s="693"/>
      <c r="AA861" s="693"/>
      <c r="AB861" s="693"/>
      <c r="AC861" s="693"/>
      <c r="AD861" s="693"/>
      <c r="AE861" s="693"/>
      <c r="AF861" s="693"/>
    </row>
    <row r="862" spans="1:33" x14ac:dyDescent="0.35">
      <c r="A862" s="313"/>
      <c r="B862" s="72" t="s">
        <v>439</v>
      </c>
      <c r="C862" s="125"/>
      <c r="D862" s="689"/>
      <c r="E862" s="690">
        <v>66984300</v>
      </c>
      <c r="F862" s="691">
        <f>+F863</f>
        <v>1064800</v>
      </c>
      <c r="G862" s="691">
        <f>+G863</f>
        <v>1064800</v>
      </c>
      <c r="H862" s="690"/>
      <c r="I862" s="690">
        <f>+G862-H862</f>
        <v>1064800</v>
      </c>
      <c r="J862" s="690">
        <f>+E862-G862</f>
        <v>65919500</v>
      </c>
      <c r="K862" s="154"/>
      <c r="L862" s="155"/>
      <c r="M862" s="692"/>
      <c r="N862" s="154"/>
      <c r="O862" s="689"/>
      <c r="P862" s="689"/>
      <c r="Q862" s="689">
        <f t="shared" ref="Q862" si="250">+O862-P862</f>
        <v>0</v>
      </c>
      <c r="R862" s="689"/>
      <c r="S862" s="689"/>
      <c r="T862" s="693"/>
      <c r="U862" s="693"/>
      <c r="V862" s="693"/>
      <c r="W862" s="693"/>
      <c r="X862" s="693"/>
      <c r="Y862" s="693"/>
      <c r="Z862" s="693"/>
      <c r="AA862" s="693"/>
      <c r="AB862" s="693"/>
      <c r="AC862" s="693"/>
      <c r="AD862" s="693"/>
      <c r="AE862" s="693"/>
      <c r="AF862" s="693"/>
      <c r="AG862" s="432">
        <v>1064800</v>
      </c>
    </row>
    <row r="863" spans="1:33" ht="42" x14ac:dyDescent="0.35">
      <c r="A863" s="313"/>
      <c r="B863" s="293"/>
      <c r="C863" s="406" t="s">
        <v>407</v>
      </c>
      <c r="D863" s="689"/>
      <c r="E863" s="690"/>
      <c r="F863" s="694">
        <f>SUM(F865:F887)</f>
        <v>1064800</v>
      </c>
      <c r="G863" s="694">
        <f>SUM(G865:G887)</f>
        <v>1064800</v>
      </c>
      <c r="H863" s="690"/>
      <c r="I863" s="690"/>
      <c r="J863" s="690"/>
      <c r="K863" s="154"/>
      <c r="L863" s="155"/>
      <c r="M863" s="692"/>
      <c r="N863" s="154"/>
      <c r="O863" s="689"/>
      <c r="P863" s="689"/>
      <c r="Q863" s="689"/>
      <c r="R863" s="689"/>
      <c r="S863" s="689"/>
      <c r="T863" s="693"/>
      <c r="U863" s="693"/>
      <c r="V863" s="693"/>
      <c r="W863" s="693"/>
      <c r="X863" s="693"/>
      <c r="Y863" s="693"/>
      <c r="Z863" s="693"/>
      <c r="AA863" s="693"/>
      <c r="AB863" s="693"/>
      <c r="AC863" s="693"/>
      <c r="AD863" s="693"/>
      <c r="AE863" s="693"/>
      <c r="AF863" s="693"/>
    </row>
    <row r="864" spans="1:33" x14ac:dyDescent="0.35">
      <c r="A864" s="313"/>
      <c r="B864" s="293"/>
      <c r="C864" s="835" t="s">
        <v>759</v>
      </c>
      <c r="D864" s="836"/>
      <c r="E864" s="837"/>
      <c r="F864" s="838"/>
      <c r="G864" s="838"/>
      <c r="H864" s="425"/>
      <c r="I864" s="425"/>
      <c r="J864" s="425"/>
      <c r="K864" s="154"/>
      <c r="L864" s="155"/>
      <c r="M864" s="154"/>
      <c r="N864" s="154"/>
      <c r="O864" s="424"/>
      <c r="P864" s="424"/>
      <c r="Q864" s="424"/>
      <c r="R864" s="424"/>
      <c r="S864" s="424"/>
      <c r="T864" s="427"/>
      <c r="U864" s="427"/>
      <c r="V864" s="427"/>
      <c r="W864" s="427"/>
      <c r="X864" s="427"/>
      <c r="Y864" s="427"/>
      <c r="Z864" s="427"/>
      <c r="AA864" s="427"/>
      <c r="AB864" s="427"/>
      <c r="AC864" s="427"/>
      <c r="AD864" s="427"/>
      <c r="AE864" s="427"/>
      <c r="AF864" s="427"/>
      <c r="AG864" s="3"/>
    </row>
    <row r="865" spans="1:33" x14ac:dyDescent="0.35">
      <c r="A865" s="313"/>
      <c r="B865" s="293"/>
      <c r="C865" s="839" t="s">
        <v>408</v>
      </c>
      <c r="D865" s="840"/>
      <c r="E865" s="841"/>
      <c r="F865" s="842">
        <v>24200</v>
      </c>
      <c r="G865" s="842">
        <v>24200</v>
      </c>
      <c r="H865" s="690"/>
      <c r="I865" s="690"/>
      <c r="J865" s="690"/>
      <c r="K865" s="154"/>
      <c r="L865" s="155"/>
      <c r="M865" s="692"/>
      <c r="N865" s="154"/>
      <c r="O865" s="689"/>
      <c r="P865" s="689"/>
      <c r="Q865" s="689"/>
      <c r="R865" s="689"/>
      <c r="S865" s="689"/>
      <c r="T865" s="693"/>
      <c r="U865" s="693"/>
      <c r="V865" s="693"/>
      <c r="W865" s="693"/>
      <c r="X865" s="693"/>
      <c r="Y865" s="693"/>
      <c r="Z865" s="693"/>
      <c r="AA865" s="693"/>
      <c r="AB865" s="693"/>
      <c r="AC865" s="693"/>
      <c r="AD865" s="693"/>
      <c r="AE865" s="693"/>
      <c r="AF865" s="693"/>
    </row>
    <row r="866" spans="1:33" x14ac:dyDescent="0.35">
      <c r="A866" s="313"/>
      <c r="B866" s="293"/>
      <c r="C866" s="835" t="s">
        <v>217</v>
      </c>
      <c r="D866" s="836"/>
      <c r="E866" s="837"/>
      <c r="F866" s="838"/>
      <c r="G866" s="838"/>
      <c r="H866" s="425"/>
      <c r="I866" s="425"/>
      <c r="J866" s="425"/>
      <c r="K866" s="154"/>
      <c r="L866" s="155"/>
      <c r="M866" s="154"/>
      <c r="N866" s="154"/>
      <c r="O866" s="424"/>
      <c r="P866" s="424"/>
      <c r="Q866" s="424"/>
      <c r="R866" s="424"/>
      <c r="S866" s="424"/>
      <c r="T866" s="427"/>
      <c r="U866" s="427"/>
      <c r="V866" s="427"/>
      <c r="W866" s="427"/>
      <c r="X866" s="427"/>
      <c r="Y866" s="427"/>
      <c r="Z866" s="427"/>
      <c r="AA866" s="427"/>
      <c r="AB866" s="427"/>
      <c r="AC866" s="427"/>
      <c r="AD866" s="427"/>
      <c r="AE866" s="427"/>
      <c r="AF866" s="427"/>
      <c r="AG866" s="3"/>
    </row>
    <row r="867" spans="1:33" x14ac:dyDescent="0.35">
      <c r="A867" s="313"/>
      <c r="B867" s="293"/>
      <c r="C867" s="839" t="s">
        <v>409</v>
      </c>
      <c r="D867" s="840"/>
      <c r="E867" s="841"/>
      <c r="F867" s="842">
        <v>72600</v>
      </c>
      <c r="G867" s="842">
        <v>72600</v>
      </c>
      <c r="H867" s="690"/>
      <c r="I867" s="690"/>
      <c r="J867" s="690"/>
      <c r="K867" s="154"/>
      <c r="L867" s="155"/>
      <c r="M867" s="692"/>
      <c r="N867" s="154"/>
      <c r="O867" s="689"/>
      <c r="P867" s="689"/>
      <c r="Q867" s="689"/>
      <c r="R867" s="689"/>
      <c r="S867" s="689"/>
      <c r="T867" s="693"/>
      <c r="U867" s="693"/>
      <c r="V867" s="693"/>
      <c r="W867" s="693"/>
      <c r="X867" s="693"/>
      <c r="Y867" s="693"/>
      <c r="Z867" s="693"/>
      <c r="AA867" s="693"/>
      <c r="AB867" s="693"/>
      <c r="AC867" s="693"/>
      <c r="AD867" s="693"/>
      <c r="AE867" s="693"/>
      <c r="AF867" s="693"/>
    </row>
    <row r="868" spans="1:33" x14ac:dyDescent="0.35">
      <c r="A868" s="313"/>
      <c r="B868" s="293"/>
      <c r="C868" s="835" t="s">
        <v>70</v>
      </c>
      <c r="D868" s="836"/>
      <c r="E868" s="837"/>
      <c r="F868" s="838"/>
      <c r="G868" s="838"/>
      <c r="H868" s="425"/>
      <c r="I868" s="425"/>
      <c r="J868" s="425"/>
      <c r="K868" s="154"/>
      <c r="L868" s="155"/>
      <c r="M868" s="154"/>
      <c r="N868" s="154"/>
      <c r="O868" s="424"/>
      <c r="P868" s="424"/>
      <c r="Q868" s="424"/>
      <c r="R868" s="424"/>
      <c r="S868" s="424"/>
      <c r="T868" s="427"/>
      <c r="U868" s="427"/>
      <c r="V868" s="427"/>
      <c r="W868" s="427"/>
      <c r="X868" s="427"/>
      <c r="Y868" s="427"/>
      <c r="Z868" s="427"/>
      <c r="AA868" s="427"/>
      <c r="AB868" s="427"/>
      <c r="AC868" s="427"/>
      <c r="AD868" s="427"/>
      <c r="AE868" s="427"/>
      <c r="AF868" s="427"/>
      <c r="AG868" s="3"/>
    </row>
    <row r="869" spans="1:33" x14ac:dyDescent="0.35">
      <c r="A869" s="313"/>
      <c r="B869" s="293"/>
      <c r="C869" s="839" t="s">
        <v>410</v>
      </c>
      <c r="D869" s="840"/>
      <c r="E869" s="841"/>
      <c r="F869" s="842">
        <v>72600</v>
      </c>
      <c r="G869" s="842">
        <v>72600</v>
      </c>
      <c r="H869" s="690"/>
      <c r="I869" s="690"/>
      <c r="J869" s="690"/>
      <c r="K869" s="154"/>
      <c r="L869" s="155"/>
      <c r="M869" s="692"/>
      <c r="N869" s="154"/>
      <c r="O869" s="689"/>
      <c r="P869" s="689"/>
      <c r="Q869" s="689"/>
      <c r="R869" s="689"/>
      <c r="S869" s="689"/>
      <c r="T869" s="693"/>
      <c r="U869" s="693"/>
      <c r="V869" s="693"/>
      <c r="W869" s="693"/>
      <c r="X869" s="693"/>
      <c r="Y869" s="693"/>
      <c r="Z869" s="693"/>
      <c r="AA869" s="693"/>
      <c r="AB869" s="693"/>
      <c r="AC869" s="693"/>
      <c r="AD869" s="693"/>
      <c r="AE869" s="693"/>
      <c r="AF869" s="693"/>
    </row>
    <row r="870" spans="1:33" x14ac:dyDescent="0.35">
      <c r="A870" s="313"/>
      <c r="B870" s="293"/>
      <c r="C870" s="835" t="s">
        <v>761</v>
      </c>
      <c r="D870" s="836"/>
      <c r="E870" s="837"/>
      <c r="F870" s="838"/>
      <c r="G870" s="838"/>
      <c r="H870" s="425"/>
      <c r="I870" s="425"/>
      <c r="J870" s="425"/>
      <c r="K870" s="154"/>
      <c r="L870" s="155"/>
      <c r="M870" s="154"/>
      <c r="N870" s="154"/>
      <c r="O870" s="424"/>
      <c r="P870" s="424"/>
      <c r="Q870" s="424"/>
      <c r="R870" s="424"/>
      <c r="S870" s="424"/>
      <c r="T870" s="427"/>
      <c r="U870" s="427"/>
      <c r="V870" s="427"/>
      <c r="W870" s="427"/>
      <c r="X870" s="427"/>
      <c r="Y870" s="427"/>
      <c r="Z870" s="427"/>
      <c r="AA870" s="427"/>
      <c r="AB870" s="427"/>
      <c r="AC870" s="427"/>
      <c r="AD870" s="427"/>
      <c r="AE870" s="427"/>
      <c r="AF870" s="427"/>
      <c r="AG870" s="3"/>
    </row>
    <row r="871" spans="1:33" x14ac:dyDescent="0.35">
      <c r="A871" s="313"/>
      <c r="B871" s="293"/>
      <c r="C871" s="839" t="s">
        <v>411</v>
      </c>
      <c r="D871" s="840"/>
      <c r="E871" s="841"/>
      <c r="F871" s="842">
        <v>24200</v>
      </c>
      <c r="G871" s="842">
        <v>24200</v>
      </c>
      <c r="H871" s="690"/>
      <c r="I871" s="690"/>
      <c r="J871" s="690"/>
      <c r="K871" s="154"/>
      <c r="L871" s="155"/>
      <c r="M871" s="692"/>
      <c r="N871" s="154"/>
      <c r="O871" s="689"/>
      <c r="P871" s="689"/>
      <c r="Q871" s="689"/>
      <c r="R871" s="689"/>
      <c r="S871" s="689"/>
      <c r="T871" s="693"/>
      <c r="U871" s="693"/>
      <c r="V871" s="693"/>
      <c r="W871" s="693"/>
      <c r="X871" s="693"/>
      <c r="Y871" s="693"/>
      <c r="Z871" s="693"/>
      <c r="AA871" s="693"/>
      <c r="AB871" s="693"/>
      <c r="AC871" s="693"/>
      <c r="AD871" s="693"/>
      <c r="AE871" s="693"/>
      <c r="AF871" s="693"/>
    </row>
    <row r="872" spans="1:33" x14ac:dyDescent="0.35">
      <c r="A872" s="313"/>
      <c r="B872" s="293"/>
      <c r="C872" s="835" t="s">
        <v>262</v>
      </c>
      <c r="D872" s="836"/>
      <c r="E872" s="837"/>
      <c r="F872" s="838"/>
      <c r="G872" s="838"/>
      <c r="H872" s="425"/>
      <c r="I872" s="425"/>
      <c r="J872" s="425"/>
      <c r="K872" s="154"/>
      <c r="L872" s="155"/>
      <c r="M872" s="154"/>
      <c r="N872" s="154"/>
      <c r="O872" s="424"/>
      <c r="P872" s="424"/>
      <c r="Q872" s="424"/>
      <c r="R872" s="424"/>
      <c r="S872" s="424"/>
      <c r="T872" s="427"/>
      <c r="U872" s="427"/>
      <c r="V872" s="427"/>
      <c r="W872" s="427"/>
      <c r="X872" s="427"/>
      <c r="Y872" s="427"/>
      <c r="Z872" s="427"/>
      <c r="AA872" s="427"/>
      <c r="AB872" s="427"/>
      <c r="AC872" s="427"/>
      <c r="AD872" s="427"/>
      <c r="AE872" s="427"/>
      <c r="AF872" s="427"/>
      <c r="AG872" s="3"/>
    </row>
    <row r="873" spans="1:33" x14ac:dyDescent="0.35">
      <c r="A873" s="313"/>
      <c r="B873" s="293"/>
      <c r="C873" s="843" t="s">
        <v>412</v>
      </c>
      <c r="D873" s="840"/>
      <c r="E873" s="841"/>
      <c r="F873" s="842">
        <v>145200</v>
      </c>
      <c r="G873" s="842">
        <v>145200</v>
      </c>
      <c r="H873" s="690"/>
      <c r="I873" s="690"/>
      <c r="J873" s="690"/>
      <c r="K873" s="154"/>
      <c r="L873" s="155"/>
      <c r="M873" s="692"/>
      <c r="N873" s="154"/>
      <c r="O873" s="689"/>
      <c r="P873" s="689"/>
      <c r="Q873" s="689"/>
      <c r="R873" s="689"/>
      <c r="S873" s="689"/>
      <c r="T873" s="693"/>
      <c r="U873" s="693"/>
      <c r="V873" s="693"/>
      <c r="W873" s="693"/>
      <c r="X873" s="693"/>
      <c r="Y873" s="693"/>
      <c r="Z873" s="693"/>
      <c r="AA873" s="693"/>
      <c r="AB873" s="693"/>
      <c r="AC873" s="693"/>
      <c r="AD873" s="693"/>
      <c r="AE873" s="693"/>
      <c r="AF873" s="693"/>
    </row>
    <row r="874" spans="1:33" x14ac:dyDescent="0.35">
      <c r="A874" s="313"/>
      <c r="B874" s="293"/>
      <c r="C874" s="844" t="s">
        <v>69</v>
      </c>
      <c r="D874" s="836"/>
      <c r="E874" s="837"/>
      <c r="F874" s="838"/>
      <c r="G874" s="838"/>
      <c r="H874" s="425"/>
      <c r="I874" s="425"/>
      <c r="J874" s="425"/>
      <c r="K874" s="154"/>
      <c r="L874" s="155"/>
      <c r="M874" s="154"/>
      <c r="N874" s="154"/>
      <c r="O874" s="424"/>
      <c r="P874" s="424"/>
      <c r="Q874" s="424"/>
      <c r="R874" s="424"/>
      <c r="S874" s="424"/>
      <c r="T874" s="427"/>
      <c r="U874" s="427"/>
      <c r="V874" s="427"/>
      <c r="W874" s="427"/>
      <c r="X874" s="427"/>
      <c r="Y874" s="427"/>
      <c r="Z874" s="427"/>
      <c r="AA874" s="427"/>
      <c r="AB874" s="427"/>
      <c r="AC874" s="427"/>
      <c r="AD874" s="427"/>
      <c r="AE874" s="427"/>
      <c r="AF874" s="427"/>
      <c r="AG874" s="3"/>
    </row>
    <row r="875" spans="1:33" x14ac:dyDescent="0.35">
      <c r="A875" s="313"/>
      <c r="B875" s="293"/>
      <c r="C875" s="839" t="s">
        <v>413</v>
      </c>
      <c r="D875" s="840"/>
      <c r="E875" s="841"/>
      <c r="F875" s="842">
        <v>72600</v>
      </c>
      <c r="G875" s="842">
        <v>72600</v>
      </c>
      <c r="H875" s="690"/>
      <c r="I875" s="690"/>
      <c r="J875" s="690"/>
      <c r="K875" s="154"/>
      <c r="L875" s="155"/>
      <c r="M875" s="692"/>
      <c r="N875" s="154"/>
      <c r="O875" s="689"/>
      <c r="P875" s="689"/>
      <c r="Q875" s="689"/>
      <c r="R875" s="689"/>
      <c r="S875" s="689"/>
      <c r="T875" s="693"/>
      <c r="U875" s="693"/>
      <c r="V875" s="693"/>
      <c r="W875" s="693"/>
      <c r="X875" s="693"/>
      <c r="Y875" s="693"/>
      <c r="Z875" s="693"/>
      <c r="AA875" s="693"/>
      <c r="AB875" s="693"/>
      <c r="AC875" s="693"/>
      <c r="AD875" s="693"/>
      <c r="AE875" s="693"/>
      <c r="AF875" s="693"/>
    </row>
    <row r="876" spans="1:33" x14ac:dyDescent="0.35">
      <c r="A876" s="313"/>
      <c r="B876" s="293"/>
      <c r="C876" s="845" t="s">
        <v>43</v>
      </c>
      <c r="D876" s="752"/>
      <c r="E876" s="753"/>
      <c r="F876" s="754"/>
      <c r="G876" s="754"/>
      <c r="H876" s="425"/>
      <c r="I876" s="425"/>
      <c r="J876" s="425"/>
      <c r="K876" s="154"/>
      <c r="L876" s="155"/>
      <c r="M876" s="154"/>
      <c r="N876" s="154"/>
      <c r="O876" s="424"/>
      <c r="P876" s="424"/>
      <c r="Q876" s="424"/>
      <c r="R876" s="424"/>
      <c r="S876" s="424"/>
      <c r="T876" s="427"/>
      <c r="U876" s="427"/>
      <c r="V876" s="427"/>
      <c r="W876" s="427"/>
      <c r="X876" s="427"/>
      <c r="Y876" s="427"/>
      <c r="Z876" s="427"/>
      <c r="AA876" s="427"/>
      <c r="AB876" s="427"/>
      <c r="AC876" s="427"/>
      <c r="AD876" s="427"/>
      <c r="AE876" s="427"/>
      <c r="AF876" s="427"/>
      <c r="AG876" s="3"/>
    </row>
    <row r="877" spans="1:33" x14ac:dyDescent="0.35">
      <c r="A877" s="313"/>
      <c r="B877" s="293"/>
      <c r="C877" s="824" t="s">
        <v>414</v>
      </c>
      <c r="D877" s="738"/>
      <c r="E877" s="756"/>
      <c r="F877" s="757">
        <v>72600</v>
      </c>
      <c r="G877" s="757">
        <v>72600</v>
      </c>
      <c r="H877" s="690"/>
      <c r="I877" s="690"/>
      <c r="J877" s="690"/>
      <c r="K877" s="154"/>
      <c r="L877" s="155"/>
      <c r="M877" s="692"/>
      <c r="N877" s="154"/>
      <c r="O877" s="689"/>
      <c r="P877" s="689"/>
      <c r="Q877" s="689"/>
      <c r="R877" s="689"/>
      <c r="S877" s="689"/>
      <c r="T877" s="693"/>
      <c r="U877" s="693"/>
      <c r="V877" s="693"/>
      <c r="W877" s="693"/>
      <c r="X877" s="693"/>
      <c r="Y877" s="693"/>
      <c r="Z877" s="693"/>
      <c r="AA877" s="693"/>
      <c r="AB877" s="693"/>
      <c r="AC877" s="693"/>
      <c r="AD877" s="693"/>
      <c r="AE877" s="693"/>
      <c r="AF877" s="693"/>
    </row>
    <row r="878" spans="1:33" x14ac:dyDescent="0.35">
      <c r="A878" s="313"/>
      <c r="B878" s="293"/>
      <c r="C878" s="825" t="s">
        <v>51</v>
      </c>
      <c r="D878" s="768"/>
      <c r="E878" s="768"/>
      <c r="F878" s="769"/>
      <c r="G878" s="769"/>
      <c r="H878" s="425"/>
      <c r="I878" s="425"/>
      <c r="J878" s="425"/>
      <c r="K878" s="154"/>
      <c r="L878" s="155"/>
      <c r="M878" s="154"/>
      <c r="N878" s="154"/>
      <c r="O878" s="424"/>
      <c r="P878" s="424"/>
      <c r="Q878" s="424"/>
      <c r="R878" s="424"/>
      <c r="S878" s="424"/>
      <c r="T878" s="427"/>
      <c r="U878" s="427"/>
      <c r="V878" s="427"/>
      <c r="W878" s="427"/>
      <c r="X878" s="427"/>
      <c r="Y878" s="427"/>
      <c r="Z878" s="427"/>
      <c r="AA878" s="427"/>
      <c r="AB878" s="427"/>
      <c r="AC878" s="427"/>
      <c r="AD878" s="427"/>
      <c r="AE878" s="427"/>
      <c r="AF878" s="427"/>
      <c r="AG878" s="3"/>
    </row>
    <row r="879" spans="1:33" x14ac:dyDescent="0.35">
      <c r="A879" s="313"/>
      <c r="B879" s="293"/>
      <c r="C879" s="826" t="s">
        <v>415</v>
      </c>
      <c r="D879" s="771"/>
      <c r="E879" s="771"/>
      <c r="F879" s="772">
        <v>96800</v>
      </c>
      <c r="G879" s="772">
        <v>96800</v>
      </c>
      <c r="H879" s="690"/>
      <c r="I879" s="690"/>
      <c r="J879" s="690"/>
      <c r="K879" s="154"/>
      <c r="L879" s="155"/>
      <c r="M879" s="692"/>
      <c r="N879" s="154"/>
      <c r="O879" s="689"/>
      <c r="P879" s="689"/>
      <c r="Q879" s="689"/>
      <c r="R879" s="689"/>
      <c r="S879" s="689"/>
      <c r="T879" s="693"/>
      <c r="U879" s="693"/>
      <c r="V879" s="693"/>
      <c r="W879" s="693"/>
      <c r="X879" s="693"/>
      <c r="Y879" s="693"/>
      <c r="Z879" s="693"/>
      <c r="AA879" s="693"/>
      <c r="AB879" s="693"/>
      <c r="AC879" s="693"/>
      <c r="AD879" s="693"/>
      <c r="AE879" s="693"/>
      <c r="AF879" s="693"/>
    </row>
    <row r="880" spans="1:33" x14ac:dyDescent="0.35">
      <c r="A880" s="313"/>
      <c r="B880" s="293"/>
      <c r="C880" s="817" t="s">
        <v>62</v>
      </c>
      <c r="D880" s="774"/>
      <c r="E880" s="774"/>
      <c r="F880" s="775"/>
      <c r="G880" s="775"/>
      <c r="H880" s="425"/>
      <c r="I880" s="425"/>
      <c r="J880" s="425"/>
      <c r="K880" s="154"/>
      <c r="L880" s="155"/>
      <c r="M880" s="154"/>
      <c r="N880" s="154"/>
      <c r="O880" s="424"/>
      <c r="P880" s="424"/>
      <c r="Q880" s="424"/>
      <c r="R880" s="424"/>
      <c r="S880" s="424"/>
      <c r="T880" s="427"/>
      <c r="U880" s="427"/>
      <c r="V880" s="427"/>
      <c r="W880" s="427"/>
      <c r="X880" s="427"/>
      <c r="Y880" s="427"/>
      <c r="Z880" s="427"/>
      <c r="AA880" s="427"/>
      <c r="AB880" s="427"/>
      <c r="AC880" s="427"/>
      <c r="AD880" s="427"/>
      <c r="AE880" s="427"/>
      <c r="AF880" s="427"/>
      <c r="AG880" s="3"/>
    </row>
    <row r="881" spans="1:33" x14ac:dyDescent="0.35">
      <c r="A881" s="313"/>
      <c r="B881" s="293"/>
      <c r="C881" s="818" t="s">
        <v>416</v>
      </c>
      <c r="D881" s="777"/>
      <c r="E881" s="777"/>
      <c r="F881" s="778">
        <v>193600</v>
      </c>
      <c r="G881" s="778">
        <v>193600</v>
      </c>
      <c r="H881" s="690"/>
      <c r="I881" s="690"/>
      <c r="J881" s="690"/>
      <c r="K881" s="154"/>
      <c r="L881" s="155"/>
      <c r="M881" s="692"/>
      <c r="N881" s="154"/>
      <c r="O881" s="689"/>
      <c r="P881" s="689"/>
      <c r="Q881" s="689"/>
      <c r="R881" s="689"/>
      <c r="S881" s="689"/>
      <c r="T881" s="693"/>
      <c r="U881" s="693"/>
      <c r="V881" s="693"/>
      <c r="W881" s="693"/>
      <c r="X881" s="693"/>
      <c r="Y881" s="693"/>
      <c r="Z881" s="693"/>
      <c r="AA881" s="693"/>
      <c r="AB881" s="693"/>
      <c r="AC881" s="693"/>
      <c r="AD881" s="693"/>
      <c r="AE881" s="693"/>
      <c r="AF881" s="693"/>
    </row>
    <row r="882" spans="1:33" x14ac:dyDescent="0.35">
      <c r="A882" s="313"/>
      <c r="B882" s="293"/>
      <c r="C882" s="819" t="s">
        <v>50</v>
      </c>
      <c r="D882" s="780"/>
      <c r="E882" s="780"/>
      <c r="F882" s="781"/>
      <c r="G882" s="781"/>
      <c r="H882" s="425"/>
      <c r="I882" s="425"/>
      <c r="J882" s="425"/>
      <c r="K882" s="154"/>
      <c r="L882" s="155"/>
      <c r="M882" s="154"/>
      <c r="N882" s="154"/>
      <c r="O882" s="424"/>
      <c r="P882" s="424"/>
      <c r="Q882" s="424"/>
      <c r="R882" s="424"/>
      <c r="S882" s="424"/>
      <c r="T882" s="427"/>
      <c r="U882" s="427"/>
      <c r="V882" s="427"/>
      <c r="W882" s="427"/>
      <c r="X882" s="427"/>
      <c r="Y882" s="427"/>
      <c r="Z882" s="427"/>
      <c r="AA882" s="427"/>
      <c r="AB882" s="427"/>
      <c r="AC882" s="427"/>
      <c r="AD882" s="427"/>
      <c r="AE882" s="427"/>
      <c r="AF882" s="427"/>
      <c r="AG882" s="3"/>
    </row>
    <row r="883" spans="1:33" x14ac:dyDescent="0.35">
      <c r="A883" s="313"/>
      <c r="B883" s="293"/>
      <c r="C883" s="699" t="s">
        <v>417</v>
      </c>
      <c r="D883" s="700"/>
      <c r="E883" s="700"/>
      <c r="F883" s="701">
        <v>72600</v>
      </c>
      <c r="G883" s="701">
        <v>72600</v>
      </c>
      <c r="H883" s="690"/>
      <c r="I883" s="690"/>
      <c r="J883" s="690"/>
      <c r="K883" s="154"/>
      <c r="L883" s="155"/>
      <c r="M883" s="692"/>
      <c r="N883" s="154"/>
      <c r="O883" s="689"/>
      <c r="P883" s="689"/>
      <c r="Q883" s="689"/>
      <c r="R883" s="689"/>
      <c r="S883" s="689"/>
      <c r="T883" s="693"/>
      <c r="U883" s="693"/>
      <c r="V883" s="693"/>
      <c r="W883" s="693"/>
      <c r="X883" s="693"/>
      <c r="Y883" s="693"/>
      <c r="Z883" s="693"/>
      <c r="AA883" s="693"/>
      <c r="AB883" s="693"/>
      <c r="AC883" s="693"/>
      <c r="AD883" s="693"/>
      <c r="AE883" s="693"/>
      <c r="AF883" s="693"/>
    </row>
    <row r="884" spans="1:33" x14ac:dyDescent="0.35">
      <c r="A884" s="313"/>
      <c r="B884" s="293"/>
      <c r="C884" s="782" t="s">
        <v>61</v>
      </c>
      <c r="D884" s="783"/>
      <c r="E884" s="783"/>
      <c r="F884" s="784"/>
      <c r="G884" s="784"/>
      <c r="H884" s="425"/>
      <c r="I884" s="425"/>
      <c r="J884" s="425"/>
      <c r="K884" s="154"/>
      <c r="L884" s="155"/>
      <c r="M884" s="154"/>
      <c r="N884" s="154"/>
      <c r="O884" s="424"/>
      <c r="P884" s="424"/>
      <c r="Q884" s="424"/>
      <c r="R884" s="424"/>
      <c r="S884" s="424"/>
      <c r="T884" s="427"/>
      <c r="U884" s="427"/>
      <c r="V884" s="427"/>
      <c r="W884" s="427"/>
      <c r="X884" s="427"/>
      <c r="Y884" s="427"/>
      <c r="Z884" s="427"/>
      <c r="AA884" s="427"/>
      <c r="AB884" s="427"/>
      <c r="AC884" s="427"/>
      <c r="AD884" s="427"/>
      <c r="AE884" s="427"/>
      <c r="AF884" s="427"/>
      <c r="AG884" s="3"/>
    </row>
    <row r="885" spans="1:33" x14ac:dyDescent="0.35">
      <c r="A885" s="313"/>
      <c r="B885" s="293"/>
      <c r="C885" s="820" t="s">
        <v>418</v>
      </c>
      <c r="D885" s="786"/>
      <c r="E885" s="786"/>
      <c r="F885" s="787">
        <v>193600</v>
      </c>
      <c r="G885" s="787">
        <v>193600</v>
      </c>
      <c r="H885" s="690"/>
      <c r="I885" s="690"/>
      <c r="J885" s="690"/>
      <c r="K885" s="154"/>
      <c r="L885" s="155"/>
      <c r="M885" s="692"/>
      <c r="N885" s="154"/>
      <c r="O885" s="689"/>
      <c r="P885" s="689"/>
      <c r="Q885" s="689"/>
      <c r="R885" s="689"/>
      <c r="S885" s="689"/>
      <c r="T885" s="693"/>
      <c r="U885" s="693"/>
      <c r="V885" s="693"/>
      <c r="W885" s="693"/>
      <c r="X885" s="693"/>
      <c r="Y885" s="693"/>
      <c r="Z885" s="693"/>
      <c r="AA885" s="693"/>
      <c r="AB885" s="693"/>
      <c r="AC885" s="693"/>
      <c r="AD885" s="693"/>
      <c r="AE885" s="693"/>
      <c r="AF885" s="693"/>
    </row>
    <row r="886" spans="1:33" x14ac:dyDescent="0.35">
      <c r="A886" s="313"/>
      <c r="B886" s="293"/>
      <c r="C886" s="827" t="s">
        <v>53</v>
      </c>
      <c r="D886" s="828"/>
      <c r="E886" s="828"/>
      <c r="F886" s="829"/>
      <c r="G886" s="829"/>
      <c r="H886" s="425"/>
      <c r="I886" s="425"/>
      <c r="J886" s="425"/>
      <c r="K886" s="154"/>
      <c r="L886" s="155"/>
      <c r="M886" s="154"/>
      <c r="N886" s="154"/>
      <c r="O886" s="424"/>
      <c r="P886" s="424"/>
      <c r="Q886" s="424"/>
      <c r="R886" s="424"/>
      <c r="S886" s="424"/>
      <c r="T886" s="427"/>
      <c r="U886" s="427"/>
      <c r="V886" s="427"/>
      <c r="W886" s="427"/>
      <c r="X886" s="427"/>
      <c r="Y886" s="427"/>
      <c r="Z886" s="427"/>
      <c r="AA886" s="427"/>
      <c r="AB886" s="427"/>
      <c r="AC886" s="427"/>
      <c r="AD886" s="427"/>
      <c r="AE886" s="427"/>
      <c r="AF886" s="427"/>
      <c r="AG886" s="3"/>
    </row>
    <row r="887" spans="1:33" x14ac:dyDescent="0.35">
      <c r="A887" s="313"/>
      <c r="B887" s="293"/>
      <c r="C887" s="830" t="s">
        <v>419</v>
      </c>
      <c r="D887" s="831"/>
      <c r="E887" s="831"/>
      <c r="F887" s="832">
        <v>24200</v>
      </c>
      <c r="G887" s="832">
        <v>24200</v>
      </c>
      <c r="H887" s="690"/>
      <c r="I887" s="690"/>
      <c r="J887" s="690"/>
      <c r="K887" s="154"/>
      <c r="L887" s="155"/>
      <c r="M887" s="692"/>
      <c r="N887" s="154"/>
      <c r="O887" s="689"/>
      <c r="P887" s="689"/>
      <c r="Q887" s="689"/>
      <c r="R887" s="689"/>
      <c r="S887" s="689"/>
      <c r="T887" s="693"/>
      <c r="U887" s="693"/>
      <c r="V887" s="693"/>
      <c r="W887" s="693"/>
      <c r="X887" s="693"/>
      <c r="Y887" s="693"/>
      <c r="Z887" s="693"/>
      <c r="AA887" s="693"/>
      <c r="AB887" s="693"/>
      <c r="AC887" s="693"/>
      <c r="AD887" s="693"/>
      <c r="AE887" s="693"/>
      <c r="AF887" s="693"/>
    </row>
    <row r="888" spans="1:33" x14ac:dyDescent="0.35">
      <c r="A888" s="313"/>
      <c r="B888" s="146" t="s">
        <v>293</v>
      </c>
      <c r="C888" s="705"/>
      <c r="D888" s="689"/>
      <c r="E888" s="690">
        <v>82699200</v>
      </c>
      <c r="F888" s="691">
        <f>+F889</f>
        <v>72563200</v>
      </c>
      <c r="G888" s="691">
        <f>+G889</f>
        <v>72563200</v>
      </c>
      <c r="H888" s="690"/>
      <c r="I888" s="690">
        <f>+G888-H888</f>
        <v>72563200</v>
      </c>
      <c r="J888" s="690">
        <f>+E888-G888</f>
        <v>10136000</v>
      </c>
      <c r="K888" s="23">
        <f t="shared" ref="K888:N888" si="251">K913+K927+K930+K934+K936</f>
        <v>955276200</v>
      </c>
      <c r="L888" s="24">
        <f t="shared" si="251"/>
        <v>940164069.5200001</v>
      </c>
      <c r="M888" s="543">
        <f t="shared" si="251"/>
        <v>1124035900</v>
      </c>
      <c r="N888" s="23">
        <f t="shared" si="251"/>
        <v>972521300</v>
      </c>
      <c r="O888" s="689">
        <v>58379200</v>
      </c>
      <c r="P888" s="689">
        <v>0</v>
      </c>
      <c r="Q888" s="689">
        <f t="shared" si="188"/>
        <v>58379200</v>
      </c>
      <c r="R888" s="689">
        <v>475358.2</v>
      </c>
      <c r="S888" s="689">
        <v>0</v>
      </c>
      <c r="T888" s="450">
        <f>Q914-R914-S914</f>
        <v>9988349.9499998093</v>
      </c>
      <c r="U888" s="450">
        <f>U913+U927+U930+U934+U936</f>
        <v>2886669100</v>
      </c>
      <c r="V888" s="450">
        <f t="shared" ref="V888:AF888" si="252">V913+V927+V930+V934+V936</f>
        <v>3099828200</v>
      </c>
      <c r="W888" s="450">
        <f t="shared" si="252"/>
        <v>3339547400</v>
      </c>
      <c r="X888" s="450">
        <f t="shared" si="252"/>
        <v>3608548000</v>
      </c>
      <c r="Y888" s="450">
        <f t="shared" si="252"/>
        <v>18177740000</v>
      </c>
      <c r="Z888" s="450">
        <f t="shared" si="252"/>
        <v>83177740000</v>
      </c>
      <c r="AA888" s="450" t="e">
        <f t="shared" si="252"/>
        <v>#REF!</v>
      </c>
      <c r="AB888" s="450" t="e">
        <f t="shared" si="252"/>
        <v>#REF!</v>
      </c>
      <c r="AC888" s="450">
        <f t="shared" si="252"/>
        <v>0</v>
      </c>
      <c r="AD888" s="450">
        <f t="shared" si="252"/>
        <v>2697246300</v>
      </c>
      <c r="AE888" s="450" t="e">
        <f t="shared" si="252"/>
        <v>#REF!</v>
      </c>
      <c r="AF888" s="450" t="e">
        <f t="shared" si="252"/>
        <v>#REF!</v>
      </c>
      <c r="AG888" s="432">
        <v>72563200</v>
      </c>
    </row>
    <row r="889" spans="1:33" x14ac:dyDescent="0.35">
      <c r="A889" s="313"/>
      <c r="B889" s="72" t="s">
        <v>440</v>
      </c>
      <c r="C889" s="125"/>
      <c r="D889" s="689"/>
      <c r="E889" s="690">
        <v>66984300</v>
      </c>
      <c r="F889" s="691">
        <f>+F890+F906</f>
        <v>72563200</v>
      </c>
      <c r="G889" s="691">
        <f>+G890+G906</f>
        <v>72563200</v>
      </c>
      <c r="H889" s="690"/>
      <c r="I889" s="690">
        <f>+G889-H889</f>
        <v>72563200</v>
      </c>
      <c r="J889" s="690">
        <f>+E889-G889</f>
        <v>-5578900</v>
      </c>
      <c r="K889" s="154"/>
      <c r="L889" s="155"/>
      <c r="M889" s="692"/>
      <c r="N889" s="154"/>
      <c r="O889" s="689"/>
      <c r="P889" s="689"/>
      <c r="Q889" s="689">
        <f t="shared" si="188"/>
        <v>0</v>
      </c>
      <c r="R889" s="689"/>
      <c r="S889" s="689"/>
      <c r="T889" s="693"/>
      <c r="U889" s="693"/>
      <c r="V889" s="693"/>
      <c r="W889" s="693"/>
      <c r="X889" s="693"/>
      <c r="Y889" s="693"/>
      <c r="Z889" s="693"/>
      <c r="AA889" s="693"/>
      <c r="AB889" s="693"/>
      <c r="AC889" s="693"/>
      <c r="AD889" s="693"/>
      <c r="AE889" s="693"/>
      <c r="AF889" s="693"/>
      <c r="AG889" s="432">
        <v>72563200</v>
      </c>
    </row>
    <row r="890" spans="1:33" ht="42" x14ac:dyDescent="0.35">
      <c r="A890" s="313"/>
      <c r="B890" s="293"/>
      <c r="C890" s="406" t="s">
        <v>441</v>
      </c>
      <c r="D890" s="689"/>
      <c r="E890" s="690"/>
      <c r="F890" s="694">
        <f>SUM(F892:F905)</f>
        <v>25145000</v>
      </c>
      <c r="G890" s="694">
        <f>SUM(G892:G905)</f>
        <v>25145000</v>
      </c>
      <c r="H890" s="690"/>
      <c r="I890" s="690"/>
      <c r="J890" s="690"/>
      <c r="K890" s="154"/>
      <c r="L890" s="155"/>
      <c r="M890" s="692"/>
      <c r="N890" s="154"/>
      <c r="O890" s="689"/>
      <c r="P890" s="689"/>
      <c r="Q890" s="689"/>
      <c r="R890" s="689"/>
      <c r="S890" s="689"/>
      <c r="T890" s="693"/>
      <c r="U890" s="693"/>
      <c r="V890" s="693"/>
      <c r="W890" s="693"/>
      <c r="X890" s="693"/>
      <c r="Y890" s="693"/>
      <c r="Z890" s="693"/>
      <c r="AA890" s="693"/>
      <c r="AB890" s="693"/>
      <c r="AC890" s="693"/>
      <c r="AD890" s="693"/>
      <c r="AE890" s="693"/>
      <c r="AF890" s="693"/>
    </row>
    <row r="891" spans="1:33" x14ac:dyDescent="0.35">
      <c r="A891" s="313"/>
      <c r="B891" s="293"/>
      <c r="C891" s="846" t="s">
        <v>264</v>
      </c>
      <c r="D891" s="836"/>
      <c r="E891" s="837"/>
      <c r="F891" s="838"/>
      <c r="G891" s="838"/>
      <c r="H891" s="425"/>
      <c r="I891" s="425"/>
      <c r="J891" s="425"/>
      <c r="K891" s="154"/>
      <c r="L891" s="155"/>
      <c r="M891" s="154"/>
      <c r="N891" s="154"/>
      <c r="O891" s="424"/>
      <c r="P891" s="424"/>
      <c r="Q891" s="424"/>
      <c r="R891" s="424"/>
      <c r="S891" s="424"/>
      <c r="T891" s="427"/>
      <c r="U891" s="427"/>
      <c r="V891" s="427"/>
      <c r="W891" s="427"/>
      <c r="X891" s="427"/>
      <c r="Y891" s="427"/>
      <c r="Z891" s="427"/>
      <c r="AA891" s="427"/>
      <c r="AB891" s="427"/>
      <c r="AC891" s="427"/>
      <c r="AD891" s="427"/>
      <c r="AE891" s="427"/>
      <c r="AF891" s="427"/>
      <c r="AG891" s="3"/>
    </row>
    <row r="892" spans="1:33" x14ac:dyDescent="0.35">
      <c r="A892" s="313"/>
      <c r="B892" s="293"/>
      <c r="C892" s="839" t="s">
        <v>442</v>
      </c>
      <c r="D892" s="840"/>
      <c r="E892" s="841"/>
      <c r="F892" s="842">
        <v>1829700</v>
      </c>
      <c r="G892" s="842">
        <v>1829700</v>
      </c>
      <c r="H892" s="690"/>
      <c r="I892" s="690"/>
      <c r="J892" s="690"/>
      <c r="K892" s="154"/>
      <c r="L892" s="155"/>
      <c r="M892" s="692"/>
      <c r="N892" s="154"/>
      <c r="O892" s="689"/>
      <c r="P892" s="689"/>
      <c r="Q892" s="689"/>
      <c r="R892" s="689"/>
      <c r="S892" s="689"/>
      <c r="T892" s="693"/>
      <c r="U892" s="693"/>
      <c r="V892" s="693"/>
      <c r="W892" s="693"/>
      <c r="X892" s="693"/>
      <c r="Y892" s="693"/>
      <c r="Z892" s="693"/>
      <c r="AA892" s="693"/>
      <c r="AB892" s="693"/>
      <c r="AC892" s="693"/>
      <c r="AD892" s="693"/>
      <c r="AE892" s="693"/>
      <c r="AF892" s="693"/>
    </row>
    <row r="893" spans="1:33" ht="42" x14ac:dyDescent="0.35">
      <c r="A893" s="313"/>
      <c r="B893" s="293"/>
      <c r="C893" s="839" t="s">
        <v>443</v>
      </c>
      <c r="D893" s="840"/>
      <c r="E893" s="841"/>
      <c r="F893" s="842">
        <v>4472600</v>
      </c>
      <c r="G893" s="842">
        <v>4472600</v>
      </c>
      <c r="H893" s="690"/>
      <c r="I893" s="690"/>
      <c r="J893" s="690"/>
      <c r="K893" s="154"/>
      <c r="L893" s="155"/>
      <c r="M893" s="692"/>
      <c r="N893" s="154"/>
      <c r="O893" s="689"/>
      <c r="P893" s="689"/>
      <c r="Q893" s="689"/>
      <c r="R893" s="689"/>
      <c r="S893" s="689"/>
      <c r="T893" s="693"/>
      <c r="U893" s="693"/>
      <c r="V893" s="693"/>
      <c r="W893" s="693"/>
      <c r="X893" s="693"/>
      <c r="Y893" s="693"/>
      <c r="Z893" s="693"/>
      <c r="AA893" s="693"/>
      <c r="AB893" s="693"/>
      <c r="AC893" s="693"/>
      <c r="AD893" s="693"/>
      <c r="AE893" s="693"/>
      <c r="AF893" s="693"/>
    </row>
    <row r="894" spans="1:33" ht="42" x14ac:dyDescent="0.35">
      <c r="A894" s="313"/>
      <c r="B894" s="293"/>
      <c r="C894" s="839" t="s">
        <v>444</v>
      </c>
      <c r="D894" s="840"/>
      <c r="E894" s="841"/>
      <c r="F894" s="842">
        <v>6580500</v>
      </c>
      <c r="G894" s="842">
        <v>6580500</v>
      </c>
      <c r="H894" s="690"/>
      <c r="I894" s="690"/>
      <c r="J894" s="690"/>
      <c r="K894" s="154"/>
      <c r="L894" s="155"/>
      <c r="M894" s="692"/>
      <c r="N894" s="154"/>
      <c r="O894" s="689"/>
      <c r="P894" s="689"/>
      <c r="Q894" s="689"/>
      <c r="R894" s="689"/>
      <c r="S894" s="689"/>
      <c r="T894" s="693"/>
      <c r="U894" s="693"/>
      <c r="V894" s="693"/>
      <c r="W894" s="693"/>
      <c r="X894" s="693"/>
      <c r="Y894" s="693"/>
      <c r="Z894" s="693"/>
      <c r="AA894" s="693"/>
      <c r="AB894" s="693"/>
      <c r="AC894" s="693"/>
      <c r="AD894" s="693"/>
      <c r="AE894" s="693"/>
      <c r="AF894" s="693"/>
    </row>
    <row r="895" spans="1:33" x14ac:dyDescent="0.35">
      <c r="A895" s="313"/>
      <c r="B895" s="293"/>
      <c r="C895" s="835" t="s">
        <v>760</v>
      </c>
      <c r="D895" s="836"/>
      <c r="E895" s="837"/>
      <c r="F895" s="838"/>
      <c r="G895" s="838"/>
      <c r="H895" s="425"/>
      <c r="I895" s="425"/>
      <c r="J895" s="425"/>
      <c r="K895" s="154"/>
      <c r="L895" s="155"/>
      <c r="M895" s="154"/>
      <c r="N895" s="154"/>
      <c r="O895" s="424"/>
      <c r="P895" s="424"/>
      <c r="Q895" s="424"/>
      <c r="R895" s="424"/>
      <c r="S895" s="424"/>
      <c r="T895" s="427"/>
      <c r="U895" s="427"/>
      <c r="V895" s="427"/>
      <c r="W895" s="427"/>
      <c r="X895" s="427"/>
      <c r="Y895" s="427"/>
      <c r="Z895" s="427"/>
      <c r="AA895" s="427"/>
      <c r="AB895" s="427"/>
      <c r="AC895" s="427"/>
      <c r="AD895" s="427"/>
      <c r="AE895" s="427"/>
      <c r="AF895" s="427"/>
      <c r="AG895" s="3"/>
    </row>
    <row r="896" spans="1:33" x14ac:dyDescent="0.35">
      <c r="A896" s="313"/>
      <c r="B896" s="293"/>
      <c r="C896" s="839" t="s">
        <v>445</v>
      </c>
      <c r="D896" s="840"/>
      <c r="E896" s="841"/>
      <c r="F896" s="842">
        <v>2800000</v>
      </c>
      <c r="G896" s="842">
        <v>2800000</v>
      </c>
      <c r="H896" s="690"/>
      <c r="I896" s="690"/>
      <c r="J896" s="690"/>
      <c r="K896" s="154"/>
      <c r="L896" s="155"/>
      <c r="M896" s="692"/>
      <c r="N896" s="154"/>
      <c r="O896" s="689"/>
      <c r="P896" s="689"/>
      <c r="Q896" s="689"/>
      <c r="R896" s="689"/>
      <c r="S896" s="689"/>
      <c r="T896" s="693"/>
      <c r="U896" s="693"/>
      <c r="V896" s="693"/>
      <c r="W896" s="693"/>
      <c r="X896" s="693"/>
      <c r="Y896" s="693"/>
      <c r="Z896" s="693"/>
      <c r="AA896" s="693"/>
      <c r="AB896" s="693"/>
      <c r="AC896" s="693"/>
      <c r="AD896" s="693"/>
      <c r="AE896" s="693"/>
      <c r="AF896" s="693"/>
    </row>
    <row r="897" spans="1:33" x14ac:dyDescent="0.35">
      <c r="A897" s="313"/>
      <c r="B897" s="293"/>
      <c r="C897" s="835" t="s">
        <v>70</v>
      </c>
      <c r="D897" s="836"/>
      <c r="E897" s="837"/>
      <c r="F897" s="838"/>
      <c r="G897" s="838"/>
      <c r="H897" s="425"/>
      <c r="I897" s="425"/>
      <c r="J897" s="425"/>
      <c r="K897" s="154"/>
      <c r="L897" s="155"/>
      <c r="M897" s="154"/>
      <c r="N897" s="154"/>
      <c r="O897" s="424"/>
      <c r="P897" s="424"/>
      <c r="Q897" s="424"/>
      <c r="R897" s="424"/>
      <c r="S897" s="424"/>
      <c r="T897" s="427"/>
      <c r="U897" s="427"/>
      <c r="V897" s="427"/>
      <c r="W897" s="427"/>
      <c r="X897" s="427"/>
      <c r="Y897" s="427"/>
      <c r="Z897" s="427"/>
      <c r="AA897" s="427"/>
      <c r="AB897" s="427"/>
      <c r="AC897" s="427"/>
      <c r="AD897" s="427"/>
      <c r="AE897" s="427"/>
      <c r="AF897" s="427"/>
      <c r="AG897" s="3"/>
    </row>
    <row r="898" spans="1:33" ht="42" x14ac:dyDescent="0.35">
      <c r="A898" s="313"/>
      <c r="B898" s="293"/>
      <c r="C898" s="839" t="s">
        <v>446</v>
      </c>
      <c r="D898" s="840"/>
      <c r="E898" s="841"/>
      <c r="F898" s="842">
        <v>2950000</v>
      </c>
      <c r="G898" s="842">
        <v>2950000</v>
      </c>
      <c r="H898" s="690"/>
      <c r="I898" s="690"/>
      <c r="J898" s="690"/>
      <c r="K898" s="154"/>
      <c r="L898" s="155"/>
      <c r="M898" s="692"/>
      <c r="N898" s="154"/>
      <c r="O898" s="689"/>
      <c r="P898" s="689"/>
      <c r="Q898" s="689"/>
      <c r="R898" s="689"/>
      <c r="S898" s="689"/>
      <c r="T898" s="693"/>
      <c r="U898" s="693"/>
      <c r="V898" s="693"/>
      <c r="W898" s="693"/>
      <c r="X898" s="693"/>
      <c r="Y898" s="693"/>
      <c r="Z898" s="693"/>
      <c r="AA898" s="693"/>
      <c r="AB898" s="693"/>
      <c r="AC898" s="693"/>
      <c r="AD898" s="693"/>
      <c r="AE898" s="693"/>
      <c r="AF898" s="693"/>
    </row>
    <row r="899" spans="1:33" x14ac:dyDescent="0.35">
      <c r="A899" s="313"/>
      <c r="B899" s="293"/>
      <c r="C899" s="839" t="s">
        <v>447</v>
      </c>
      <c r="D899" s="840"/>
      <c r="E899" s="841"/>
      <c r="F899" s="842">
        <v>1628700</v>
      </c>
      <c r="G899" s="842">
        <v>1628700</v>
      </c>
      <c r="H899" s="690"/>
      <c r="I899" s="690"/>
      <c r="J899" s="690"/>
      <c r="K899" s="154"/>
      <c r="L899" s="155"/>
      <c r="M899" s="692"/>
      <c r="N899" s="154"/>
      <c r="O899" s="689"/>
      <c r="P899" s="689"/>
      <c r="Q899" s="689"/>
      <c r="R899" s="689"/>
      <c r="S899" s="689"/>
      <c r="T899" s="693"/>
      <c r="U899" s="693"/>
      <c r="V899" s="693"/>
      <c r="W899" s="693"/>
      <c r="X899" s="693"/>
      <c r="Y899" s="693"/>
      <c r="Z899" s="693"/>
      <c r="AA899" s="693"/>
      <c r="AB899" s="693"/>
      <c r="AC899" s="693"/>
      <c r="AD899" s="693"/>
      <c r="AE899" s="693"/>
      <c r="AF899" s="693"/>
    </row>
    <row r="900" spans="1:33" x14ac:dyDescent="0.35">
      <c r="A900" s="313"/>
      <c r="B900" s="293"/>
      <c r="C900" s="835" t="s">
        <v>69</v>
      </c>
      <c r="D900" s="836"/>
      <c r="E900" s="837"/>
      <c r="F900" s="838"/>
      <c r="G900" s="838"/>
      <c r="H900" s="425"/>
      <c r="I900" s="425"/>
      <c r="J900" s="425"/>
      <c r="K900" s="154"/>
      <c r="L900" s="155"/>
      <c r="M900" s="154"/>
      <c r="N900" s="154"/>
      <c r="O900" s="424"/>
      <c r="P900" s="424"/>
      <c r="Q900" s="424"/>
      <c r="R900" s="424"/>
      <c r="S900" s="424"/>
      <c r="T900" s="427"/>
      <c r="U900" s="427"/>
      <c r="V900" s="427"/>
      <c r="W900" s="427"/>
      <c r="X900" s="427"/>
      <c r="Y900" s="427"/>
      <c r="Z900" s="427"/>
      <c r="AA900" s="427"/>
      <c r="AB900" s="427"/>
      <c r="AC900" s="427"/>
      <c r="AD900" s="427"/>
      <c r="AE900" s="427"/>
      <c r="AF900" s="427"/>
      <c r="AG900" s="3"/>
    </row>
    <row r="901" spans="1:33" ht="42" x14ac:dyDescent="0.35">
      <c r="A901" s="313"/>
      <c r="B901" s="293"/>
      <c r="C901" s="839" t="s">
        <v>448</v>
      </c>
      <c r="D901" s="840"/>
      <c r="E901" s="841"/>
      <c r="F901" s="842">
        <v>307000</v>
      </c>
      <c r="G901" s="842">
        <v>307000</v>
      </c>
      <c r="H901" s="690"/>
      <c r="I901" s="690"/>
      <c r="J901" s="690"/>
      <c r="K901" s="154"/>
      <c r="L901" s="155"/>
      <c r="M901" s="692"/>
      <c r="N901" s="154"/>
      <c r="O901" s="689"/>
      <c r="P901" s="689"/>
      <c r="Q901" s="689"/>
      <c r="R901" s="689"/>
      <c r="S901" s="689"/>
      <c r="T901" s="693"/>
      <c r="U901" s="693"/>
      <c r="V901" s="693"/>
      <c r="W901" s="693"/>
      <c r="X901" s="693"/>
      <c r="Y901" s="693"/>
      <c r="Z901" s="693"/>
      <c r="AA901" s="693"/>
      <c r="AB901" s="693"/>
      <c r="AC901" s="693"/>
      <c r="AD901" s="693"/>
      <c r="AE901" s="693"/>
      <c r="AF901" s="693"/>
    </row>
    <row r="902" spans="1:33" x14ac:dyDescent="0.35">
      <c r="A902" s="313"/>
      <c r="B902" s="293"/>
      <c r="C902" s="782" t="s">
        <v>61</v>
      </c>
      <c r="D902" s="783"/>
      <c r="E902" s="783"/>
      <c r="F902" s="784"/>
      <c r="G902" s="784"/>
      <c r="H902" s="425"/>
      <c r="I902" s="425"/>
      <c r="J902" s="425"/>
      <c r="K902" s="154"/>
      <c r="L902" s="155"/>
      <c r="M902" s="154"/>
      <c r="N902" s="154"/>
      <c r="O902" s="424"/>
      <c r="P902" s="424"/>
      <c r="Q902" s="424"/>
      <c r="R902" s="424"/>
      <c r="S902" s="424"/>
      <c r="T902" s="427"/>
      <c r="U902" s="427"/>
      <c r="V902" s="427"/>
      <c r="W902" s="427"/>
      <c r="X902" s="427"/>
      <c r="Y902" s="427"/>
      <c r="Z902" s="427"/>
      <c r="AA902" s="427"/>
      <c r="AB902" s="427"/>
      <c r="AC902" s="427"/>
      <c r="AD902" s="427"/>
      <c r="AE902" s="427"/>
      <c r="AF902" s="427"/>
      <c r="AG902" s="3"/>
    </row>
    <row r="903" spans="1:33" ht="42" x14ac:dyDescent="0.35">
      <c r="A903" s="313"/>
      <c r="B903" s="293"/>
      <c r="C903" s="820" t="s">
        <v>449</v>
      </c>
      <c r="D903" s="786"/>
      <c r="E903" s="786"/>
      <c r="F903" s="787">
        <v>488000</v>
      </c>
      <c r="G903" s="787">
        <v>488000</v>
      </c>
      <c r="H903" s="690"/>
      <c r="I903" s="690"/>
      <c r="J903" s="690"/>
      <c r="K903" s="154"/>
      <c r="L903" s="155"/>
      <c r="M903" s="692"/>
      <c r="N903" s="154"/>
      <c r="O903" s="689"/>
      <c r="P903" s="689"/>
      <c r="Q903" s="689"/>
      <c r="R903" s="689"/>
      <c r="S903" s="689"/>
      <c r="T903" s="693"/>
      <c r="U903" s="693"/>
      <c r="V903" s="693"/>
      <c r="W903" s="693"/>
      <c r="X903" s="693"/>
      <c r="Y903" s="693"/>
      <c r="Z903" s="693"/>
      <c r="AA903" s="693"/>
      <c r="AB903" s="693"/>
      <c r="AC903" s="693"/>
      <c r="AD903" s="693"/>
      <c r="AE903" s="693"/>
      <c r="AF903" s="693"/>
    </row>
    <row r="904" spans="1:33" x14ac:dyDescent="0.35">
      <c r="A904" s="313"/>
      <c r="B904" s="293"/>
      <c r="C904" s="847" t="s">
        <v>49</v>
      </c>
      <c r="D904" s="801"/>
      <c r="E904" s="801"/>
      <c r="F904" s="802"/>
      <c r="G904" s="802"/>
      <c r="H904" s="425"/>
      <c r="I904" s="425"/>
      <c r="J904" s="425"/>
      <c r="K904" s="154"/>
      <c r="L904" s="155"/>
      <c r="M904" s="154"/>
      <c r="N904" s="154"/>
      <c r="O904" s="424"/>
      <c r="P904" s="424"/>
      <c r="Q904" s="424"/>
      <c r="R904" s="424"/>
      <c r="S904" s="424"/>
      <c r="T904" s="427"/>
      <c r="U904" s="427"/>
      <c r="V904" s="427"/>
      <c r="W904" s="427"/>
      <c r="X904" s="427"/>
      <c r="Y904" s="427"/>
      <c r="Z904" s="427"/>
      <c r="AA904" s="427"/>
      <c r="AB904" s="427"/>
      <c r="AC904" s="427"/>
      <c r="AD904" s="427"/>
      <c r="AE904" s="427"/>
      <c r="AF904" s="427"/>
      <c r="AG904" s="3"/>
    </row>
    <row r="905" spans="1:33" ht="42" x14ac:dyDescent="0.35">
      <c r="A905" s="313"/>
      <c r="B905" s="293"/>
      <c r="C905" s="848" t="s">
        <v>450</v>
      </c>
      <c r="D905" s="804"/>
      <c r="E905" s="804"/>
      <c r="F905" s="805">
        <v>4088500</v>
      </c>
      <c r="G905" s="805">
        <v>4088500</v>
      </c>
      <c r="H905" s="690"/>
      <c r="I905" s="690"/>
      <c r="J905" s="690"/>
      <c r="K905" s="154"/>
      <c r="L905" s="155"/>
      <c r="M905" s="692"/>
      <c r="N905" s="154"/>
      <c r="O905" s="689"/>
      <c r="P905" s="689"/>
      <c r="Q905" s="689"/>
      <c r="R905" s="689"/>
      <c r="S905" s="689"/>
      <c r="T905" s="693"/>
      <c r="U905" s="693"/>
      <c r="V905" s="693"/>
      <c r="W905" s="693"/>
      <c r="X905" s="693"/>
      <c r="Y905" s="693"/>
      <c r="Z905" s="693"/>
      <c r="AA905" s="693"/>
      <c r="AB905" s="693"/>
      <c r="AC905" s="693"/>
      <c r="AD905" s="693"/>
      <c r="AE905" s="693"/>
      <c r="AF905" s="693"/>
    </row>
    <row r="906" spans="1:33" ht="42" x14ac:dyDescent="0.35">
      <c r="A906" s="313"/>
      <c r="B906" s="293"/>
      <c r="C906" s="406" t="s">
        <v>670</v>
      </c>
      <c r="D906" s="689"/>
      <c r="E906" s="690"/>
      <c r="F906" s="694">
        <f>SUM(F908:F911)</f>
        <v>47418200</v>
      </c>
      <c r="G906" s="694">
        <f>SUM(G908:G911)</f>
        <v>47418200</v>
      </c>
      <c r="H906" s="690"/>
      <c r="I906" s="690"/>
      <c r="J906" s="690"/>
      <c r="K906" s="154"/>
      <c r="L906" s="155"/>
      <c r="M906" s="692"/>
      <c r="N906" s="154"/>
      <c r="O906" s="689"/>
      <c r="P906" s="689"/>
      <c r="Q906" s="689"/>
      <c r="R906" s="689"/>
      <c r="S906" s="689"/>
      <c r="T906" s="693"/>
      <c r="U906" s="693"/>
      <c r="V906" s="693"/>
      <c r="W906" s="693"/>
      <c r="X906" s="693"/>
      <c r="Y906" s="693"/>
      <c r="Z906" s="693"/>
      <c r="AA906" s="693"/>
      <c r="AB906" s="693"/>
      <c r="AC906" s="693"/>
      <c r="AD906" s="693"/>
      <c r="AE906" s="693"/>
      <c r="AF906" s="693"/>
    </row>
    <row r="907" spans="1:33" x14ac:dyDescent="0.35">
      <c r="A907" s="313"/>
      <c r="B907" s="293"/>
      <c r="C907" s="835" t="s">
        <v>264</v>
      </c>
      <c r="D907" s="836"/>
      <c r="E907" s="837"/>
      <c r="F907" s="838"/>
      <c r="G907" s="838"/>
      <c r="H907" s="425"/>
      <c r="I907" s="425"/>
      <c r="J907" s="425"/>
      <c r="K907" s="154"/>
      <c r="L907" s="155"/>
      <c r="M907" s="154"/>
      <c r="N907" s="154"/>
      <c r="O907" s="424"/>
      <c r="P907" s="424"/>
      <c r="Q907" s="424"/>
      <c r="R907" s="424"/>
      <c r="S907" s="424"/>
      <c r="T907" s="427"/>
      <c r="U907" s="427"/>
      <c r="V907" s="427"/>
      <c r="W907" s="427"/>
      <c r="X907" s="427"/>
      <c r="Y907" s="427"/>
      <c r="Z907" s="427"/>
      <c r="AA907" s="427"/>
      <c r="AB907" s="427"/>
      <c r="AC907" s="427"/>
      <c r="AD907" s="427"/>
      <c r="AE907" s="427"/>
      <c r="AF907" s="427"/>
      <c r="AG907" s="3"/>
    </row>
    <row r="908" spans="1:33" x14ac:dyDescent="0.35">
      <c r="A908" s="313"/>
      <c r="B908" s="293"/>
      <c r="C908" s="839" t="s">
        <v>671</v>
      </c>
      <c r="D908" s="840"/>
      <c r="E908" s="841"/>
      <c r="F908" s="842">
        <v>11617500</v>
      </c>
      <c r="G908" s="842">
        <v>11617500</v>
      </c>
      <c r="H908" s="690"/>
      <c r="I908" s="690"/>
      <c r="J908" s="690"/>
      <c r="K908" s="154"/>
      <c r="L908" s="155"/>
      <c r="M908" s="692"/>
      <c r="N908" s="154"/>
      <c r="O908" s="689"/>
      <c r="P908" s="689"/>
      <c r="Q908" s="689"/>
      <c r="R908" s="689"/>
      <c r="S908" s="689"/>
      <c r="T908" s="693"/>
      <c r="U908" s="693"/>
      <c r="V908" s="693"/>
      <c r="W908" s="693"/>
      <c r="X908" s="693"/>
      <c r="Y908" s="693"/>
      <c r="Z908" s="693"/>
      <c r="AA908" s="693"/>
      <c r="AB908" s="693"/>
      <c r="AC908" s="693"/>
      <c r="AD908" s="693"/>
      <c r="AE908" s="693"/>
      <c r="AF908" s="693"/>
    </row>
    <row r="909" spans="1:33" ht="63" x14ac:dyDescent="0.35">
      <c r="A909" s="313"/>
      <c r="B909" s="293"/>
      <c r="C909" s="839" t="s">
        <v>673</v>
      </c>
      <c r="D909" s="840"/>
      <c r="E909" s="841"/>
      <c r="F909" s="842">
        <v>21600700</v>
      </c>
      <c r="G909" s="842">
        <v>21600700</v>
      </c>
      <c r="H909" s="690"/>
      <c r="I909" s="690"/>
      <c r="J909" s="690"/>
      <c r="K909" s="154"/>
      <c r="L909" s="155"/>
      <c r="M909" s="692"/>
      <c r="N909" s="154"/>
      <c r="O909" s="689"/>
      <c r="P909" s="689"/>
      <c r="Q909" s="689"/>
      <c r="R909" s="689"/>
      <c r="S909" s="689"/>
      <c r="T909" s="693"/>
      <c r="U909" s="693"/>
      <c r="V909" s="693"/>
      <c r="W909" s="693"/>
      <c r="X909" s="693"/>
      <c r="Y909" s="693"/>
      <c r="Z909" s="693"/>
      <c r="AA909" s="693"/>
      <c r="AB909" s="693"/>
      <c r="AC909" s="693"/>
      <c r="AD909" s="693"/>
      <c r="AE909" s="693"/>
      <c r="AF909" s="693"/>
    </row>
    <row r="910" spans="1:33" x14ac:dyDescent="0.35">
      <c r="A910" s="313"/>
      <c r="B910" s="293"/>
      <c r="C910" s="819" t="s">
        <v>50</v>
      </c>
      <c r="D910" s="780"/>
      <c r="E910" s="780"/>
      <c r="F910" s="781"/>
      <c r="G910" s="781"/>
      <c r="H910" s="425"/>
      <c r="I910" s="425"/>
      <c r="J910" s="425"/>
      <c r="K910" s="154"/>
      <c r="L910" s="155"/>
      <c r="M910" s="154"/>
      <c r="N910" s="154"/>
      <c r="O910" s="424"/>
      <c r="P910" s="424"/>
      <c r="Q910" s="424"/>
      <c r="R910" s="424"/>
      <c r="S910" s="424"/>
      <c r="T910" s="427"/>
      <c r="U910" s="427"/>
      <c r="V910" s="427"/>
      <c r="W910" s="427"/>
      <c r="X910" s="427"/>
      <c r="Y910" s="427"/>
      <c r="Z910" s="427"/>
      <c r="AA910" s="427"/>
      <c r="AB910" s="427"/>
      <c r="AC910" s="427"/>
      <c r="AD910" s="427"/>
      <c r="AE910" s="427"/>
      <c r="AF910" s="427"/>
      <c r="AG910" s="3"/>
    </row>
    <row r="911" spans="1:33" x14ac:dyDescent="0.35">
      <c r="A911" s="313"/>
      <c r="B911" s="293"/>
      <c r="C911" s="699" t="s">
        <v>672</v>
      </c>
      <c r="D911" s="700"/>
      <c r="E911" s="700"/>
      <c r="F911" s="701">
        <v>14200000</v>
      </c>
      <c r="G911" s="701">
        <v>14200000</v>
      </c>
      <c r="H911" s="690"/>
      <c r="I911" s="690"/>
      <c r="J911" s="690"/>
      <c r="K911" s="154"/>
      <c r="L911" s="155"/>
      <c r="M911" s="692"/>
      <c r="N911" s="154"/>
      <c r="O911" s="689"/>
      <c r="P911" s="689"/>
      <c r="Q911" s="689"/>
      <c r="R911" s="689"/>
      <c r="S911" s="689"/>
      <c r="T911" s="693"/>
      <c r="U911" s="693"/>
      <c r="V911" s="693"/>
      <c r="W911" s="693"/>
      <c r="X911" s="693"/>
      <c r="Y911" s="693"/>
      <c r="Z911" s="693"/>
      <c r="AA911" s="693"/>
      <c r="AB911" s="693"/>
      <c r="AC911" s="693"/>
      <c r="AD911" s="693"/>
      <c r="AE911" s="693"/>
      <c r="AF911" s="693"/>
    </row>
    <row r="912" spans="1:33" ht="23.25" customHeight="1" x14ac:dyDescent="0.35">
      <c r="A912" s="148" t="s">
        <v>6</v>
      </c>
      <c r="B912" s="149"/>
      <c r="C912" s="150"/>
      <c r="D912" s="849">
        <f>SUM(D913)</f>
        <v>3668016700</v>
      </c>
      <c r="E912" s="849">
        <f>SUM(E913)</f>
        <v>4122300800</v>
      </c>
      <c r="F912" s="850">
        <f>SUM(F913)</f>
        <v>3638861700</v>
      </c>
      <c r="G912" s="850">
        <f>SUM(G913)</f>
        <v>3638861700</v>
      </c>
      <c r="H912" s="849">
        <f t="shared" ref="H912" si="253">SUM(H913)</f>
        <v>0</v>
      </c>
      <c r="I912" s="849">
        <f t="shared" si="187"/>
        <v>3638861700</v>
      </c>
      <c r="J912" s="849">
        <f t="shared" si="197"/>
        <v>483439100</v>
      </c>
      <c r="K912" s="849">
        <f t="shared" ref="K912:Z912" si="254">SUM(K913)</f>
        <v>920361100</v>
      </c>
      <c r="L912" s="849">
        <f t="shared" si="254"/>
        <v>903195836.34000003</v>
      </c>
      <c r="M912" s="849">
        <f t="shared" si="254"/>
        <v>1079932200</v>
      </c>
      <c r="N912" s="849">
        <f t="shared" si="254"/>
        <v>928336900</v>
      </c>
      <c r="O912" s="741">
        <f t="shared" si="254"/>
        <v>3762272100</v>
      </c>
      <c r="P912" s="741">
        <f t="shared" si="254"/>
        <v>0</v>
      </c>
      <c r="Q912" s="741">
        <f t="shared" si="188"/>
        <v>3762272100</v>
      </c>
      <c r="R912" s="741">
        <f t="shared" si="254"/>
        <v>3602315115.8500004</v>
      </c>
      <c r="S912" s="741">
        <f t="shared" si="254"/>
        <v>143106600</v>
      </c>
      <c r="T912" s="849">
        <f t="shared" si="254"/>
        <v>-6464567.5300000906</v>
      </c>
      <c r="U912" s="849">
        <f t="shared" si="254"/>
        <v>1892096800</v>
      </c>
      <c r="V912" s="849">
        <f t="shared" si="254"/>
        <v>1960254200</v>
      </c>
      <c r="W912" s="849">
        <f t="shared" si="254"/>
        <v>2033085500</v>
      </c>
      <c r="X912" s="849">
        <f t="shared" si="254"/>
        <v>2110762500</v>
      </c>
      <c r="Y912" s="849">
        <f t="shared" si="254"/>
        <v>10553812500</v>
      </c>
      <c r="Z912" s="849">
        <f t="shared" si="254"/>
        <v>10553812500</v>
      </c>
      <c r="AA912" s="543"/>
      <c r="AB912" s="543"/>
      <c r="AC912" s="543"/>
      <c r="AD912" s="450"/>
      <c r="AE912" s="450"/>
      <c r="AF912" s="851"/>
    </row>
    <row r="913" spans="1:34" ht="21" customHeight="1" x14ac:dyDescent="0.35">
      <c r="A913" s="151" t="s">
        <v>11</v>
      </c>
      <c r="B913" s="152"/>
      <c r="C913" s="153"/>
      <c r="D913" s="852">
        <f>+D914+D940</f>
        <v>3668016700</v>
      </c>
      <c r="E913" s="852">
        <f>+E914+E940</f>
        <v>4122300800</v>
      </c>
      <c r="F913" s="853">
        <f>+F914+F940</f>
        <v>3638861700</v>
      </c>
      <c r="G913" s="853">
        <f>+G914+G940</f>
        <v>3638861700</v>
      </c>
      <c r="H913" s="852">
        <f t="shared" ref="H913" si="255">+H914+H940</f>
        <v>0</v>
      </c>
      <c r="I913" s="852">
        <f t="shared" si="187"/>
        <v>3638861700</v>
      </c>
      <c r="J913" s="852">
        <f t="shared" si="197"/>
        <v>483439100</v>
      </c>
      <c r="K913" s="852">
        <f t="shared" ref="K913:Z913" si="256">+K914+K940</f>
        <v>920361100</v>
      </c>
      <c r="L913" s="852">
        <f t="shared" si="256"/>
        <v>903195836.34000003</v>
      </c>
      <c r="M913" s="852">
        <f t="shared" si="256"/>
        <v>1079932200</v>
      </c>
      <c r="N913" s="852">
        <f t="shared" si="256"/>
        <v>928336900</v>
      </c>
      <c r="O913" s="693">
        <f t="shared" si="256"/>
        <v>3762272100</v>
      </c>
      <c r="P913" s="693">
        <f t="shared" si="256"/>
        <v>0</v>
      </c>
      <c r="Q913" s="693">
        <f t="shared" si="188"/>
        <v>3762272100</v>
      </c>
      <c r="R913" s="693">
        <f t="shared" si="256"/>
        <v>3602315115.8500004</v>
      </c>
      <c r="S913" s="693">
        <f t="shared" si="256"/>
        <v>143106600</v>
      </c>
      <c r="T913" s="852">
        <f t="shared" si="256"/>
        <v>-6464567.5300000906</v>
      </c>
      <c r="U913" s="852">
        <f t="shared" si="256"/>
        <v>1892096800</v>
      </c>
      <c r="V913" s="852">
        <f t="shared" si="256"/>
        <v>1960254200</v>
      </c>
      <c r="W913" s="852">
        <f t="shared" si="256"/>
        <v>2033085500</v>
      </c>
      <c r="X913" s="852">
        <f t="shared" si="256"/>
        <v>2110762500</v>
      </c>
      <c r="Y913" s="852">
        <f t="shared" si="256"/>
        <v>10553812500</v>
      </c>
      <c r="Z913" s="852">
        <f t="shared" si="256"/>
        <v>10553812500</v>
      </c>
      <c r="AA913" s="162" t="e">
        <f>SUM(AA914,#REF!,#REF!)</f>
        <v>#REF!</v>
      </c>
      <c r="AB913" s="162" t="e">
        <f>SUM(AB914,#REF!,#REF!)</f>
        <v>#REF!</v>
      </c>
      <c r="AC913" s="854">
        <v>0</v>
      </c>
      <c r="AD913" s="163">
        <v>1812276400</v>
      </c>
      <c r="AE913" s="855" t="e">
        <f>SUM(AE914,#REF!,#REF!)</f>
        <v>#REF!</v>
      </c>
      <c r="AF913" s="602" t="e">
        <f>SUM(AF914,#REF!,#REF!)</f>
        <v>#REF!</v>
      </c>
    </row>
    <row r="914" spans="1:34" x14ac:dyDescent="0.35">
      <c r="A914" s="156" t="s">
        <v>3</v>
      </c>
      <c r="B914" s="157"/>
      <c r="C914" s="158"/>
      <c r="D914" s="451">
        <f>+D915+D932+D937</f>
        <v>2697246300</v>
      </c>
      <c r="E914" s="451">
        <f>+E915+E932+E937</f>
        <v>3015996400</v>
      </c>
      <c r="F914" s="452">
        <f>+F915+F932+F937</f>
        <v>2696036500</v>
      </c>
      <c r="G914" s="452">
        <f>+G915+G932+G937</f>
        <v>2696036500</v>
      </c>
      <c r="H914" s="451">
        <f t="shared" ref="H914" si="257">+H915+H932+H937</f>
        <v>0</v>
      </c>
      <c r="I914" s="451">
        <f t="shared" si="187"/>
        <v>2696036500</v>
      </c>
      <c r="J914" s="451">
        <f t="shared" si="197"/>
        <v>319959900</v>
      </c>
      <c r="K914" s="451">
        <f t="shared" ref="K914:AF914" si="258">+K915+K932+K937</f>
        <v>920361100</v>
      </c>
      <c r="L914" s="451">
        <f t="shared" si="258"/>
        <v>903195836.34000003</v>
      </c>
      <c r="M914" s="451">
        <f t="shared" si="258"/>
        <v>1079932200</v>
      </c>
      <c r="N914" s="451">
        <f t="shared" si="258"/>
        <v>928336900</v>
      </c>
      <c r="O914" s="450">
        <f>+O915+O932+O937</f>
        <v>2754015800</v>
      </c>
      <c r="P914" s="450">
        <f t="shared" si="258"/>
        <v>0</v>
      </c>
      <c r="Q914" s="450">
        <f t="shared" si="188"/>
        <v>2754015800</v>
      </c>
      <c r="R914" s="450">
        <f t="shared" si="258"/>
        <v>2677157450.0500002</v>
      </c>
      <c r="S914" s="450">
        <f t="shared" si="258"/>
        <v>66870000</v>
      </c>
      <c r="T914" s="451">
        <f t="shared" si="258"/>
        <v>-6464567.5300000906</v>
      </c>
      <c r="U914" s="451">
        <f t="shared" si="258"/>
        <v>1891948900</v>
      </c>
      <c r="V914" s="451">
        <f t="shared" si="258"/>
        <v>1960254200</v>
      </c>
      <c r="W914" s="451">
        <f t="shared" si="258"/>
        <v>2033085500</v>
      </c>
      <c r="X914" s="451">
        <f t="shared" si="258"/>
        <v>2110762500</v>
      </c>
      <c r="Y914" s="451">
        <f t="shared" si="258"/>
        <v>10553812500</v>
      </c>
      <c r="Z914" s="451">
        <f t="shared" si="258"/>
        <v>10553812500</v>
      </c>
      <c r="AA914" s="451">
        <f t="shared" si="258"/>
        <v>6332287500</v>
      </c>
      <c r="AB914" s="451">
        <f t="shared" si="258"/>
        <v>1620932500</v>
      </c>
      <c r="AC914" s="451">
        <f t="shared" si="258"/>
        <v>0</v>
      </c>
      <c r="AD914" s="451">
        <f t="shared" si="258"/>
        <v>1620932500</v>
      </c>
      <c r="AE914" s="451">
        <f t="shared" si="258"/>
        <v>1620932500</v>
      </c>
      <c r="AF914" s="451">
        <f t="shared" si="258"/>
        <v>0</v>
      </c>
    </row>
    <row r="915" spans="1:34" x14ac:dyDescent="0.35">
      <c r="A915" s="217" t="s">
        <v>237</v>
      </c>
      <c r="B915" s="216"/>
      <c r="C915" s="161"/>
      <c r="D915" s="676">
        <f>+D916+D930</f>
        <v>1833659500</v>
      </c>
      <c r="E915" s="676">
        <f>+E916+E930</f>
        <v>2037718700</v>
      </c>
      <c r="F915" s="500">
        <f>+F916+F930</f>
        <v>1822206500</v>
      </c>
      <c r="G915" s="500">
        <f>+G916+G930</f>
        <v>1822206500</v>
      </c>
      <c r="H915" s="676">
        <f t="shared" ref="H915" si="259">+H916+H930</f>
        <v>0</v>
      </c>
      <c r="I915" s="676">
        <f t="shared" si="187"/>
        <v>1822206500</v>
      </c>
      <c r="J915" s="676">
        <f t="shared" si="197"/>
        <v>215512200</v>
      </c>
      <c r="K915" s="676">
        <f t="shared" ref="K915:S915" si="260">+K916+K930</f>
        <v>22926000</v>
      </c>
      <c r="L915" s="676">
        <f t="shared" si="260"/>
        <v>22244578</v>
      </c>
      <c r="M915" s="676">
        <f t="shared" si="260"/>
        <v>20942000</v>
      </c>
      <c r="N915" s="676">
        <f t="shared" si="260"/>
        <v>22266000</v>
      </c>
      <c r="O915" s="499">
        <f>+O916+O930</f>
        <v>1888330500</v>
      </c>
      <c r="P915" s="499">
        <f t="shared" si="260"/>
        <v>0</v>
      </c>
      <c r="Q915" s="499">
        <f t="shared" si="188"/>
        <v>1888330500</v>
      </c>
      <c r="R915" s="499">
        <f t="shared" si="260"/>
        <v>1834588444.0400002</v>
      </c>
      <c r="S915" s="499">
        <f t="shared" si="260"/>
        <v>45090000</v>
      </c>
      <c r="T915" s="856">
        <f>Q918-R918-S918</f>
        <v>-13326601.730000019</v>
      </c>
      <c r="U915" s="29">
        <v>734261300</v>
      </c>
      <c r="V915" s="29">
        <v>778317000</v>
      </c>
      <c r="W915" s="29">
        <v>825016000</v>
      </c>
      <c r="X915" s="29">
        <v>874517000</v>
      </c>
      <c r="Y915" s="29">
        <f>SUM(X915*5)</f>
        <v>4372585000</v>
      </c>
      <c r="Z915" s="29">
        <f>SUM(X915*5)</f>
        <v>4372585000</v>
      </c>
      <c r="AA915" s="29">
        <f>SUM(X915*3)</f>
        <v>2623551000</v>
      </c>
      <c r="AB915" s="31">
        <v>650162100</v>
      </c>
      <c r="AC915" s="465">
        <v>0</v>
      </c>
      <c r="AD915" s="163">
        <v>650162100</v>
      </c>
      <c r="AE915" s="856">
        <v>650162100</v>
      </c>
      <c r="AF915" s="857"/>
    </row>
    <row r="916" spans="1:34" x14ac:dyDescent="0.35">
      <c r="A916" s="159"/>
      <c r="B916" s="160" t="s">
        <v>9</v>
      </c>
      <c r="C916" s="161"/>
      <c r="D916" s="676">
        <f>+D917+D919</f>
        <v>1812276400</v>
      </c>
      <c r="E916" s="676">
        <f>+E917+E919</f>
        <v>2018266800</v>
      </c>
      <c r="F916" s="500">
        <f>+F917+F919</f>
        <v>1802754600</v>
      </c>
      <c r="G916" s="500">
        <f>+G917+G919</f>
        <v>1802754600</v>
      </c>
      <c r="H916" s="676">
        <f t="shared" ref="H916" si="261">+H917+H919</f>
        <v>0</v>
      </c>
      <c r="I916" s="676">
        <f t="shared" si="187"/>
        <v>1802754600</v>
      </c>
      <c r="J916" s="676">
        <f t="shared" si="197"/>
        <v>215512200</v>
      </c>
      <c r="K916" s="676">
        <f t="shared" ref="K916:S916" si="262">+K917+K919</f>
        <v>22926000</v>
      </c>
      <c r="L916" s="676">
        <f t="shared" si="262"/>
        <v>22244578</v>
      </c>
      <c r="M916" s="676">
        <f t="shared" si="262"/>
        <v>20942000</v>
      </c>
      <c r="N916" s="676">
        <f t="shared" si="262"/>
        <v>22266000</v>
      </c>
      <c r="O916" s="499">
        <f>+O917+O919</f>
        <v>1866112500</v>
      </c>
      <c r="P916" s="499">
        <f t="shared" si="262"/>
        <v>0</v>
      </c>
      <c r="Q916" s="499">
        <f t="shared" si="188"/>
        <v>1866112500</v>
      </c>
      <c r="R916" s="499">
        <f t="shared" si="262"/>
        <v>1813200934.0400002</v>
      </c>
      <c r="S916" s="499">
        <f t="shared" si="262"/>
        <v>45090000</v>
      </c>
      <c r="T916" s="856"/>
      <c r="U916" s="29"/>
      <c r="V916" s="29"/>
      <c r="W916" s="29"/>
      <c r="X916" s="29"/>
      <c r="Y916" s="29"/>
      <c r="Z916" s="29"/>
      <c r="AA916" s="29"/>
      <c r="AB916" s="31"/>
      <c r="AC916" s="465"/>
      <c r="AD916" s="167"/>
      <c r="AE916" s="856"/>
      <c r="AF916" s="857"/>
    </row>
    <row r="917" spans="1:34" s="218" customFormat="1" x14ac:dyDescent="0.35">
      <c r="A917" s="159"/>
      <c r="B917" s="164" t="s">
        <v>160</v>
      </c>
      <c r="C917" s="161" t="s">
        <v>223</v>
      </c>
      <c r="D917" s="676">
        <f>+D918</f>
        <v>650162100</v>
      </c>
      <c r="E917" s="676">
        <f>+E918</f>
        <v>747279200</v>
      </c>
      <c r="F917" s="500">
        <f>+F918</f>
        <v>627849700</v>
      </c>
      <c r="G917" s="500">
        <f>+G918</f>
        <v>627849700</v>
      </c>
      <c r="H917" s="676">
        <f t="shared" ref="H917" si="263">+H918</f>
        <v>0</v>
      </c>
      <c r="I917" s="676">
        <f t="shared" si="187"/>
        <v>627849700</v>
      </c>
      <c r="J917" s="676">
        <f t="shared" si="197"/>
        <v>119429500</v>
      </c>
      <c r="K917" s="676">
        <f t="shared" ref="K917:S917" si="264">+K918</f>
        <v>0</v>
      </c>
      <c r="L917" s="676">
        <f t="shared" si="264"/>
        <v>0</v>
      </c>
      <c r="M917" s="676">
        <f t="shared" si="264"/>
        <v>0</v>
      </c>
      <c r="N917" s="676">
        <f t="shared" si="264"/>
        <v>0</v>
      </c>
      <c r="O917" s="499">
        <f>+O918</f>
        <v>637214700</v>
      </c>
      <c r="P917" s="499">
        <f t="shared" si="264"/>
        <v>0</v>
      </c>
      <c r="Q917" s="499">
        <f t="shared" si="188"/>
        <v>637214700</v>
      </c>
      <c r="R917" s="499">
        <f t="shared" si="264"/>
        <v>650541301.73000002</v>
      </c>
      <c r="S917" s="499">
        <f t="shared" si="264"/>
        <v>0</v>
      </c>
      <c r="T917" s="855">
        <f>Q920-R920-S920</f>
        <v>65553.369999997318</v>
      </c>
      <c r="U917" s="52">
        <v>32445600</v>
      </c>
      <c r="V917" s="52">
        <v>32445600</v>
      </c>
      <c r="W917" s="52">
        <v>32445600</v>
      </c>
      <c r="X917" s="52">
        <v>32445600</v>
      </c>
      <c r="Y917" s="52">
        <f t="shared" ref="Y917:Y927" si="265">SUM(X917*5)</f>
        <v>162228000</v>
      </c>
      <c r="Z917" s="52">
        <f t="shared" ref="Z917:Z927" si="266">SUM(X917*5)</f>
        <v>162228000</v>
      </c>
      <c r="AA917" s="52">
        <f t="shared" ref="AA917:AA936" si="267">SUM(X917*3)</f>
        <v>97336800</v>
      </c>
      <c r="AB917" s="54">
        <v>27208800</v>
      </c>
      <c r="AC917" s="494">
        <v>0</v>
      </c>
      <c r="AD917" s="163">
        <v>27208800</v>
      </c>
      <c r="AE917" s="855">
        <v>27208800</v>
      </c>
      <c r="AF917" s="858"/>
      <c r="AG917" s="859"/>
      <c r="AH917" s="432"/>
    </row>
    <row r="918" spans="1:34" s="218" customFormat="1" x14ac:dyDescent="0.35">
      <c r="A918" s="159"/>
      <c r="B918" s="165"/>
      <c r="C918" s="213" t="s">
        <v>161</v>
      </c>
      <c r="D918" s="860">
        <v>650162100</v>
      </c>
      <c r="E918" s="861">
        <v>747279200</v>
      </c>
      <c r="F918" s="862">
        <v>627849700</v>
      </c>
      <c r="G918" s="862">
        <v>627849700</v>
      </c>
      <c r="H918" s="861"/>
      <c r="I918" s="861">
        <f t="shared" si="187"/>
        <v>627849700</v>
      </c>
      <c r="J918" s="861">
        <f t="shared" si="197"/>
        <v>119429500</v>
      </c>
      <c r="K918" s="52"/>
      <c r="L918" s="53"/>
      <c r="M918" s="854"/>
      <c r="N918" s="52"/>
      <c r="O918" s="856">
        <v>637214700</v>
      </c>
      <c r="P918" s="863"/>
      <c r="Q918" s="856">
        <f t="shared" si="188"/>
        <v>637214700</v>
      </c>
      <c r="R918" s="856">
        <v>650541301.73000002</v>
      </c>
      <c r="S918" s="856"/>
      <c r="T918" s="855"/>
      <c r="U918" s="52"/>
      <c r="V918" s="52"/>
      <c r="W918" s="52"/>
      <c r="X918" s="52"/>
      <c r="Y918" s="52"/>
      <c r="Z918" s="52"/>
      <c r="AA918" s="52"/>
      <c r="AB918" s="54"/>
      <c r="AC918" s="494"/>
      <c r="AD918" s="163"/>
      <c r="AE918" s="855"/>
      <c r="AF918" s="858"/>
      <c r="AG918" s="859"/>
      <c r="AH918" s="432"/>
    </row>
    <row r="919" spans="1:34" s="218" customFormat="1" x14ac:dyDescent="0.35">
      <c r="A919" s="214"/>
      <c r="B919" s="165"/>
      <c r="C919" s="220" t="s">
        <v>224</v>
      </c>
      <c r="D919" s="864">
        <f>+D920+D921+D922+D923</f>
        <v>1162114300</v>
      </c>
      <c r="E919" s="864">
        <f>+E920+E921+E922+E923</f>
        <v>1270987600</v>
      </c>
      <c r="F919" s="865">
        <f t="shared" ref="F919:H919" si="268">+F920+F921+F922+F923</f>
        <v>1174904900</v>
      </c>
      <c r="G919" s="865">
        <f t="shared" si="268"/>
        <v>1174904900</v>
      </c>
      <c r="H919" s="864">
        <f t="shared" si="268"/>
        <v>0</v>
      </c>
      <c r="I919" s="864">
        <f t="shared" si="187"/>
        <v>1174904900</v>
      </c>
      <c r="J919" s="864">
        <f t="shared" si="197"/>
        <v>96082700</v>
      </c>
      <c r="K919" s="864">
        <f t="shared" ref="K919:S919" si="269">+K920+K921+K922+K923</f>
        <v>22926000</v>
      </c>
      <c r="L919" s="864">
        <f t="shared" si="269"/>
        <v>22244578</v>
      </c>
      <c r="M919" s="864">
        <f t="shared" si="269"/>
        <v>20942000</v>
      </c>
      <c r="N919" s="864">
        <f t="shared" si="269"/>
        <v>22266000</v>
      </c>
      <c r="O919" s="855">
        <f>+O920+O921+O922+O923</f>
        <v>1228897800</v>
      </c>
      <c r="P919" s="855">
        <f t="shared" si="269"/>
        <v>0</v>
      </c>
      <c r="Q919" s="855">
        <f t="shared" si="188"/>
        <v>1228897800</v>
      </c>
      <c r="R919" s="855">
        <f t="shared" si="269"/>
        <v>1162659632.3100002</v>
      </c>
      <c r="S919" s="855">
        <f t="shared" si="269"/>
        <v>45090000</v>
      </c>
      <c r="T919" s="855">
        <f>Q922-R922-S922</f>
        <v>-196289.51</v>
      </c>
      <c r="U919" s="52">
        <v>469300</v>
      </c>
      <c r="V919" s="52">
        <v>469300</v>
      </c>
      <c r="W919" s="52">
        <v>469300</v>
      </c>
      <c r="X919" s="52">
        <v>469300</v>
      </c>
      <c r="Y919" s="52">
        <f t="shared" si="265"/>
        <v>2346500</v>
      </c>
      <c r="Z919" s="52">
        <f t="shared" si="266"/>
        <v>2346500</v>
      </c>
      <c r="AA919" s="52">
        <f t="shared" si="267"/>
        <v>1407900</v>
      </c>
      <c r="AB919" s="54">
        <v>422800</v>
      </c>
      <c r="AC919" s="494">
        <v>0</v>
      </c>
      <c r="AD919" s="163">
        <v>422800</v>
      </c>
      <c r="AE919" s="855">
        <v>422800</v>
      </c>
      <c r="AF919" s="858"/>
      <c r="AG919" s="859"/>
      <c r="AH919" s="432"/>
    </row>
    <row r="920" spans="1:34" s="218" customFormat="1" x14ac:dyDescent="0.35">
      <c r="A920" s="159"/>
      <c r="B920" s="160"/>
      <c r="C920" s="215" t="s">
        <v>226</v>
      </c>
      <c r="D920" s="866">
        <v>27208800</v>
      </c>
      <c r="E920" s="864">
        <v>31845600</v>
      </c>
      <c r="F920" s="865">
        <v>28155600</v>
      </c>
      <c r="G920" s="865">
        <v>28155600</v>
      </c>
      <c r="H920" s="864"/>
      <c r="I920" s="864">
        <f t="shared" si="187"/>
        <v>28155600</v>
      </c>
      <c r="J920" s="864">
        <f t="shared" si="197"/>
        <v>3690000</v>
      </c>
      <c r="K920" s="52">
        <v>48000</v>
      </c>
      <c r="L920" s="53"/>
      <c r="M920" s="854">
        <v>72000</v>
      </c>
      <c r="N920" s="52">
        <v>48000</v>
      </c>
      <c r="O920" s="855">
        <v>28134000</v>
      </c>
      <c r="P920" s="867"/>
      <c r="Q920" s="855">
        <f t="shared" si="188"/>
        <v>28134000</v>
      </c>
      <c r="R920" s="855">
        <v>28068446.630000003</v>
      </c>
      <c r="S920" s="855"/>
      <c r="T920" s="855">
        <f>Q923-R923-S923</f>
        <v>21278903.829999924</v>
      </c>
      <c r="U920" s="52">
        <v>48000</v>
      </c>
      <c r="V920" s="52">
        <v>48000</v>
      </c>
      <c r="W920" s="52">
        <v>48000</v>
      </c>
      <c r="X920" s="52">
        <v>48000</v>
      </c>
      <c r="Y920" s="52">
        <f t="shared" si="265"/>
        <v>240000</v>
      </c>
      <c r="Z920" s="52">
        <f t="shared" si="266"/>
        <v>240000</v>
      </c>
      <c r="AA920" s="52">
        <f t="shared" si="267"/>
        <v>144000</v>
      </c>
      <c r="AB920" s="54">
        <v>48000</v>
      </c>
      <c r="AC920" s="494">
        <v>0</v>
      </c>
      <c r="AD920" s="163">
        <v>48000</v>
      </c>
      <c r="AE920" s="855">
        <v>48000</v>
      </c>
      <c r="AF920" s="858"/>
      <c r="AG920" s="859"/>
      <c r="AH920" s="432"/>
    </row>
    <row r="921" spans="1:34" x14ac:dyDescent="0.35">
      <c r="A921" s="159"/>
      <c r="B921" s="160"/>
      <c r="C921" s="215" t="s">
        <v>227</v>
      </c>
      <c r="D921" s="866">
        <v>34740200</v>
      </c>
      <c r="E921" s="864">
        <v>39716400</v>
      </c>
      <c r="F921" s="865">
        <v>35052000</v>
      </c>
      <c r="G921" s="865">
        <v>35052000</v>
      </c>
      <c r="H921" s="864"/>
      <c r="I921" s="864">
        <f t="shared" si="187"/>
        <v>35052000</v>
      </c>
      <c r="J921" s="864">
        <f t="shared" si="197"/>
        <v>4664400</v>
      </c>
      <c r="K921" s="29"/>
      <c r="L921" s="30"/>
      <c r="M921" s="868"/>
      <c r="N921" s="29"/>
      <c r="O921" s="855"/>
      <c r="P921" s="867"/>
      <c r="Q921" s="855">
        <f t="shared" si="188"/>
        <v>0</v>
      </c>
      <c r="R921" s="855"/>
      <c r="S921" s="855"/>
      <c r="T921" s="856"/>
      <c r="U921" s="29"/>
      <c r="V921" s="29"/>
      <c r="W921" s="29"/>
      <c r="X921" s="29"/>
      <c r="Y921" s="29"/>
      <c r="Z921" s="29"/>
      <c r="AA921" s="29"/>
      <c r="AB921" s="31"/>
      <c r="AC921" s="465"/>
      <c r="AD921" s="163"/>
      <c r="AE921" s="856"/>
      <c r="AF921" s="857"/>
    </row>
    <row r="922" spans="1:34" x14ac:dyDescent="0.35">
      <c r="A922" s="159"/>
      <c r="B922" s="216"/>
      <c r="C922" s="215" t="s">
        <v>228</v>
      </c>
      <c r="D922" s="866">
        <v>422800</v>
      </c>
      <c r="E922" s="864">
        <v>264900</v>
      </c>
      <c r="F922" s="865">
        <v>264900</v>
      </c>
      <c r="G922" s="865">
        <v>264900</v>
      </c>
      <c r="H922" s="864"/>
      <c r="I922" s="864">
        <f t="shared" si="187"/>
        <v>264900</v>
      </c>
      <c r="J922" s="864">
        <f t="shared" si="197"/>
        <v>0</v>
      </c>
      <c r="K922" s="29"/>
      <c r="L922" s="30"/>
      <c r="M922" s="868"/>
      <c r="N922" s="29"/>
      <c r="O922" s="855">
        <v>224400</v>
      </c>
      <c r="P922" s="867"/>
      <c r="Q922" s="855">
        <f t="shared" si="188"/>
        <v>224400</v>
      </c>
      <c r="R922" s="855">
        <v>420689.51</v>
      </c>
      <c r="S922" s="855"/>
      <c r="T922" s="856"/>
      <c r="U922" s="29"/>
      <c r="V922" s="29"/>
      <c r="W922" s="29"/>
      <c r="X922" s="29"/>
      <c r="Y922" s="29"/>
      <c r="Z922" s="29"/>
      <c r="AA922" s="29"/>
      <c r="AB922" s="31"/>
      <c r="AC922" s="465"/>
      <c r="AD922" s="163"/>
      <c r="AE922" s="856"/>
      <c r="AF922" s="857"/>
    </row>
    <row r="923" spans="1:34" x14ac:dyDescent="0.35">
      <c r="A923" s="159"/>
      <c r="B923" s="216"/>
      <c r="C923" s="215" t="s">
        <v>225</v>
      </c>
      <c r="D923" s="864">
        <f>SUM(D924:D929)</f>
        <v>1099742500</v>
      </c>
      <c r="E923" s="864">
        <f>SUM(E924:E929)</f>
        <v>1199160700</v>
      </c>
      <c r="F923" s="865">
        <f t="shared" ref="F923:H923" si="270">SUM(F924:F929)</f>
        <v>1111432400</v>
      </c>
      <c r="G923" s="865">
        <f t="shared" si="270"/>
        <v>1111432400</v>
      </c>
      <c r="H923" s="864">
        <f t="shared" si="270"/>
        <v>0</v>
      </c>
      <c r="I923" s="864">
        <f t="shared" si="187"/>
        <v>1111432400</v>
      </c>
      <c r="J923" s="864">
        <f t="shared" si="197"/>
        <v>87728300</v>
      </c>
      <c r="K923" s="864">
        <f t="shared" ref="K923:S923" si="271">SUM(K924:K929)</f>
        <v>22878000</v>
      </c>
      <c r="L923" s="864">
        <f t="shared" si="271"/>
        <v>22244578</v>
      </c>
      <c r="M923" s="864">
        <f t="shared" si="271"/>
        <v>20870000</v>
      </c>
      <c r="N923" s="864">
        <f t="shared" si="271"/>
        <v>22218000</v>
      </c>
      <c r="O923" s="855">
        <f>SUM(O924:O929)</f>
        <v>1200539400</v>
      </c>
      <c r="P923" s="855">
        <f t="shared" si="271"/>
        <v>0</v>
      </c>
      <c r="Q923" s="855">
        <f t="shared" si="188"/>
        <v>1200539400</v>
      </c>
      <c r="R923" s="855">
        <f t="shared" si="271"/>
        <v>1134170496.1700001</v>
      </c>
      <c r="S923" s="855">
        <f t="shared" si="271"/>
        <v>45090000</v>
      </c>
      <c r="T923" s="856"/>
      <c r="U923" s="29"/>
      <c r="V923" s="29"/>
      <c r="W923" s="29"/>
      <c r="X923" s="29"/>
      <c r="Y923" s="29"/>
      <c r="Z923" s="29"/>
      <c r="AA923" s="29"/>
      <c r="AB923" s="31"/>
      <c r="AC923" s="465"/>
      <c r="AD923" s="163"/>
      <c r="AE923" s="856"/>
      <c r="AF923" s="857"/>
    </row>
    <row r="924" spans="1:34" x14ac:dyDescent="0.35">
      <c r="A924" s="159"/>
      <c r="B924" s="165"/>
      <c r="C924" s="219" t="s">
        <v>243</v>
      </c>
      <c r="D924" s="861">
        <v>0</v>
      </c>
      <c r="E924" s="861">
        <v>198000</v>
      </c>
      <c r="F924" s="862">
        <v>198000</v>
      </c>
      <c r="G924" s="862">
        <v>198000</v>
      </c>
      <c r="H924" s="861"/>
      <c r="I924" s="861">
        <f t="shared" ref="I924:I959" si="272">+G924-H924</f>
        <v>198000</v>
      </c>
      <c r="J924" s="861">
        <f t="shared" si="197"/>
        <v>0</v>
      </c>
      <c r="K924" s="29"/>
      <c r="L924" s="30"/>
      <c r="M924" s="868"/>
      <c r="N924" s="29"/>
      <c r="O924" s="856">
        <v>35492400</v>
      </c>
      <c r="P924" s="863"/>
      <c r="Q924" s="856">
        <f t="shared" ref="Q924:Q959" si="273">+O924-P924</f>
        <v>35492400</v>
      </c>
      <c r="R924" s="856">
        <v>34974307.93</v>
      </c>
      <c r="S924" s="856"/>
      <c r="T924" s="856"/>
      <c r="U924" s="29"/>
      <c r="V924" s="29"/>
      <c r="W924" s="29"/>
      <c r="X924" s="29"/>
      <c r="Y924" s="29"/>
      <c r="Z924" s="29"/>
      <c r="AA924" s="29"/>
      <c r="AB924" s="31"/>
      <c r="AC924" s="465"/>
      <c r="AD924" s="163"/>
      <c r="AE924" s="856"/>
      <c r="AF924" s="857"/>
    </row>
    <row r="925" spans="1:34" x14ac:dyDescent="0.35">
      <c r="A925" s="159"/>
      <c r="B925" s="165"/>
      <c r="C925" s="219" t="s">
        <v>229</v>
      </c>
      <c r="D925" s="861">
        <v>12059100</v>
      </c>
      <c r="E925" s="861">
        <v>14145800</v>
      </c>
      <c r="F925" s="862">
        <v>12240200</v>
      </c>
      <c r="G925" s="862">
        <v>12240200</v>
      </c>
      <c r="H925" s="861"/>
      <c r="I925" s="861">
        <f t="shared" si="272"/>
        <v>12240200</v>
      </c>
      <c r="J925" s="861">
        <f t="shared" si="197"/>
        <v>1905600</v>
      </c>
      <c r="K925" s="29"/>
      <c r="L925" s="30"/>
      <c r="M925" s="868"/>
      <c r="N925" s="29"/>
      <c r="O925" s="856">
        <v>13263600</v>
      </c>
      <c r="P925" s="863"/>
      <c r="Q925" s="856">
        <f t="shared" si="273"/>
        <v>13263600</v>
      </c>
      <c r="R925" s="856">
        <v>11705242.609999999</v>
      </c>
      <c r="S925" s="856"/>
      <c r="T925" s="856"/>
      <c r="U925" s="29"/>
      <c r="V925" s="29"/>
      <c r="W925" s="29"/>
      <c r="X925" s="29"/>
      <c r="Y925" s="29"/>
      <c r="Z925" s="29"/>
      <c r="AA925" s="29"/>
      <c r="AB925" s="31"/>
      <c r="AC925" s="465"/>
      <c r="AD925" s="163"/>
      <c r="AE925" s="856"/>
      <c r="AF925" s="857"/>
    </row>
    <row r="926" spans="1:34" x14ac:dyDescent="0.35">
      <c r="A926" s="159"/>
      <c r="B926" s="165"/>
      <c r="C926" s="219" t="s">
        <v>230</v>
      </c>
      <c r="D926" s="861">
        <v>1087635400</v>
      </c>
      <c r="E926" s="861">
        <v>1184393900</v>
      </c>
      <c r="F926" s="862">
        <v>1098595200</v>
      </c>
      <c r="G926" s="862">
        <v>1098595200</v>
      </c>
      <c r="H926" s="861"/>
      <c r="I926" s="861">
        <f t="shared" si="272"/>
        <v>1098595200</v>
      </c>
      <c r="J926" s="861">
        <f t="shared" si="197"/>
        <v>85798700</v>
      </c>
      <c r="K926" s="29"/>
      <c r="L926" s="30"/>
      <c r="M926" s="868"/>
      <c r="N926" s="29"/>
      <c r="O926" s="856">
        <v>1151735400</v>
      </c>
      <c r="P926" s="863"/>
      <c r="Q926" s="856">
        <f t="shared" si="273"/>
        <v>1151735400</v>
      </c>
      <c r="R926" s="856">
        <v>1087442945.6300001</v>
      </c>
      <c r="S926" s="856"/>
      <c r="T926" s="856"/>
      <c r="U926" s="29"/>
      <c r="V926" s="29"/>
      <c r="W926" s="29"/>
      <c r="X926" s="29"/>
      <c r="Y926" s="29"/>
      <c r="Z926" s="29"/>
      <c r="AA926" s="29"/>
      <c r="AB926" s="31"/>
      <c r="AC926" s="465"/>
      <c r="AD926" s="163"/>
      <c r="AE926" s="856"/>
      <c r="AF926" s="857"/>
    </row>
    <row r="927" spans="1:34" x14ac:dyDescent="0.35">
      <c r="A927" s="159"/>
      <c r="B927" s="165"/>
      <c r="C927" s="219" t="s">
        <v>231</v>
      </c>
      <c r="D927" s="861">
        <v>0</v>
      </c>
      <c r="E927" s="861">
        <v>63000</v>
      </c>
      <c r="F927" s="862">
        <v>63000</v>
      </c>
      <c r="G927" s="862">
        <v>63000</v>
      </c>
      <c r="H927" s="861"/>
      <c r="I927" s="861">
        <f t="shared" si="272"/>
        <v>63000</v>
      </c>
      <c r="J927" s="861">
        <f t="shared" si="197"/>
        <v>0</v>
      </c>
      <c r="K927" s="52">
        <v>22878000</v>
      </c>
      <c r="L927" s="53">
        <v>22244578</v>
      </c>
      <c r="M927" s="854">
        <v>20870000</v>
      </c>
      <c r="N927" s="52">
        <v>22218000</v>
      </c>
      <c r="O927" s="856"/>
      <c r="P927" s="863"/>
      <c r="Q927" s="856">
        <f t="shared" si="273"/>
        <v>0</v>
      </c>
      <c r="R927" s="856"/>
      <c r="S927" s="856"/>
      <c r="T927" s="855">
        <f>Q930-R930-S930</f>
        <v>830490</v>
      </c>
      <c r="U927" s="52">
        <v>21383100</v>
      </c>
      <c r="V927" s="52">
        <v>22666100</v>
      </c>
      <c r="W927" s="52">
        <v>24026100</v>
      </c>
      <c r="X927" s="52">
        <v>25467700</v>
      </c>
      <c r="Y927" s="52">
        <f t="shared" si="265"/>
        <v>127338500</v>
      </c>
      <c r="Z927" s="52">
        <f t="shared" si="266"/>
        <v>127338500</v>
      </c>
      <c r="AA927" s="52">
        <f t="shared" si="267"/>
        <v>76403100</v>
      </c>
      <c r="AB927" s="31">
        <v>21383100</v>
      </c>
      <c r="AC927" s="465">
        <v>0</v>
      </c>
      <c r="AD927" s="163">
        <v>21383100</v>
      </c>
      <c r="AE927" s="855">
        <v>21383100</v>
      </c>
      <c r="AF927" s="858"/>
    </row>
    <row r="928" spans="1:34" x14ac:dyDescent="0.35">
      <c r="A928" s="159"/>
      <c r="B928" s="165"/>
      <c r="C928" s="219" t="s">
        <v>232</v>
      </c>
      <c r="D928" s="861">
        <v>48000</v>
      </c>
      <c r="E928" s="861">
        <v>72000</v>
      </c>
      <c r="F928" s="862">
        <v>48000</v>
      </c>
      <c r="G928" s="862">
        <v>48000</v>
      </c>
      <c r="H928" s="861"/>
      <c r="I928" s="861">
        <f t="shared" si="272"/>
        <v>48000</v>
      </c>
      <c r="J928" s="861">
        <f t="shared" si="197"/>
        <v>24000</v>
      </c>
      <c r="K928" s="29"/>
      <c r="L928" s="30"/>
      <c r="M928" s="868"/>
      <c r="N928" s="29"/>
      <c r="O928" s="856">
        <v>48000</v>
      </c>
      <c r="P928" s="863"/>
      <c r="Q928" s="856">
        <f t="shared" si="273"/>
        <v>48000</v>
      </c>
      <c r="R928" s="856">
        <v>48000</v>
      </c>
      <c r="S928" s="856">
        <v>45090000</v>
      </c>
      <c r="T928" s="856"/>
      <c r="U928" s="29"/>
      <c r="V928" s="29"/>
      <c r="W928" s="29"/>
      <c r="X928" s="29"/>
      <c r="Y928" s="29"/>
      <c r="Z928" s="29"/>
      <c r="AA928" s="29"/>
      <c r="AB928" s="31"/>
      <c r="AC928" s="465"/>
      <c r="AD928" s="167"/>
      <c r="AE928" s="856"/>
      <c r="AF928" s="857"/>
    </row>
    <row r="929" spans="1:34" x14ac:dyDescent="0.35">
      <c r="A929" s="159"/>
      <c r="B929" s="165"/>
      <c r="C929" s="219" t="s">
        <v>233</v>
      </c>
      <c r="D929" s="861">
        <v>0</v>
      </c>
      <c r="E929" s="861">
        <v>288000</v>
      </c>
      <c r="F929" s="862">
        <v>288000</v>
      </c>
      <c r="G929" s="862">
        <v>288000</v>
      </c>
      <c r="H929" s="861"/>
      <c r="I929" s="861">
        <f t="shared" si="272"/>
        <v>288000</v>
      </c>
      <c r="J929" s="861">
        <f t="shared" si="197"/>
        <v>0</v>
      </c>
      <c r="K929" s="29"/>
      <c r="L929" s="30"/>
      <c r="M929" s="868"/>
      <c r="N929" s="29"/>
      <c r="O929" s="856"/>
      <c r="P929" s="863"/>
      <c r="Q929" s="856">
        <f t="shared" si="273"/>
        <v>0</v>
      </c>
      <c r="R929" s="856"/>
      <c r="S929" s="856"/>
      <c r="T929" s="856"/>
      <c r="U929" s="29"/>
      <c r="V929" s="29"/>
      <c r="W929" s="29"/>
      <c r="X929" s="29"/>
      <c r="Y929" s="29"/>
      <c r="Z929" s="29"/>
      <c r="AA929" s="29"/>
      <c r="AB929" s="31"/>
      <c r="AC929" s="465"/>
      <c r="AD929" s="167"/>
      <c r="AE929" s="856"/>
      <c r="AF929" s="857"/>
    </row>
    <row r="930" spans="1:34" x14ac:dyDescent="0.35">
      <c r="A930" s="159"/>
      <c r="B930" s="34" t="s">
        <v>234</v>
      </c>
      <c r="C930" s="161"/>
      <c r="D930" s="864">
        <f>+D931</f>
        <v>21383100</v>
      </c>
      <c r="E930" s="864">
        <f>+E931</f>
        <v>19451900</v>
      </c>
      <c r="F930" s="865">
        <f>+F931</f>
        <v>19451900</v>
      </c>
      <c r="G930" s="865">
        <f>+G931</f>
        <v>19451900</v>
      </c>
      <c r="H930" s="864">
        <f t="shared" ref="H930" si="274">+H931</f>
        <v>0</v>
      </c>
      <c r="I930" s="864">
        <f t="shared" si="272"/>
        <v>19451900</v>
      </c>
      <c r="J930" s="864">
        <f t="shared" si="197"/>
        <v>0</v>
      </c>
      <c r="K930" s="864">
        <f t="shared" ref="K930:S930" si="275">+K931</f>
        <v>0</v>
      </c>
      <c r="L930" s="864">
        <f t="shared" si="275"/>
        <v>0</v>
      </c>
      <c r="M930" s="864">
        <f t="shared" si="275"/>
        <v>0</v>
      </c>
      <c r="N930" s="864">
        <f t="shared" si="275"/>
        <v>0</v>
      </c>
      <c r="O930" s="855">
        <f>+O931</f>
        <v>22218000</v>
      </c>
      <c r="P930" s="855">
        <f t="shared" si="275"/>
        <v>0</v>
      </c>
      <c r="Q930" s="855">
        <f t="shared" si="273"/>
        <v>22218000</v>
      </c>
      <c r="R930" s="855">
        <f t="shared" si="275"/>
        <v>21387510</v>
      </c>
      <c r="S930" s="855">
        <f t="shared" si="275"/>
        <v>0</v>
      </c>
      <c r="T930" s="855">
        <f>Q933-R933-S933</f>
        <v>70.840000033378601</v>
      </c>
      <c r="U930" s="52">
        <v>950081200</v>
      </c>
      <c r="V930" s="52">
        <v>1092593400</v>
      </c>
      <c r="W930" s="52">
        <v>1256842400</v>
      </c>
      <c r="X930" s="52">
        <v>1445368800</v>
      </c>
      <c r="Y930" s="52">
        <v>7226844000</v>
      </c>
      <c r="Z930" s="52">
        <v>72226844000</v>
      </c>
      <c r="AA930" s="52">
        <f t="shared" si="267"/>
        <v>4336106400</v>
      </c>
      <c r="AB930" s="31">
        <v>847193200</v>
      </c>
      <c r="AC930" s="465">
        <v>0</v>
      </c>
      <c r="AD930" s="163">
        <v>847193200</v>
      </c>
      <c r="AE930" s="855">
        <v>847193200</v>
      </c>
      <c r="AF930" s="858"/>
    </row>
    <row r="931" spans="1:34" x14ac:dyDescent="0.35">
      <c r="A931" s="214"/>
      <c r="B931" s="27"/>
      <c r="C931" s="166" t="s">
        <v>235</v>
      </c>
      <c r="D931" s="861">
        <v>21383100</v>
      </c>
      <c r="E931" s="861">
        <v>19451900</v>
      </c>
      <c r="F931" s="862">
        <v>19451900</v>
      </c>
      <c r="G931" s="862">
        <v>19451900</v>
      </c>
      <c r="H931" s="861"/>
      <c r="I931" s="861">
        <f t="shared" si="272"/>
        <v>19451900</v>
      </c>
      <c r="J931" s="861">
        <f t="shared" si="197"/>
        <v>0</v>
      </c>
      <c r="K931" s="52"/>
      <c r="L931" s="53"/>
      <c r="M931" s="854"/>
      <c r="N931" s="52"/>
      <c r="O931" s="856">
        <v>22218000</v>
      </c>
      <c r="P931" s="863"/>
      <c r="Q931" s="856">
        <f t="shared" si="273"/>
        <v>22218000</v>
      </c>
      <c r="R931" s="856">
        <v>21387510</v>
      </c>
      <c r="S931" s="856"/>
      <c r="T931" s="855"/>
      <c r="U931" s="52"/>
      <c r="V931" s="52"/>
      <c r="W931" s="52"/>
      <c r="X931" s="52"/>
      <c r="Y931" s="52"/>
      <c r="Z931" s="52"/>
      <c r="AA931" s="52"/>
      <c r="AB931" s="31"/>
      <c r="AC931" s="465"/>
      <c r="AD931" s="163"/>
      <c r="AE931" s="855"/>
      <c r="AF931" s="858"/>
    </row>
    <row r="932" spans="1:34" x14ac:dyDescent="0.35">
      <c r="A932" s="217" t="s">
        <v>236</v>
      </c>
      <c r="B932" s="27"/>
      <c r="C932" s="166"/>
      <c r="D932" s="864">
        <f>+D933</f>
        <v>848827700</v>
      </c>
      <c r="E932" s="864">
        <f>+E933</f>
        <v>960522200</v>
      </c>
      <c r="F932" s="865">
        <f t="shared" ref="F932:H933" si="276">+F933</f>
        <v>859771200</v>
      </c>
      <c r="G932" s="865">
        <f t="shared" si="276"/>
        <v>859771200</v>
      </c>
      <c r="H932" s="864">
        <f t="shared" si="276"/>
        <v>0</v>
      </c>
      <c r="I932" s="864">
        <f t="shared" si="272"/>
        <v>859771200</v>
      </c>
      <c r="J932" s="864">
        <f t="shared" si="197"/>
        <v>100751000</v>
      </c>
      <c r="K932" s="864">
        <f t="shared" ref="K932:S932" si="277">+K933</f>
        <v>0</v>
      </c>
      <c r="L932" s="864">
        <f t="shared" si="277"/>
        <v>0</v>
      </c>
      <c r="M932" s="864">
        <f t="shared" si="277"/>
        <v>0</v>
      </c>
      <c r="N932" s="864">
        <f t="shared" si="277"/>
        <v>0</v>
      </c>
      <c r="O932" s="855">
        <f>+O933</f>
        <v>843718900</v>
      </c>
      <c r="P932" s="855">
        <f t="shared" si="277"/>
        <v>0</v>
      </c>
      <c r="Q932" s="855">
        <f t="shared" si="273"/>
        <v>843718900</v>
      </c>
      <c r="R932" s="855">
        <f t="shared" si="277"/>
        <v>827438829.15999997</v>
      </c>
      <c r="S932" s="855">
        <f t="shared" si="277"/>
        <v>16280000</v>
      </c>
      <c r="T932" s="855"/>
      <c r="U932" s="52"/>
      <c r="V932" s="52"/>
      <c r="W932" s="52"/>
      <c r="X932" s="52"/>
      <c r="Y932" s="52"/>
      <c r="Z932" s="52"/>
      <c r="AA932" s="52"/>
      <c r="AB932" s="31"/>
      <c r="AC932" s="465"/>
      <c r="AD932" s="163"/>
      <c r="AE932" s="855"/>
      <c r="AF932" s="858"/>
    </row>
    <row r="933" spans="1:34" x14ac:dyDescent="0.35">
      <c r="A933" s="159"/>
      <c r="B933" s="34" t="s">
        <v>238</v>
      </c>
      <c r="C933" s="161"/>
      <c r="D933" s="864">
        <f>+D934</f>
        <v>848827700</v>
      </c>
      <c r="E933" s="864">
        <f>+E934</f>
        <v>960522200</v>
      </c>
      <c r="F933" s="865">
        <f t="shared" si="276"/>
        <v>859771200</v>
      </c>
      <c r="G933" s="865">
        <f t="shared" si="276"/>
        <v>859771200</v>
      </c>
      <c r="H933" s="864">
        <f t="shared" si="276"/>
        <v>0</v>
      </c>
      <c r="I933" s="864">
        <f t="shared" si="272"/>
        <v>859771200</v>
      </c>
      <c r="J933" s="864">
        <f t="shared" si="197"/>
        <v>100751000</v>
      </c>
      <c r="K933" s="52"/>
      <c r="L933" s="53"/>
      <c r="M933" s="854"/>
      <c r="N933" s="52"/>
      <c r="O933" s="855">
        <v>843718900</v>
      </c>
      <c r="P933" s="867"/>
      <c r="Q933" s="855">
        <f t="shared" si="273"/>
        <v>843718900</v>
      </c>
      <c r="R933" s="855">
        <v>827438829.15999997</v>
      </c>
      <c r="S933" s="855">
        <v>16280000</v>
      </c>
      <c r="T933" s="855"/>
      <c r="U933" s="52"/>
      <c r="V933" s="52"/>
      <c r="W933" s="52"/>
      <c r="X933" s="52"/>
      <c r="Y933" s="52"/>
      <c r="Z933" s="52"/>
      <c r="AA933" s="52"/>
      <c r="AB933" s="31"/>
      <c r="AC933" s="465"/>
      <c r="AD933" s="163"/>
      <c r="AE933" s="855"/>
      <c r="AF933" s="858"/>
    </row>
    <row r="934" spans="1:34" x14ac:dyDescent="0.35">
      <c r="A934" s="159"/>
      <c r="B934" s="34"/>
      <c r="C934" s="161" t="s">
        <v>239</v>
      </c>
      <c r="D934" s="864">
        <f>SUM(D935:D936)</f>
        <v>848827700</v>
      </c>
      <c r="E934" s="864">
        <f>SUM(E935:E936)</f>
        <v>960522200</v>
      </c>
      <c r="F934" s="865">
        <f t="shared" ref="F934:H934" si="278">SUM(F935:F936)</f>
        <v>859771200</v>
      </c>
      <c r="G934" s="865">
        <f t="shared" si="278"/>
        <v>859771200</v>
      </c>
      <c r="H934" s="864">
        <f t="shared" si="278"/>
        <v>0</v>
      </c>
      <c r="I934" s="864">
        <f t="shared" si="272"/>
        <v>859771200</v>
      </c>
      <c r="J934" s="864">
        <f t="shared" si="197"/>
        <v>100751000</v>
      </c>
      <c r="K934" s="52">
        <v>9124100</v>
      </c>
      <c r="L934" s="53">
        <v>13007367.949999999</v>
      </c>
      <c r="M934" s="854">
        <v>20233700</v>
      </c>
      <c r="N934" s="52">
        <v>19702800</v>
      </c>
      <c r="O934" s="855"/>
      <c r="P934" s="867"/>
      <c r="Q934" s="855">
        <f t="shared" si="273"/>
        <v>0</v>
      </c>
      <c r="R934" s="855"/>
      <c r="S934" s="855"/>
      <c r="T934" s="855">
        <f t="shared" ref="T934:T952" si="279">Q937-R937-S937</f>
        <v>1336223.1499999985</v>
      </c>
      <c r="U934" s="52">
        <v>20108000</v>
      </c>
      <c r="V934" s="52">
        <v>21314500</v>
      </c>
      <c r="W934" s="52">
        <v>22593400</v>
      </c>
      <c r="X934" s="52">
        <v>23949000</v>
      </c>
      <c r="Y934" s="52">
        <v>119745000</v>
      </c>
      <c r="Z934" s="52">
        <v>119745000</v>
      </c>
      <c r="AA934" s="52">
        <f t="shared" si="267"/>
        <v>71847000</v>
      </c>
      <c r="AB934" s="31">
        <v>14759100</v>
      </c>
      <c r="AC934" s="465">
        <v>0</v>
      </c>
      <c r="AD934" s="163">
        <v>14759100</v>
      </c>
      <c r="AE934" s="855">
        <v>14759100</v>
      </c>
      <c r="AF934" s="858"/>
    </row>
    <row r="935" spans="1:34" x14ac:dyDescent="0.35">
      <c r="A935" s="159"/>
      <c r="B935" s="34"/>
      <c r="C935" s="213" t="s">
        <v>332</v>
      </c>
      <c r="D935" s="861">
        <v>1634500</v>
      </c>
      <c r="E935" s="861">
        <v>3000000</v>
      </c>
      <c r="F935" s="862">
        <v>1260900</v>
      </c>
      <c r="G935" s="862">
        <v>1260900</v>
      </c>
      <c r="H935" s="861"/>
      <c r="I935" s="861">
        <f t="shared" si="272"/>
        <v>1260900</v>
      </c>
      <c r="J935" s="861">
        <f t="shared" si="197"/>
        <v>1739100</v>
      </c>
      <c r="K935" s="52"/>
      <c r="L935" s="53"/>
      <c r="M935" s="854"/>
      <c r="N935" s="52"/>
      <c r="O935" s="855"/>
      <c r="P935" s="867"/>
      <c r="Q935" s="855">
        <f t="shared" si="273"/>
        <v>0</v>
      </c>
      <c r="R935" s="855"/>
      <c r="S935" s="855"/>
      <c r="T935" s="855">
        <f t="shared" si="279"/>
        <v>78110.539999999106</v>
      </c>
      <c r="U935" s="52">
        <v>24000</v>
      </c>
      <c r="V935" s="52">
        <v>24000</v>
      </c>
      <c r="W935" s="52">
        <v>24000</v>
      </c>
      <c r="X935" s="52">
        <v>24000</v>
      </c>
      <c r="Y935" s="52">
        <v>120000</v>
      </c>
      <c r="Z935" s="52">
        <v>120000</v>
      </c>
      <c r="AA935" s="52">
        <f t="shared" si="267"/>
        <v>72000</v>
      </c>
      <c r="AB935" s="31"/>
      <c r="AC935" s="465"/>
      <c r="AD935" s="167"/>
      <c r="AE935" s="856"/>
      <c r="AF935" s="857"/>
    </row>
    <row r="936" spans="1:34" x14ac:dyDescent="0.35">
      <c r="A936" s="159"/>
      <c r="B936" s="34"/>
      <c r="C936" s="213" t="s">
        <v>333</v>
      </c>
      <c r="D936" s="861">
        <v>847193200</v>
      </c>
      <c r="E936" s="861">
        <v>957522200</v>
      </c>
      <c r="F936" s="862">
        <v>858510300</v>
      </c>
      <c r="G936" s="862">
        <v>858510300</v>
      </c>
      <c r="H936" s="861"/>
      <c r="I936" s="861">
        <f t="shared" si="272"/>
        <v>858510300</v>
      </c>
      <c r="J936" s="861">
        <f t="shared" ref="J936:J959" si="280">+E936-G936</f>
        <v>99011900</v>
      </c>
      <c r="K936" s="106">
        <v>2913000</v>
      </c>
      <c r="L936" s="107">
        <v>1716287.23</v>
      </c>
      <c r="M936" s="869">
        <v>3000000</v>
      </c>
      <c r="N936" s="106">
        <v>2263600</v>
      </c>
      <c r="O936" s="855"/>
      <c r="P936" s="867"/>
      <c r="Q936" s="855">
        <f t="shared" si="273"/>
        <v>0</v>
      </c>
      <c r="R936" s="855"/>
      <c r="S936" s="855"/>
      <c r="T936" s="870">
        <f t="shared" si="279"/>
        <v>1258112.6099999999</v>
      </c>
      <c r="U936" s="52">
        <v>3000000</v>
      </c>
      <c r="V936" s="52">
        <v>3000000</v>
      </c>
      <c r="W936" s="52">
        <v>3000000</v>
      </c>
      <c r="X936" s="52">
        <v>3000000</v>
      </c>
      <c r="Y936" s="52">
        <v>150000000</v>
      </c>
      <c r="Z936" s="52">
        <v>150000000</v>
      </c>
      <c r="AA936" s="52">
        <f t="shared" si="267"/>
        <v>9000000</v>
      </c>
      <c r="AB936" s="31">
        <v>1634500</v>
      </c>
      <c r="AC936" s="465">
        <v>0</v>
      </c>
      <c r="AD936" s="163">
        <v>1634500</v>
      </c>
      <c r="AE936" s="855">
        <v>1634500</v>
      </c>
      <c r="AF936" s="858"/>
    </row>
    <row r="937" spans="1:34" x14ac:dyDescent="0.35">
      <c r="A937" s="217" t="s">
        <v>240</v>
      </c>
      <c r="B937" s="34"/>
      <c r="C937" s="161"/>
      <c r="D937" s="864">
        <f>+D938</f>
        <v>14759100</v>
      </c>
      <c r="E937" s="864">
        <f>+E938</f>
        <v>17755500</v>
      </c>
      <c r="F937" s="865">
        <f t="shared" ref="F937:H938" si="281">+F938</f>
        <v>14058800</v>
      </c>
      <c r="G937" s="865">
        <f t="shared" si="281"/>
        <v>14058800</v>
      </c>
      <c r="H937" s="864">
        <f t="shared" si="281"/>
        <v>0</v>
      </c>
      <c r="I937" s="864">
        <f t="shared" si="272"/>
        <v>14058800</v>
      </c>
      <c r="J937" s="864">
        <f t="shared" si="280"/>
        <v>3696700</v>
      </c>
      <c r="K937" s="864">
        <f t="shared" ref="K937:N937" si="282">+K938</f>
        <v>897435100</v>
      </c>
      <c r="L937" s="864">
        <f t="shared" si="282"/>
        <v>880951258.34000003</v>
      </c>
      <c r="M937" s="864">
        <f t="shared" si="282"/>
        <v>1058990200</v>
      </c>
      <c r="N937" s="864">
        <f t="shared" si="282"/>
        <v>906070900</v>
      </c>
      <c r="O937" s="855">
        <f>+O938+O939</f>
        <v>21966400</v>
      </c>
      <c r="P937" s="855">
        <f t="shared" ref="P937:S937" si="283">+P938+P939</f>
        <v>0</v>
      </c>
      <c r="Q937" s="855">
        <f t="shared" si="273"/>
        <v>21966400</v>
      </c>
      <c r="R937" s="855">
        <f t="shared" si="283"/>
        <v>15130176.850000001</v>
      </c>
      <c r="S937" s="855">
        <f t="shared" si="283"/>
        <v>5500000</v>
      </c>
      <c r="T937" s="654">
        <f t="shared" si="279"/>
        <v>6862034.1999999285</v>
      </c>
      <c r="U937" s="584">
        <f>U938+U949</f>
        <v>1157687600</v>
      </c>
      <c r="V937" s="450">
        <f t="shared" ref="O937:AF940" si="284">V938+V949</f>
        <v>1181937200</v>
      </c>
      <c r="W937" s="450">
        <f t="shared" si="284"/>
        <v>1208069500</v>
      </c>
      <c r="X937" s="450">
        <f t="shared" si="284"/>
        <v>1236245500</v>
      </c>
      <c r="Y937" s="450">
        <f t="shared" si="284"/>
        <v>6181227500</v>
      </c>
      <c r="Z937" s="450">
        <f t="shared" si="284"/>
        <v>6181227500</v>
      </c>
      <c r="AA937" s="450">
        <f t="shared" si="284"/>
        <v>3708736500</v>
      </c>
      <c r="AB937" s="450">
        <f t="shared" si="284"/>
        <v>970770400</v>
      </c>
      <c r="AC937" s="450">
        <f t="shared" si="284"/>
        <v>0</v>
      </c>
      <c r="AD937" s="450">
        <f t="shared" si="284"/>
        <v>970770400</v>
      </c>
      <c r="AE937" s="450">
        <f t="shared" si="284"/>
        <v>970770400</v>
      </c>
      <c r="AF937" s="450">
        <f t="shared" si="284"/>
        <v>0</v>
      </c>
    </row>
    <row r="938" spans="1:34" x14ac:dyDescent="0.35">
      <c r="A938" s="159"/>
      <c r="B938" s="27" t="s">
        <v>241</v>
      </c>
      <c r="C938" s="166"/>
      <c r="D938" s="861">
        <f>+D939</f>
        <v>14759100</v>
      </c>
      <c r="E938" s="861">
        <f>+E939</f>
        <v>17755500</v>
      </c>
      <c r="F938" s="862">
        <f t="shared" si="281"/>
        <v>14058800</v>
      </c>
      <c r="G938" s="862">
        <f t="shared" si="281"/>
        <v>14058800</v>
      </c>
      <c r="H938" s="861"/>
      <c r="I938" s="861">
        <f t="shared" si="272"/>
        <v>14058800</v>
      </c>
      <c r="J938" s="861">
        <f t="shared" si="280"/>
        <v>3696700</v>
      </c>
      <c r="K938" s="169">
        <f t="shared" ref="K938:AF941" si="285">+K939+K940+K941+K942+K943+K946+K947+K948</f>
        <v>897435100</v>
      </c>
      <c r="L938" s="169">
        <f t="shared" si="285"/>
        <v>880951258.34000003</v>
      </c>
      <c r="M938" s="462">
        <f t="shared" si="285"/>
        <v>1058990200</v>
      </c>
      <c r="N938" s="169">
        <f t="shared" si="285"/>
        <v>906070900</v>
      </c>
      <c r="O938" s="855">
        <v>19702800</v>
      </c>
      <c r="P938" s="867"/>
      <c r="Q938" s="855">
        <f t="shared" si="273"/>
        <v>19702800</v>
      </c>
      <c r="R938" s="721">
        <v>14124689.460000001</v>
      </c>
      <c r="S938" s="855">
        <v>5500000</v>
      </c>
      <c r="T938" s="462">
        <f t="shared" si="279"/>
        <v>6566514.7799999714</v>
      </c>
      <c r="U938" s="501">
        <f>+U939+U940+U941+U942+U943+U946+U947+U948</f>
        <v>1050607000</v>
      </c>
      <c r="V938" s="462">
        <f t="shared" si="285"/>
        <v>1064151300</v>
      </c>
      <c r="W938" s="462">
        <f t="shared" si="285"/>
        <v>1078507700</v>
      </c>
      <c r="X938" s="462">
        <f t="shared" si="285"/>
        <v>1093730200</v>
      </c>
      <c r="Y938" s="462">
        <f t="shared" si="285"/>
        <v>5468651000</v>
      </c>
      <c r="Z938" s="462">
        <f t="shared" si="285"/>
        <v>5468651000</v>
      </c>
      <c r="AA938" s="462">
        <f t="shared" si="285"/>
        <v>3281190600</v>
      </c>
      <c r="AB938" s="462">
        <f t="shared" si="285"/>
        <v>873053200</v>
      </c>
      <c r="AC938" s="462">
        <f t="shared" si="285"/>
        <v>0</v>
      </c>
      <c r="AD938" s="462">
        <f t="shared" si="285"/>
        <v>873053200</v>
      </c>
      <c r="AE938" s="462">
        <f t="shared" si="285"/>
        <v>873053200</v>
      </c>
      <c r="AF938" s="462">
        <f t="shared" si="285"/>
        <v>0</v>
      </c>
    </row>
    <row r="939" spans="1:34" s="218" customFormat="1" x14ac:dyDescent="0.35">
      <c r="A939" s="308"/>
      <c r="B939" s="289"/>
      <c r="C939" s="309" t="s">
        <v>242</v>
      </c>
      <c r="D939" s="871">
        <v>14759100</v>
      </c>
      <c r="E939" s="871">
        <v>17755500</v>
      </c>
      <c r="F939" s="872">
        <v>14058800</v>
      </c>
      <c r="G939" s="872">
        <v>14058800</v>
      </c>
      <c r="H939" s="871"/>
      <c r="I939" s="871">
        <f t="shared" si="272"/>
        <v>14058800</v>
      </c>
      <c r="J939" s="871">
        <f t="shared" si="280"/>
        <v>3696700</v>
      </c>
      <c r="K939" s="169">
        <v>732000</v>
      </c>
      <c r="L939" s="228">
        <f>758256.24-19967.83</f>
        <v>738288.41</v>
      </c>
      <c r="M939" s="855">
        <v>684400</v>
      </c>
      <c r="N939" s="169">
        <v>684400</v>
      </c>
      <c r="O939" s="870">
        <v>2263600</v>
      </c>
      <c r="P939" s="873"/>
      <c r="Q939" s="870">
        <f t="shared" si="273"/>
        <v>2263600</v>
      </c>
      <c r="R939" s="870">
        <v>1005487.39</v>
      </c>
      <c r="S939" s="870"/>
      <c r="T939" s="462">
        <f t="shared" si="279"/>
        <v>-215106.62</v>
      </c>
      <c r="U939" s="52">
        <v>822000</v>
      </c>
      <c r="V939" s="52">
        <v>1066900</v>
      </c>
      <c r="W939" s="52">
        <v>1173600</v>
      </c>
      <c r="X939" s="52">
        <v>1291000</v>
      </c>
      <c r="Y939" s="52">
        <v>6455000</v>
      </c>
      <c r="Z939" s="52">
        <v>6455000</v>
      </c>
      <c r="AA939" s="52">
        <v>3873000</v>
      </c>
      <c r="AB939" s="54">
        <v>969900</v>
      </c>
      <c r="AC939" s="494">
        <v>0</v>
      </c>
      <c r="AD939" s="169">
        <v>969900</v>
      </c>
      <c r="AE939" s="462">
        <v>969900</v>
      </c>
      <c r="AF939" s="496"/>
      <c r="AG939" s="859"/>
      <c r="AH939" s="432"/>
    </row>
    <row r="940" spans="1:34" x14ac:dyDescent="0.35">
      <c r="A940" s="227" t="s">
        <v>4</v>
      </c>
      <c r="B940" s="240"/>
      <c r="C940" s="244"/>
      <c r="D940" s="874">
        <f>+D941+D954</f>
        <v>970770400</v>
      </c>
      <c r="E940" s="874">
        <f>+E941+E954</f>
        <v>1106304400</v>
      </c>
      <c r="F940" s="875">
        <v>942825200</v>
      </c>
      <c r="G940" s="875">
        <v>942825200</v>
      </c>
      <c r="H940" s="874">
        <f t="shared" ref="H940" si="286">+H941+H954</f>
        <v>0</v>
      </c>
      <c r="I940" s="874">
        <f t="shared" si="272"/>
        <v>942825200</v>
      </c>
      <c r="J940" s="874">
        <f t="shared" si="280"/>
        <v>163479200</v>
      </c>
      <c r="K940" s="222"/>
      <c r="L940" s="229"/>
      <c r="M940" s="856"/>
      <c r="N940" s="222"/>
      <c r="O940" s="654">
        <f t="shared" si="284"/>
        <v>1008256300</v>
      </c>
      <c r="P940" s="654">
        <f t="shared" si="284"/>
        <v>0</v>
      </c>
      <c r="Q940" s="654">
        <f t="shared" si="273"/>
        <v>1008256300</v>
      </c>
      <c r="R940" s="654">
        <f t="shared" si="284"/>
        <v>925157665.80000007</v>
      </c>
      <c r="S940" s="654">
        <f t="shared" si="284"/>
        <v>76236600</v>
      </c>
      <c r="T940" s="462">
        <f t="shared" si="279"/>
        <v>0</v>
      </c>
      <c r="U940" s="29">
        <v>147900</v>
      </c>
      <c r="V940" s="29"/>
      <c r="W940" s="29"/>
      <c r="X940" s="29"/>
      <c r="Y940" s="29"/>
      <c r="Z940" s="29"/>
      <c r="AA940" s="29"/>
      <c r="AB940" s="876">
        <v>0</v>
      </c>
      <c r="AC940" s="465">
        <v>0</v>
      </c>
      <c r="AD940" s="169">
        <v>0</v>
      </c>
      <c r="AE940" s="462">
        <v>0</v>
      </c>
      <c r="AF940" s="496"/>
    </row>
    <row r="941" spans="1:34" x14ac:dyDescent="0.35">
      <c r="A941" s="253"/>
      <c r="B941" s="146" t="s">
        <v>162</v>
      </c>
      <c r="C941" s="147"/>
      <c r="D941" s="463">
        <f>+D942+D946+D949</f>
        <v>873053200</v>
      </c>
      <c r="E941" s="463">
        <f>+E942+E946+E949</f>
        <v>999445900</v>
      </c>
      <c r="F941" s="464">
        <f t="shared" ref="F941:H941" si="287">+F942+F946+F949</f>
        <v>846227700</v>
      </c>
      <c r="G941" s="464">
        <f t="shared" si="287"/>
        <v>846227700</v>
      </c>
      <c r="H941" s="463">
        <f t="shared" si="287"/>
        <v>0</v>
      </c>
      <c r="I941" s="463">
        <f t="shared" si="272"/>
        <v>846227700</v>
      </c>
      <c r="J941" s="463">
        <f t="shared" si="280"/>
        <v>153218200</v>
      </c>
      <c r="K941" s="222">
        <v>42000</v>
      </c>
      <c r="L941" s="229">
        <v>14387.09</v>
      </c>
      <c r="M941" s="856">
        <v>18000</v>
      </c>
      <c r="N941" s="222">
        <v>42000</v>
      </c>
      <c r="O941" s="462">
        <f t="shared" si="285"/>
        <v>906070900</v>
      </c>
      <c r="P941" s="462">
        <f t="shared" si="285"/>
        <v>0</v>
      </c>
      <c r="Q941" s="462">
        <f t="shared" si="273"/>
        <v>906070900</v>
      </c>
      <c r="R941" s="462">
        <f t="shared" si="285"/>
        <v>833167785.22000003</v>
      </c>
      <c r="S941" s="462">
        <f t="shared" si="285"/>
        <v>66336600</v>
      </c>
      <c r="T941" s="462">
        <f t="shared" si="279"/>
        <v>24548.93</v>
      </c>
      <c r="U941" s="29">
        <v>42000</v>
      </c>
      <c r="V941" s="29">
        <v>42000</v>
      </c>
      <c r="W941" s="29">
        <v>42000</v>
      </c>
      <c r="X941" s="29">
        <v>42000</v>
      </c>
      <c r="Y941" s="29">
        <v>210000</v>
      </c>
      <c r="Z941" s="29">
        <v>210000</v>
      </c>
      <c r="AA941" s="29">
        <v>126000</v>
      </c>
      <c r="AB941" s="31">
        <v>42000</v>
      </c>
      <c r="AC941" s="465">
        <v>0</v>
      </c>
      <c r="AD941" s="169">
        <v>42000</v>
      </c>
      <c r="AE941" s="462">
        <v>42000</v>
      </c>
      <c r="AF941" s="496"/>
    </row>
    <row r="942" spans="1:34" x14ac:dyDescent="0.35">
      <c r="A942" s="168"/>
      <c r="B942" s="146"/>
      <c r="C942" s="147" t="s">
        <v>244</v>
      </c>
      <c r="D942" s="463">
        <f>SUM(D943:D945)</f>
        <v>664563000</v>
      </c>
      <c r="E942" s="463">
        <f>SUM(E943:E945)</f>
        <v>762243800</v>
      </c>
      <c r="F942" s="464">
        <f t="shared" ref="F942:H942" si="288">SUM(F943:F945)</f>
        <v>649237400</v>
      </c>
      <c r="G942" s="464">
        <f t="shared" si="288"/>
        <v>649237400</v>
      </c>
      <c r="H942" s="463">
        <f t="shared" si="288"/>
        <v>0</v>
      </c>
      <c r="I942" s="463">
        <f t="shared" si="272"/>
        <v>649237400</v>
      </c>
      <c r="J942" s="463">
        <f t="shared" si="280"/>
        <v>113006400</v>
      </c>
      <c r="K942" s="222">
        <v>529800</v>
      </c>
      <c r="L942" s="229">
        <v>366743.34</v>
      </c>
      <c r="M942" s="856">
        <v>528000</v>
      </c>
      <c r="N942" s="222">
        <v>528000</v>
      </c>
      <c r="O942" s="462">
        <v>684400</v>
      </c>
      <c r="P942" s="495"/>
      <c r="Q942" s="462">
        <f t="shared" si="273"/>
        <v>684400</v>
      </c>
      <c r="R942" s="462">
        <v>899506.62</v>
      </c>
      <c r="S942" s="462"/>
      <c r="T942" s="462">
        <f t="shared" si="279"/>
        <v>280541.94</v>
      </c>
      <c r="U942" s="29">
        <v>528000</v>
      </c>
      <c r="V942" s="29">
        <v>528000</v>
      </c>
      <c r="W942" s="29">
        <v>528000</v>
      </c>
      <c r="X942" s="29">
        <v>528000</v>
      </c>
      <c r="Y942" s="29">
        <v>2640000</v>
      </c>
      <c r="Z942" s="29">
        <v>2640000</v>
      </c>
      <c r="AA942" s="29">
        <v>1584000</v>
      </c>
      <c r="AB942" s="31">
        <v>336000</v>
      </c>
      <c r="AC942" s="465">
        <v>0</v>
      </c>
      <c r="AD942" s="169">
        <v>336000</v>
      </c>
      <c r="AE942" s="462">
        <v>336000</v>
      </c>
      <c r="AF942" s="496"/>
    </row>
    <row r="943" spans="1:34" s="218" customFormat="1" x14ac:dyDescent="0.35">
      <c r="A943" s="168"/>
      <c r="B943" s="170"/>
      <c r="C943" s="221" t="s">
        <v>245</v>
      </c>
      <c r="D943" s="469">
        <v>240000</v>
      </c>
      <c r="E943" s="469">
        <v>210000</v>
      </c>
      <c r="F943" s="470">
        <v>210000</v>
      </c>
      <c r="G943" s="470">
        <v>210000</v>
      </c>
      <c r="H943" s="469"/>
      <c r="I943" s="469">
        <f t="shared" si="272"/>
        <v>210000</v>
      </c>
      <c r="J943" s="469">
        <f t="shared" si="280"/>
        <v>0</v>
      </c>
      <c r="K943" s="169">
        <v>707142700</v>
      </c>
      <c r="L943" s="228">
        <f>671101275.95-594624</f>
        <v>670506651.95000005</v>
      </c>
      <c r="M943" s="855">
        <v>810611300</v>
      </c>
      <c r="N943" s="169">
        <v>714714800</v>
      </c>
      <c r="O943" s="462"/>
      <c r="P943" s="495"/>
      <c r="Q943" s="462">
        <f t="shared" si="273"/>
        <v>0</v>
      </c>
      <c r="R943" s="462"/>
      <c r="S943" s="462"/>
      <c r="T943" s="462">
        <f t="shared" si="279"/>
        <v>15726443.2299999</v>
      </c>
      <c r="U943" s="52">
        <f>SUM(U944:U945)</f>
        <v>806121900</v>
      </c>
      <c r="V943" s="52">
        <v>806121900</v>
      </c>
      <c r="W943" s="52">
        <v>806121900</v>
      </c>
      <c r="X943" s="52">
        <v>806121900</v>
      </c>
      <c r="Y943" s="52">
        <v>4030609500</v>
      </c>
      <c r="Z943" s="52">
        <v>4030609500</v>
      </c>
      <c r="AA943" s="52">
        <v>2418365700</v>
      </c>
      <c r="AB943" s="52">
        <f>SUM(AB944:AB945)</f>
        <v>664227000</v>
      </c>
      <c r="AC943" s="494">
        <v>0</v>
      </c>
      <c r="AD943" s="169">
        <v>664227000</v>
      </c>
      <c r="AE943" s="462">
        <v>664227000</v>
      </c>
      <c r="AF943" s="496"/>
      <c r="AG943" s="859"/>
      <c r="AH943" s="432"/>
    </row>
    <row r="944" spans="1:34" x14ac:dyDescent="0.35">
      <c r="A944" s="168"/>
      <c r="B944" s="170"/>
      <c r="C944" s="221" t="s">
        <v>246</v>
      </c>
      <c r="D944" s="469">
        <v>96000</v>
      </c>
      <c r="E944" s="469">
        <v>288000</v>
      </c>
      <c r="F944" s="470">
        <v>72000</v>
      </c>
      <c r="G944" s="470">
        <v>72000</v>
      </c>
      <c r="H944" s="469"/>
      <c r="I944" s="469">
        <f t="shared" si="272"/>
        <v>72000</v>
      </c>
      <c r="J944" s="469">
        <f t="shared" si="280"/>
        <v>216000</v>
      </c>
      <c r="K944" s="222">
        <v>117495400</v>
      </c>
      <c r="L944" s="229"/>
      <c r="M944" s="856"/>
      <c r="N944" s="222"/>
      <c r="O944" s="462">
        <v>42000</v>
      </c>
      <c r="P944" s="495"/>
      <c r="Q944" s="462">
        <f t="shared" si="273"/>
        <v>42000</v>
      </c>
      <c r="R944" s="462">
        <v>17451.07</v>
      </c>
      <c r="S944" s="462"/>
      <c r="T944" s="466">
        <f t="shared" si="279"/>
        <v>0</v>
      </c>
      <c r="U944" s="29">
        <v>273939600</v>
      </c>
      <c r="V944" s="29"/>
      <c r="W944" s="29"/>
      <c r="X944" s="29"/>
      <c r="Y944" s="29">
        <v>952226000</v>
      </c>
      <c r="Z944" s="29"/>
      <c r="AA944" s="29">
        <v>571335600</v>
      </c>
      <c r="AB944" s="31">
        <v>195237500</v>
      </c>
      <c r="AC944" s="465">
        <v>0</v>
      </c>
      <c r="AD944" s="169">
        <v>195237500</v>
      </c>
      <c r="AE944" s="466">
        <v>195237500</v>
      </c>
      <c r="AF944" s="496"/>
    </row>
    <row r="945" spans="1:34" x14ac:dyDescent="0.35">
      <c r="A945" s="168"/>
      <c r="B945" s="170"/>
      <c r="C945" s="221" t="s">
        <v>247</v>
      </c>
      <c r="D945" s="469">
        <v>664227000</v>
      </c>
      <c r="E945" s="469">
        <v>761745800</v>
      </c>
      <c r="F945" s="470">
        <v>648955400</v>
      </c>
      <c r="G945" s="470">
        <v>648955400</v>
      </c>
      <c r="H945" s="469"/>
      <c r="I945" s="469">
        <f t="shared" si="272"/>
        <v>648955400</v>
      </c>
      <c r="J945" s="469">
        <f t="shared" si="280"/>
        <v>112790400</v>
      </c>
      <c r="K945" s="222">
        <v>589647300</v>
      </c>
      <c r="L945" s="229"/>
      <c r="M945" s="856"/>
      <c r="N945" s="222"/>
      <c r="O945" s="462">
        <v>528000</v>
      </c>
      <c r="P945" s="495"/>
      <c r="Q945" s="462">
        <f t="shared" si="273"/>
        <v>528000</v>
      </c>
      <c r="R945" s="462">
        <v>247458.06</v>
      </c>
      <c r="S945" s="462"/>
      <c r="T945" s="466">
        <f t="shared" si="279"/>
        <v>553885400</v>
      </c>
      <c r="U945" s="29">
        <v>532182300</v>
      </c>
      <c r="V945" s="29">
        <v>532182300</v>
      </c>
      <c r="W945" s="29"/>
      <c r="X945" s="29"/>
      <c r="Y945" s="29">
        <v>2660911500</v>
      </c>
      <c r="Z945" s="29">
        <v>2660911500</v>
      </c>
      <c r="AA945" s="29">
        <v>1596546900</v>
      </c>
      <c r="AB945" s="31">
        <v>468989500</v>
      </c>
      <c r="AC945" s="465">
        <v>0</v>
      </c>
      <c r="AD945" s="169">
        <v>468989500</v>
      </c>
      <c r="AE945" s="466">
        <v>468989500</v>
      </c>
      <c r="AF945" s="496"/>
    </row>
    <row r="946" spans="1:34" s="218" customFormat="1" x14ac:dyDescent="0.35">
      <c r="A946" s="168"/>
      <c r="B946" s="146"/>
      <c r="C946" s="147" t="s">
        <v>248</v>
      </c>
      <c r="D946" s="463">
        <f>SUM(D947:D948)</f>
        <v>969900</v>
      </c>
      <c r="E946" s="463">
        <f>SUM(E947:E948)</f>
        <v>1052400</v>
      </c>
      <c r="F946" s="464">
        <f t="shared" ref="F946:H946" si="289">SUM(F947:F948)</f>
        <v>1052200</v>
      </c>
      <c r="G946" s="464">
        <f t="shared" si="289"/>
        <v>1052200</v>
      </c>
      <c r="H946" s="463">
        <f t="shared" si="289"/>
        <v>0</v>
      </c>
      <c r="I946" s="463">
        <f t="shared" si="272"/>
        <v>1052200</v>
      </c>
      <c r="J946" s="463">
        <f t="shared" si="280"/>
        <v>200</v>
      </c>
      <c r="K946" s="169">
        <v>163988600</v>
      </c>
      <c r="L946" s="228">
        <v>163988592.38</v>
      </c>
      <c r="M946" s="855">
        <v>200352000</v>
      </c>
      <c r="N946" s="169">
        <v>159244700</v>
      </c>
      <c r="O946" s="462">
        <v>714714800</v>
      </c>
      <c r="P946" s="495"/>
      <c r="Q946" s="462">
        <f t="shared" si="273"/>
        <v>714714800</v>
      </c>
      <c r="R946" s="462">
        <v>632651756.7700001</v>
      </c>
      <c r="S946" s="462">
        <v>66336600</v>
      </c>
      <c r="T946" s="462">
        <f t="shared" si="279"/>
        <v>-4999912.6999999881</v>
      </c>
      <c r="U946" s="52">
        <v>190445200</v>
      </c>
      <c r="V946" s="52">
        <v>199967500</v>
      </c>
      <c r="W946" s="52">
        <v>209965900</v>
      </c>
      <c r="X946" s="52">
        <v>220464200</v>
      </c>
      <c r="Y946" s="52">
        <v>1102321000</v>
      </c>
      <c r="Z946" s="52">
        <v>1102321000</v>
      </c>
      <c r="AA946" s="52">
        <v>661392600</v>
      </c>
      <c r="AB946" s="54">
        <v>169285600</v>
      </c>
      <c r="AC946" s="494">
        <v>0</v>
      </c>
      <c r="AD946" s="169">
        <v>169285600</v>
      </c>
      <c r="AE946" s="462">
        <v>169285600</v>
      </c>
      <c r="AF946" s="496"/>
      <c r="AG946" s="859"/>
      <c r="AH946" s="432"/>
    </row>
    <row r="947" spans="1:34" x14ac:dyDescent="0.35">
      <c r="A947" s="168"/>
      <c r="B947" s="170"/>
      <c r="C947" s="221" t="s">
        <v>249</v>
      </c>
      <c r="D947" s="469">
        <v>969900</v>
      </c>
      <c r="E947" s="469">
        <v>830400</v>
      </c>
      <c r="F947" s="470">
        <v>830200</v>
      </c>
      <c r="G947" s="470">
        <v>830200</v>
      </c>
      <c r="H947" s="469"/>
      <c r="I947" s="469">
        <f t="shared" si="272"/>
        <v>830200</v>
      </c>
      <c r="J947" s="469">
        <f t="shared" si="280"/>
        <v>200</v>
      </c>
      <c r="K947" s="222">
        <v>10000000</v>
      </c>
      <c r="L947" s="229">
        <v>21985741.879999999</v>
      </c>
      <c r="M947" s="856">
        <v>26499500</v>
      </c>
      <c r="N947" s="222">
        <v>14848000</v>
      </c>
      <c r="O947" s="466"/>
      <c r="P947" s="467"/>
      <c r="Q947" s="466">
        <f t="shared" si="273"/>
        <v>0</v>
      </c>
      <c r="R947" s="466"/>
      <c r="S947" s="466"/>
      <c r="T947" s="462">
        <f t="shared" si="279"/>
        <v>-2250000</v>
      </c>
      <c r="U947" s="29">
        <v>26500000</v>
      </c>
      <c r="V947" s="29">
        <v>27825000</v>
      </c>
      <c r="W947" s="29">
        <v>29216300</v>
      </c>
      <c r="X947" s="29">
        <v>30677100</v>
      </c>
      <c r="Y947" s="29">
        <v>153385500</v>
      </c>
      <c r="Z947" s="29">
        <v>153385500</v>
      </c>
      <c r="AA947" s="29">
        <v>92031300</v>
      </c>
      <c r="AB947" s="31">
        <v>18863300</v>
      </c>
      <c r="AC947" s="465">
        <v>0</v>
      </c>
      <c r="AD947" s="169">
        <v>18863300</v>
      </c>
      <c r="AE947" s="462">
        <v>18863300</v>
      </c>
      <c r="AF947" s="496"/>
    </row>
    <row r="948" spans="1:34" x14ac:dyDescent="0.35">
      <c r="A948" s="168"/>
      <c r="B948" s="170"/>
      <c r="C948" s="221" t="s">
        <v>250</v>
      </c>
      <c r="D948" s="469">
        <v>0</v>
      </c>
      <c r="E948" s="469">
        <v>222000</v>
      </c>
      <c r="F948" s="470">
        <v>222000</v>
      </c>
      <c r="G948" s="470">
        <v>222000</v>
      </c>
      <c r="H948" s="469"/>
      <c r="I948" s="469">
        <f t="shared" si="272"/>
        <v>222000</v>
      </c>
      <c r="J948" s="469">
        <f t="shared" si="280"/>
        <v>0</v>
      </c>
      <c r="K948" s="222">
        <v>15000000</v>
      </c>
      <c r="L948" s="229">
        <v>23350853.289999999</v>
      </c>
      <c r="M948" s="856">
        <v>20297000</v>
      </c>
      <c r="N948" s="222">
        <v>16009000</v>
      </c>
      <c r="O948" s="466">
        <v>553885400</v>
      </c>
      <c r="P948" s="467"/>
      <c r="Q948" s="466">
        <f t="shared" si="273"/>
        <v>553885400</v>
      </c>
      <c r="R948" s="466"/>
      <c r="S948" s="466"/>
      <c r="T948" s="462">
        <f t="shared" si="279"/>
        <v>-2000000</v>
      </c>
      <c r="U948" s="29">
        <v>26000000</v>
      </c>
      <c r="V948" s="29">
        <v>28600000</v>
      </c>
      <c r="W948" s="29">
        <v>31460000</v>
      </c>
      <c r="X948" s="29">
        <v>34606000</v>
      </c>
      <c r="Y948" s="29">
        <v>173030000</v>
      </c>
      <c r="Z948" s="29">
        <v>173030000</v>
      </c>
      <c r="AA948" s="29">
        <v>103818000</v>
      </c>
      <c r="AB948" s="31">
        <v>19329400</v>
      </c>
      <c r="AC948" s="465">
        <v>0</v>
      </c>
      <c r="AD948" s="169">
        <v>19329400</v>
      </c>
      <c r="AE948" s="462">
        <v>19329400</v>
      </c>
      <c r="AF948" s="496"/>
    </row>
    <row r="949" spans="1:34" ht="22.5" customHeight="1" x14ac:dyDescent="0.35">
      <c r="A949" s="168"/>
      <c r="B949" s="146"/>
      <c r="C949" s="161" t="s">
        <v>251</v>
      </c>
      <c r="D949" s="463">
        <f>SUM(D950:D953)</f>
        <v>207520300</v>
      </c>
      <c r="E949" s="463">
        <f>SUM(E950:E953)</f>
        <v>236149700</v>
      </c>
      <c r="F949" s="464">
        <f t="shared" ref="F949:H949" si="290">SUM(F950:F953)</f>
        <v>195938100</v>
      </c>
      <c r="G949" s="464">
        <f t="shared" si="290"/>
        <v>195938100</v>
      </c>
      <c r="H949" s="463">
        <f t="shared" si="290"/>
        <v>0</v>
      </c>
      <c r="I949" s="463">
        <f>+G949-H949</f>
        <v>195938100</v>
      </c>
      <c r="J949" s="463">
        <f t="shared" si="280"/>
        <v>40211600</v>
      </c>
      <c r="K949" s="169">
        <v>97224200</v>
      </c>
      <c r="L949" s="228">
        <v>97224153.329999998</v>
      </c>
      <c r="M949" s="855">
        <f t="shared" ref="M949:AF952" si="291">SUM(M950:M952)</f>
        <v>244495000</v>
      </c>
      <c r="N949" s="230">
        <f t="shared" si="291"/>
        <v>203803000</v>
      </c>
      <c r="O949" s="462">
        <v>159244700</v>
      </c>
      <c r="P949" s="495"/>
      <c r="Q949" s="462">
        <f t="shared" si="273"/>
        <v>159244700</v>
      </c>
      <c r="R949" s="462">
        <v>164244612.69999999</v>
      </c>
      <c r="S949" s="462"/>
      <c r="T949" s="462">
        <f t="shared" si="279"/>
        <v>295519.41999998689</v>
      </c>
      <c r="U949" s="501">
        <f>SUM(U950:U952)</f>
        <v>107080600</v>
      </c>
      <c r="V949" s="462">
        <f t="shared" si="291"/>
        <v>117785900</v>
      </c>
      <c r="W949" s="462">
        <f t="shared" si="291"/>
        <v>129561800</v>
      </c>
      <c r="X949" s="462">
        <f t="shared" si="291"/>
        <v>142515300</v>
      </c>
      <c r="Y949" s="462">
        <f t="shared" si="291"/>
        <v>712576500</v>
      </c>
      <c r="Z949" s="462">
        <f t="shared" si="291"/>
        <v>712576500</v>
      </c>
      <c r="AA949" s="462">
        <f t="shared" si="291"/>
        <v>427545900</v>
      </c>
      <c r="AB949" s="462">
        <f t="shared" si="291"/>
        <v>97717200</v>
      </c>
      <c r="AC949" s="462">
        <f t="shared" si="291"/>
        <v>0</v>
      </c>
      <c r="AD949" s="462">
        <f t="shared" si="291"/>
        <v>97717200</v>
      </c>
      <c r="AE949" s="462">
        <f t="shared" si="291"/>
        <v>97717200</v>
      </c>
      <c r="AF949" s="462">
        <f t="shared" si="291"/>
        <v>0</v>
      </c>
    </row>
    <row r="950" spans="1:34" s="4" customFormat="1" ht="22.5" customHeight="1" x14ac:dyDescent="0.2">
      <c r="A950" s="316"/>
      <c r="B950" s="317"/>
      <c r="C950" s="318" t="s">
        <v>252</v>
      </c>
      <c r="D950" s="877">
        <v>42000</v>
      </c>
      <c r="E950" s="877">
        <v>18000</v>
      </c>
      <c r="F950" s="470">
        <v>12000</v>
      </c>
      <c r="G950" s="470">
        <v>12000</v>
      </c>
      <c r="H950" s="877"/>
      <c r="I950" s="877">
        <f t="shared" si="272"/>
        <v>12000</v>
      </c>
      <c r="J950" s="877">
        <f t="shared" si="280"/>
        <v>6000</v>
      </c>
      <c r="K950" s="319"/>
      <c r="L950" s="320"/>
      <c r="M950" s="862">
        <v>495000</v>
      </c>
      <c r="N950" s="319">
        <v>513000</v>
      </c>
      <c r="O950" s="464">
        <v>14848000</v>
      </c>
      <c r="P950" s="878"/>
      <c r="Q950" s="464">
        <f t="shared" si="273"/>
        <v>14848000</v>
      </c>
      <c r="R950" s="464">
        <v>17098000</v>
      </c>
      <c r="S950" s="464"/>
      <c r="T950" s="470">
        <f t="shared" si="279"/>
        <v>94074</v>
      </c>
      <c r="U950" s="321">
        <v>468000</v>
      </c>
      <c r="V950" s="321">
        <v>514800</v>
      </c>
      <c r="W950" s="321">
        <v>566300</v>
      </c>
      <c r="X950" s="321">
        <v>623000</v>
      </c>
      <c r="Y950" s="321">
        <v>3115000</v>
      </c>
      <c r="Z950" s="321">
        <v>3115000</v>
      </c>
      <c r="AA950" s="321">
        <v>1869000</v>
      </c>
      <c r="AB950" s="322">
        <v>468000</v>
      </c>
      <c r="AC950" s="879">
        <v>0</v>
      </c>
      <c r="AD950" s="323">
        <v>468000</v>
      </c>
      <c r="AE950" s="470">
        <v>468000</v>
      </c>
      <c r="AF950" s="880"/>
      <c r="AG950" s="436"/>
      <c r="AH950" s="436"/>
    </row>
    <row r="951" spans="1:34" ht="22.5" customHeight="1" x14ac:dyDescent="0.35">
      <c r="A951" s="168"/>
      <c r="B951" s="170"/>
      <c r="C951" s="219" t="s">
        <v>253</v>
      </c>
      <c r="D951" s="469">
        <v>169285600</v>
      </c>
      <c r="E951" s="469">
        <v>197131700</v>
      </c>
      <c r="F951" s="470">
        <v>157803100</v>
      </c>
      <c r="G951" s="470">
        <v>157803100</v>
      </c>
      <c r="H951" s="469"/>
      <c r="I951" s="469">
        <f t="shared" si="272"/>
        <v>157803100</v>
      </c>
      <c r="J951" s="469">
        <f t="shared" si="280"/>
        <v>39328600</v>
      </c>
      <c r="K951" s="222"/>
      <c r="L951" s="229"/>
      <c r="M951" s="856">
        <v>122000000</v>
      </c>
      <c r="N951" s="222">
        <v>101645000</v>
      </c>
      <c r="O951" s="462">
        <v>16009000</v>
      </c>
      <c r="P951" s="495"/>
      <c r="Q951" s="462">
        <f t="shared" si="273"/>
        <v>16009000</v>
      </c>
      <c r="R951" s="462">
        <v>18009000</v>
      </c>
      <c r="S951" s="462"/>
      <c r="T951" s="466">
        <f t="shared" si="279"/>
        <v>191239.07999998331</v>
      </c>
      <c r="U951" s="29">
        <v>106584900</v>
      </c>
      <c r="V951" s="29">
        <v>117243400</v>
      </c>
      <c r="W951" s="29">
        <v>128967800</v>
      </c>
      <c r="X951" s="29">
        <v>141864600</v>
      </c>
      <c r="Y951" s="29">
        <v>709323000</v>
      </c>
      <c r="Z951" s="29">
        <v>709323000</v>
      </c>
      <c r="AA951" s="29">
        <v>425593800</v>
      </c>
      <c r="AB951" s="31">
        <v>97224200</v>
      </c>
      <c r="AC951" s="465">
        <v>0</v>
      </c>
      <c r="AD951" s="169">
        <v>97224200</v>
      </c>
      <c r="AE951" s="466">
        <v>97224200</v>
      </c>
      <c r="AF951" s="468"/>
    </row>
    <row r="952" spans="1:34" s="218" customFormat="1" ht="22.5" customHeight="1" x14ac:dyDescent="0.35">
      <c r="A952" s="168"/>
      <c r="B952" s="146"/>
      <c r="C952" s="221" t="s">
        <v>254</v>
      </c>
      <c r="D952" s="469">
        <v>18863300</v>
      </c>
      <c r="E952" s="469">
        <v>19000000</v>
      </c>
      <c r="F952" s="470">
        <v>19000000</v>
      </c>
      <c r="G952" s="470">
        <v>19000000</v>
      </c>
      <c r="H952" s="469"/>
      <c r="I952" s="469">
        <f t="shared" si="272"/>
        <v>19000000</v>
      </c>
      <c r="J952" s="469">
        <f t="shared" si="280"/>
        <v>0</v>
      </c>
      <c r="K952" s="169"/>
      <c r="L952" s="228"/>
      <c r="M952" s="855">
        <v>122000000</v>
      </c>
      <c r="N952" s="169">
        <v>101645000</v>
      </c>
      <c r="O952" s="462">
        <f t="shared" si="291"/>
        <v>102185400</v>
      </c>
      <c r="P952" s="462">
        <f t="shared" si="291"/>
        <v>0</v>
      </c>
      <c r="Q952" s="462">
        <f t="shared" si="273"/>
        <v>102185400</v>
      </c>
      <c r="R952" s="462">
        <f t="shared" si="291"/>
        <v>91989880.580000013</v>
      </c>
      <c r="S952" s="462">
        <f t="shared" si="291"/>
        <v>9900000</v>
      </c>
      <c r="T952" s="462">
        <f t="shared" si="279"/>
        <v>10206.34</v>
      </c>
      <c r="U952" s="223">
        <v>27700</v>
      </c>
      <c r="V952" s="223">
        <v>27700</v>
      </c>
      <c r="W952" s="223">
        <v>27700</v>
      </c>
      <c r="X952" s="223">
        <v>27700</v>
      </c>
      <c r="Y952" s="223">
        <v>138500</v>
      </c>
      <c r="Z952" s="223">
        <v>138500</v>
      </c>
      <c r="AA952" s="223">
        <v>83100</v>
      </c>
      <c r="AB952" s="102">
        <v>25000</v>
      </c>
      <c r="AC952" s="881">
        <v>0</v>
      </c>
      <c r="AD952" s="171">
        <v>25000</v>
      </c>
      <c r="AE952" s="882">
        <v>25000</v>
      </c>
      <c r="AF952" s="883"/>
      <c r="AG952" s="859"/>
      <c r="AH952" s="432"/>
    </row>
    <row r="953" spans="1:34" ht="22.5" customHeight="1" x14ac:dyDescent="0.35">
      <c r="A953" s="168"/>
      <c r="B953" s="170"/>
      <c r="C953" s="221" t="s">
        <v>255</v>
      </c>
      <c r="D953" s="469">
        <v>19329400</v>
      </c>
      <c r="E953" s="469">
        <v>20000000</v>
      </c>
      <c r="F953" s="470">
        <v>19123000</v>
      </c>
      <c r="G953" s="470">
        <v>19123000</v>
      </c>
      <c r="H953" s="469"/>
      <c r="I953" s="469">
        <f t="shared" si="272"/>
        <v>19123000</v>
      </c>
      <c r="J953" s="469">
        <f t="shared" si="280"/>
        <v>877000</v>
      </c>
      <c r="K953" s="231"/>
      <c r="L953" s="232"/>
      <c r="M953" s="722"/>
      <c r="N953" s="233"/>
      <c r="O953" s="466">
        <v>513000</v>
      </c>
      <c r="P953" s="467"/>
      <c r="Q953" s="466">
        <f t="shared" si="273"/>
        <v>513000</v>
      </c>
      <c r="R953" s="466">
        <v>418926</v>
      </c>
      <c r="S953" s="466"/>
      <c r="T953" s="722"/>
    </row>
    <row r="954" spans="1:34" ht="22.5" customHeight="1" x14ac:dyDescent="0.35">
      <c r="A954" s="252"/>
      <c r="B954" s="146" t="s">
        <v>163</v>
      </c>
      <c r="C954" s="245"/>
      <c r="D954" s="463">
        <f>+D955+D958</f>
        <v>97717200</v>
      </c>
      <c r="E954" s="463">
        <f>+E955+E958</f>
        <v>106858500</v>
      </c>
      <c r="F954" s="464">
        <f t="shared" ref="F954:H954" si="292">+F955+F958</f>
        <v>96597500</v>
      </c>
      <c r="G954" s="464">
        <f t="shared" si="292"/>
        <v>96597500</v>
      </c>
      <c r="H954" s="463">
        <f t="shared" si="292"/>
        <v>0</v>
      </c>
      <c r="I954" s="463">
        <f t="shared" si="272"/>
        <v>96597500</v>
      </c>
      <c r="J954" s="463">
        <f t="shared" si="280"/>
        <v>10261000</v>
      </c>
      <c r="K954" s="231"/>
      <c r="L954" s="232"/>
      <c r="M954" s="722"/>
      <c r="N954" s="233"/>
      <c r="O954" s="466">
        <v>101645000</v>
      </c>
      <c r="P954" s="467"/>
      <c r="Q954" s="466">
        <f t="shared" si="273"/>
        <v>101645000</v>
      </c>
      <c r="R954" s="466">
        <v>91553760.920000017</v>
      </c>
      <c r="S954" s="466">
        <v>9900000</v>
      </c>
      <c r="T954" s="722"/>
    </row>
    <row r="955" spans="1:34" s="218" customFormat="1" ht="22.5" customHeight="1" x14ac:dyDescent="0.35">
      <c r="A955" s="168"/>
      <c r="B955" s="146"/>
      <c r="C955" s="147" t="s">
        <v>256</v>
      </c>
      <c r="D955" s="463">
        <f>SUM(D956:D957)</f>
        <v>97692200</v>
      </c>
      <c r="E955" s="463">
        <f>SUM(E956:E957)</f>
        <v>106825500</v>
      </c>
      <c r="F955" s="464">
        <f t="shared" ref="F955:H955" si="293">SUM(F956:F957)</f>
        <v>96574200</v>
      </c>
      <c r="G955" s="464">
        <f t="shared" si="293"/>
        <v>96574200</v>
      </c>
      <c r="H955" s="463">
        <f t="shared" si="293"/>
        <v>0</v>
      </c>
      <c r="I955" s="463">
        <f t="shared" si="272"/>
        <v>96574200</v>
      </c>
      <c r="J955" s="463">
        <f t="shared" si="280"/>
        <v>10251300</v>
      </c>
      <c r="K955" s="234"/>
      <c r="L955" s="235"/>
      <c r="M955" s="884"/>
      <c r="N955" s="236"/>
      <c r="O955" s="462">
        <v>27400</v>
      </c>
      <c r="P955" s="495"/>
      <c r="Q955" s="462">
        <f t="shared" si="273"/>
        <v>27400</v>
      </c>
      <c r="R955" s="462">
        <v>17193.66</v>
      </c>
      <c r="S955" s="462"/>
      <c r="T955" s="884"/>
      <c r="U955" s="224"/>
      <c r="V955" s="225"/>
      <c r="AB955" s="226"/>
      <c r="AC955" s="719"/>
      <c r="AD955" s="226"/>
      <c r="AE955" s="719"/>
      <c r="AF955" s="719"/>
      <c r="AG955" s="859"/>
      <c r="AH955" s="432"/>
    </row>
    <row r="956" spans="1:34" ht="22.5" customHeight="1" x14ac:dyDescent="0.35">
      <c r="A956" s="241"/>
      <c r="B956" s="249"/>
      <c r="C956" s="246" t="s">
        <v>257</v>
      </c>
      <c r="D956" s="885">
        <v>468000</v>
      </c>
      <c r="E956" s="885">
        <v>540000</v>
      </c>
      <c r="F956" s="470">
        <v>451500</v>
      </c>
      <c r="G956" s="470">
        <v>451500</v>
      </c>
      <c r="H956" s="885"/>
      <c r="I956" s="885">
        <f t="shared" si="272"/>
        <v>451500</v>
      </c>
      <c r="J956" s="885">
        <f t="shared" si="280"/>
        <v>88500</v>
      </c>
      <c r="K956" s="237"/>
      <c r="L956" s="238"/>
      <c r="M956" s="886"/>
      <c r="N956" s="239"/>
      <c r="O956" s="722"/>
      <c r="P956" s="887"/>
      <c r="Q956" s="722">
        <f t="shared" si="273"/>
        <v>0</v>
      </c>
      <c r="R956" s="722"/>
      <c r="S956" s="722"/>
      <c r="T956" s="886"/>
    </row>
    <row r="957" spans="1:34" ht="22.5" customHeight="1" x14ac:dyDescent="0.35">
      <c r="A957" s="241"/>
      <c r="B957" s="249"/>
      <c r="C957" s="246" t="s">
        <v>258</v>
      </c>
      <c r="D957" s="885">
        <v>97224200</v>
      </c>
      <c r="E957" s="885">
        <v>106285500</v>
      </c>
      <c r="F957" s="470">
        <v>96122700</v>
      </c>
      <c r="G957" s="470">
        <v>96122700</v>
      </c>
      <c r="H957" s="885"/>
      <c r="I957" s="885">
        <f t="shared" si="272"/>
        <v>96122700</v>
      </c>
      <c r="J957" s="885">
        <f t="shared" si="280"/>
        <v>10162800</v>
      </c>
      <c r="O957" s="722"/>
      <c r="P957" s="887"/>
      <c r="Q957" s="722">
        <f t="shared" si="273"/>
        <v>0</v>
      </c>
      <c r="R957" s="722"/>
      <c r="S957" s="722"/>
    </row>
    <row r="958" spans="1:34" x14ac:dyDescent="0.35">
      <c r="A958" s="242"/>
      <c r="B958" s="250"/>
      <c r="C958" s="247" t="s">
        <v>259</v>
      </c>
      <c r="D958" s="888">
        <f>+D959</f>
        <v>25000</v>
      </c>
      <c r="E958" s="888">
        <f>+E959</f>
        <v>33000</v>
      </c>
      <c r="F958" s="464">
        <f t="shared" ref="F958:H958" si="294">+F959</f>
        <v>23300</v>
      </c>
      <c r="G958" s="464">
        <f t="shared" si="294"/>
        <v>23300</v>
      </c>
      <c r="H958" s="888">
        <f t="shared" si="294"/>
        <v>0</v>
      </c>
      <c r="I958" s="888">
        <f t="shared" si="272"/>
        <v>23300</v>
      </c>
      <c r="J958" s="888">
        <f t="shared" si="280"/>
        <v>9700</v>
      </c>
      <c r="O958" s="884"/>
      <c r="P958" s="889"/>
      <c r="Q958" s="884">
        <f t="shared" si="273"/>
        <v>0</v>
      </c>
      <c r="R958" s="884"/>
      <c r="S958" s="884"/>
    </row>
    <row r="959" spans="1:34" x14ac:dyDescent="0.35">
      <c r="A959" s="243"/>
      <c r="B959" s="251"/>
      <c r="C959" s="248" t="s">
        <v>260</v>
      </c>
      <c r="D959" s="890">
        <v>25000</v>
      </c>
      <c r="E959" s="890">
        <v>33000</v>
      </c>
      <c r="F959" s="891">
        <v>23300</v>
      </c>
      <c r="G959" s="891">
        <v>23300</v>
      </c>
      <c r="H959" s="890"/>
      <c r="I959" s="890">
        <f t="shared" si="272"/>
        <v>23300</v>
      </c>
      <c r="J959" s="890">
        <f t="shared" si="280"/>
        <v>9700</v>
      </c>
      <c r="O959" s="886"/>
      <c r="P959" s="892"/>
      <c r="Q959" s="886">
        <f t="shared" si="273"/>
        <v>0</v>
      </c>
      <c r="R959" s="886"/>
      <c r="S959" s="886"/>
    </row>
    <row r="961" spans="1:2" x14ac:dyDescent="0.35">
      <c r="A961" s="265" t="s">
        <v>265</v>
      </c>
      <c r="B961" s="172" t="s">
        <v>266</v>
      </c>
    </row>
    <row r="962" spans="1:2" x14ac:dyDescent="0.35">
      <c r="B962" s="172" t="s">
        <v>267</v>
      </c>
    </row>
  </sheetData>
  <mergeCells count="35">
    <mergeCell ref="AF5:AF6"/>
    <mergeCell ref="A7:C7"/>
    <mergeCell ref="B19:C19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1:G1"/>
    <mergeCell ref="A2:G2"/>
    <mergeCell ref="A3:G3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055118110236227" right="0.59055118110236227" top="0.59055118110236227" bottom="0.39370078740157483" header="0" footer="0"/>
  <pageSetup paperSize="9" scale="65" firstPageNumber="6" fitToHeight="0" orientation="portrait" r:id="rId1"/>
  <headerFooter alignWithMargins="0"/>
  <rowBreaks count="6" manualBreakCount="6">
    <brk id="99" max="33" man="1"/>
    <brk id="147" max="33" man="1"/>
    <brk id="192" max="33" man="1"/>
    <brk id="430" max="33" man="1"/>
    <brk id="728" max="33" man="1"/>
    <brk id="91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CC"/>
    <pageSetUpPr fitToPage="1"/>
  </sheetPr>
  <dimension ref="A1:AJ938"/>
  <sheetViews>
    <sheetView showRuler="0" view="pageBreakPreview" topLeftCell="L1" zoomScale="77" zoomScaleNormal="64" zoomScaleSheetLayoutView="77" zoomScalePageLayoutView="71" workbookViewId="0">
      <pane ySplit="9" topLeftCell="A22" activePane="bottomLeft" state="frozen"/>
      <selection activeCell="AM21" sqref="AM21"/>
      <selection pane="bottomLeft" activeCell="N34" sqref="N34"/>
    </sheetView>
  </sheetViews>
  <sheetFormatPr defaultColWidth="9.140625" defaultRowHeight="21" outlineLevelRow="1" x14ac:dyDescent="0.35"/>
  <cols>
    <col min="1" max="1" width="12.42578125" style="172" customWidth="1"/>
    <col min="2" max="2" width="3.7109375" style="172" customWidth="1"/>
    <col min="3" max="3" width="76.5703125" style="172" customWidth="1"/>
    <col min="4" max="4" width="20.42578125" style="175" hidden="1" customWidth="1"/>
    <col min="5" max="5" width="20" style="175" hidden="1" customWidth="1"/>
    <col min="6" max="6" width="17" style="175" hidden="1" customWidth="1"/>
    <col min="7" max="7" width="19.28515625" style="175" hidden="1" customWidth="1"/>
    <col min="8" max="8" width="19.140625" style="966" hidden="1" customWidth="1"/>
    <col min="9" max="10" width="20.7109375" style="966" hidden="1" customWidth="1"/>
    <col min="11" max="11" width="34.28515625" style="1023" customWidth="1"/>
    <col min="12" max="12" width="34.42578125" style="1023" customWidth="1"/>
    <col min="13" max="13" width="20.7109375" style="3" customWidth="1"/>
    <col min="14" max="14" width="25.28515625" style="3" customWidth="1"/>
    <col min="15" max="16" width="19.7109375" style="3" customWidth="1"/>
    <col min="17" max="17" width="22" style="3" customWidth="1"/>
    <col min="18" max="18" width="25.85546875" style="3" customWidth="1"/>
    <col min="19" max="19" width="23" style="3" customWidth="1"/>
    <col min="20" max="20" width="22" style="3" customWidth="1"/>
    <col min="21" max="21" width="19.7109375" style="3" customWidth="1"/>
    <col min="22" max="22" width="18.7109375" style="3" customWidth="1"/>
    <col min="23" max="24" width="18.7109375" style="3" hidden="1" customWidth="1"/>
    <col min="25" max="25" width="20.5703125" style="3" hidden="1" customWidth="1"/>
    <col min="26" max="26" width="18.7109375" style="3" hidden="1" customWidth="1"/>
    <col min="27" max="27" width="20.28515625" style="3" hidden="1" customWidth="1"/>
    <col min="28" max="28" width="18.7109375" style="3" hidden="1" customWidth="1"/>
    <col min="29" max="29" width="19.28515625" style="3" customWidth="1"/>
    <col min="30" max="30" width="22.7109375" style="3" customWidth="1"/>
    <col min="31" max="31" width="16.85546875" style="3" customWidth="1"/>
    <col min="32" max="34" width="9.140625" style="3"/>
    <col min="35" max="35" width="15.5703125" style="1275" customWidth="1"/>
    <col min="36" max="272" width="9.140625" style="3"/>
    <col min="273" max="273" width="12.42578125" style="3" customWidth="1"/>
    <col min="274" max="274" width="3.7109375" style="3" customWidth="1"/>
    <col min="275" max="275" width="109.28515625" style="3" bestFit="1" customWidth="1"/>
    <col min="276" max="276" width="18.28515625" style="3" customWidth="1"/>
    <col min="277" max="279" width="0" style="3" hidden="1" customWidth="1"/>
    <col min="280" max="280" width="19.140625" style="3" customWidth="1"/>
    <col min="281" max="282" width="20.7109375" style="3" customWidth="1"/>
    <col min="283" max="283" width="22.42578125" style="3" bestFit="1" customWidth="1"/>
    <col min="284" max="284" width="17" style="3" customWidth="1"/>
    <col min="285" max="285" width="15.28515625" style="3" bestFit="1" customWidth="1"/>
    <col min="286" max="528" width="9.140625" style="3"/>
    <col min="529" max="529" width="12.42578125" style="3" customWidth="1"/>
    <col min="530" max="530" width="3.7109375" style="3" customWidth="1"/>
    <col min="531" max="531" width="109.28515625" style="3" bestFit="1" customWidth="1"/>
    <col min="532" max="532" width="18.28515625" style="3" customWidth="1"/>
    <col min="533" max="535" width="0" style="3" hidden="1" customWidth="1"/>
    <col min="536" max="536" width="19.140625" style="3" customWidth="1"/>
    <col min="537" max="538" width="20.7109375" style="3" customWidth="1"/>
    <col min="539" max="539" width="22.42578125" style="3" bestFit="1" customWidth="1"/>
    <col min="540" max="540" width="17" style="3" customWidth="1"/>
    <col min="541" max="541" width="15.28515625" style="3" bestFit="1" customWidth="1"/>
    <col min="542" max="784" width="9.140625" style="3"/>
    <col min="785" max="785" width="12.42578125" style="3" customWidth="1"/>
    <col min="786" max="786" width="3.7109375" style="3" customWidth="1"/>
    <col min="787" max="787" width="109.28515625" style="3" bestFit="1" customWidth="1"/>
    <col min="788" max="788" width="18.28515625" style="3" customWidth="1"/>
    <col min="789" max="791" width="0" style="3" hidden="1" customWidth="1"/>
    <col min="792" max="792" width="19.140625" style="3" customWidth="1"/>
    <col min="793" max="794" width="20.7109375" style="3" customWidth="1"/>
    <col min="795" max="795" width="22.42578125" style="3" bestFit="1" customWidth="1"/>
    <col min="796" max="796" width="17" style="3" customWidth="1"/>
    <col min="797" max="797" width="15.28515625" style="3" bestFit="1" customWidth="1"/>
    <col min="798" max="1040" width="9.140625" style="3"/>
    <col min="1041" max="1041" width="12.42578125" style="3" customWidth="1"/>
    <col min="1042" max="1042" width="3.7109375" style="3" customWidth="1"/>
    <col min="1043" max="1043" width="109.28515625" style="3" bestFit="1" customWidth="1"/>
    <col min="1044" max="1044" width="18.28515625" style="3" customWidth="1"/>
    <col min="1045" max="1047" width="0" style="3" hidden="1" customWidth="1"/>
    <col min="1048" max="1048" width="19.140625" style="3" customWidth="1"/>
    <col min="1049" max="1050" width="20.7109375" style="3" customWidth="1"/>
    <col min="1051" max="1051" width="22.42578125" style="3" bestFit="1" customWidth="1"/>
    <col min="1052" max="1052" width="17" style="3" customWidth="1"/>
    <col min="1053" max="1053" width="15.28515625" style="3" bestFit="1" customWidth="1"/>
    <col min="1054" max="1296" width="9.140625" style="3"/>
    <col min="1297" max="1297" width="12.42578125" style="3" customWidth="1"/>
    <col min="1298" max="1298" width="3.7109375" style="3" customWidth="1"/>
    <col min="1299" max="1299" width="109.28515625" style="3" bestFit="1" customWidth="1"/>
    <col min="1300" max="1300" width="18.28515625" style="3" customWidth="1"/>
    <col min="1301" max="1303" width="0" style="3" hidden="1" customWidth="1"/>
    <col min="1304" max="1304" width="19.140625" style="3" customWidth="1"/>
    <col min="1305" max="1306" width="20.7109375" style="3" customWidth="1"/>
    <col min="1307" max="1307" width="22.42578125" style="3" bestFit="1" customWidth="1"/>
    <col min="1308" max="1308" width="17" style="3" customWidth="1"/>
    <col min="1309" max="1309" width="15.28515625" style="3" bestFit="1" customWidth="1"/>
    <col min="1310" max="1552" width="9.140625" style="3"/>
    <col min="1553" max="1553" width="12.42578125" style="3" customWidth="1"/>
    <col min="1554" max="1554" width="3.7109375" style="3" customWidth="1"/>
    <col min="1555" max="1555" width="109.28515625" style="3" bestFit="1" customWidth="1"/>
    <col min="1556" max="1556" width="18.28515625" style="3" customWidth="1"/>
    <col min="1557" max="1559" width="0" style="3" hidden="1" customWidth="1"/>
    <col min="1560" max="1560" width="19.140625" style="3" customWidth="1"/>
    <col min="1561" max="1562" width="20.7109375" style="3" customWidth="1"/>
    <col min="1563" max="1563" width="22.42578125" style="3" bestFit="1" customWidth="1"/>
    <col min="1564" max="1564" width="17" style="3" customWidth="1"/>
    <col min="1565" max="1565" width="15.28515625" style="3" bestFit="1" customWidth="1"/>
    <col min="1566" max="1808" width="9.140625" style="3"/>
    <col min="1809" max="1809" width="12.42578125" style="3" customWidth="1"/>
    <col min="1810" max="1810" width="3.7109375" style="3" customWidth="1"/>
    <col min="1811" max="1811" width="109.28515625" style="3" bestFit="1" customWidth="1"/>
    <col min="1812" max="1812" width="18.28515625" style="3" customWidth="1"/>
    <col min="1813" max="1815" width="0" style="3" hidden="1" customWidth="1"/>
    <col min="1816" max="1816" width="19.140625" style="3" customWidth="1"/>
    <col min="1817" max="1818" width="20.7109375" style="3" customWidth="1"/>
    <col min="1819" max="1819" width="22.42578125" style="3" bestFit="1" customWidth="1"/>
    <col min="1820" max="1820" width="17" style="3" customWidth="1"/>
    <col min="1821" max="1821" width="15.28515625" style="3" bestFit="1" customWidth="1"/>
    <col min="1822" max="2064" width="9.140625" style="3"/>
    <col min="2065" max="2065" width="12.42578125" style="3" customWidth="1"/>
    <col min="2066" max="2066" width="3.7109375" style="3" customWidth="1"/>
    <col min="2067" max="2067" width="109.28515625" style="3" bestFit="1" customWidth="1"/>
    <col min="2068" max="2068" width="18.28515625" style="3" customWidth="1"/>
    <col min="2069" max="2071" width="0" style="3" hidden="1" customWidth="1"/>
    <col min="2072" max="2072" width="19.140625" style="3" customWidth="1"/>
    <col min="2073" max="2074" width="20.7109375" style="3" customWidth="1"/>
    <col min="2075" max="2075" width="22.42578125" style="3" bestFit="1" customWidth="1"/>
    <col min="2076" max="2076" width="17" style="3" customWidth="1"/>
    <col min="2077" max="2077" width="15.28515625" style="3" bestFit="1" customWidth="1"/>
    <col min="2078" max="2320" width="9.140625" style="3"/>
    <col min="2321" max="2321" width="12.42578125" style="3" customWidth="1"/>
    <col min="2322" max="2322" width="3.7109375" style="3" customWidth="1"/>
    <col min="2323" max="2323" width="109.28515625" style="3" bestFit="1" customWidth="1"/>
    <col min="2324" max="2324" width="18.28515625" style="3" customWidth="1"/>
    <col min="2325" max="2327" width="0" style="3" hidden="1" customWidth="1"/>
    <col min="2328" max="2328" width="19.140625" style="3" customWidth="1"/>
    <col min="2329" max="2330" width="20.7109375" style="3" customWidth="1"/>
    <col min="2331" max="2331" width="22.42578125" style="3" bestFit="1" customWidth="1"/>
    <col min="2332" max="2332" width="17" style="3" customWidth="1"/>
    <col min="2333" max="2333" width="15.28515625" style="3" bestFit="1" customWidth="1"/>
    <col min="2334" max="2576" width="9.140625" style="3"/>
    <col min="2577" max="2577" width="12.42578125" style="3" customWidth="1"/>
    <col min="2578" max="2578" width="3.7109375" style="3" customWidth="1"/>
    <col min="2579" max="2579" width="109.28515625" style="3" bestFit="1" customWidth="1"/>
    <col min="2580" max="2580" width="18.28515625" style="3" customWidth="1"/>
    <col min="2581" max="2583" width="0" style="3" hidden="1" customWidth="1"/>
    <col min="2584" max="2584" width="19.140625" style="3" customWidth="1"/>
    <col min="2585" max="2586" width="20.7109375" style="3" customWidth="1"/>
    <col min="2587" max="2587" width="22.42578125" style="3" bestFit="1" customWidth="1"/>
    <col min="2588" max="2588" width="17" style="3" customWidth="1"/>
    <col min="2589" max="2589" width="15.28515625" style="3" bestFit="1" customWidth="1"/>
    <col min="2590" max="2832" width="9.140625" style="3"/>
    <col min="2833" max="2833" width="12.42578125" style="3" customWidth="1"/>
    <col min="2834" max="2834" width="3.7109375" style="3" customWidth="1"/>
    <col min="2835" max="2835" width="109.28515625" style="3" bestFit="1" customWidth="1"/>
    <col min="2836" max="2836" width="18.28515625" style="3" customWidth="1"/>
    <col min="2837" max="2839" width="0" style="3" hidden="1" customWidth="1"/>
    <col min="2840" max="2840" width="19.140625" style="3" customWidth="1"/>
    <col min="2841" max="2842" width="20.7109375" style="3" customWidth="1"/>
    <col min="2843" max="2843" width="22.42578125" style="3" bestFit="1" customWidth="1"/>
    <col min="2844" max="2844" width="17" style="3" customWidth="1"/>
    <col min="2845" max="2845" width="15.28515625" style="3" bestFit="1" customWidth="1"/>
    <col min="2846" max="3088" width="9.140625" style="3"/>
    <col min="3089" max="3089" width="12.42578125" style="3" customWidth="1"/>
    <col min="3090" max="3090" width="3.7109375" style="3" customWidth="1"/>
    <col min="3091" max="3091" width="109.28515625" style="3" bestFit="1" customWidth="1"/>
    <col min="3092" max="3092" width="18.28515625" style="3" customWidth="1"/>
    <col min="3093" max="3095" width="0" style="3" hidden="1" customWidth="1"/>
    <col min="3096" max="3096" width="19.140625" style="3" customWidth="1"/>
    <col min="3097" max="3098" width="20.7109375" style="3" customWidth="1"/>
    <col min="3099" max="3099" width="22.42578125" style="3" bestFit="1" customWidth="1"/>
    <col min="3100" max="3100" width="17" style="3" customWidth="1"/>
    <col min="3101" max="3101" width="15.28515625" style="3" bestFit="1" customWidth="1"/>
    <col min="3102" max="3344" width="9.140625" style="3"/>
    <col min="3345" max="3345" width="12.42578125" style="3" customWidth="1"/>
    <col min="3346" max="3346" width="3.7109375" style="3" customWidth="1"/>
    <col min="3347" max="3347" width="109.28515625" style="3" bestFit="1" customWidth="1"/>
    <col min="3348" max="3348" width="18.28515625" style="3" customWidth="1"/>
    <col min="3349" max="3351" width="0" style="3" hidden="1" customWidth="1"/>
    <col min="3352" max="3352" width="19.140625" style="3" customWidth="1"/>
    <col min="3353" max="3354" width="20.7109375" style="3" customWidth="1"/>
    <col min="3355" max="3355" width="22.42578125" style="3" bestFit="1" customWidth="1"/>
    <col min="3356" max="3356" width="17" style="3" customWidth="1"/>
    <col min="3357" max="3357" width="15.28515625" style="3" bestFit="1" customWidth="1"/>
    <col min="3358" max="3600" width="9.140625" style="3"/>
    <col min="3601" max="3601" width="12.42578125" style="3" customWidth="1"/>
    <col min="3602" max="3602" width="3.7109375" style="3" customWidth="1"/>
    <col min="3603" max="3603" width="109.28515625" style="3" bestFit="1" customWidth="1"/>
    <col min="3604" max="3604" width="18.28515625" style="3" customWidth="1"/>
    <col min="3605" max="3607" width="0" style="3" hidden="1" customWidth="1"/>
    <col min="3608" max="3608" width="19.140625" style="3" customWidth="1"/>
    <col min="3609" max="3610" width="20.7109375" style="3" customWidth="1"/>
    <col min="3611" max="3611" width="22.42578125" style="3" bestFit="1" customWidth="1"/>
    <col min="3612" max="3612" width="17" style="3" customWidth="1"/>
    <col min="3613" max="3613" width="15.28515625" style="3" bestFit="1" customWidth="1"/>
    <col min="3614" max="3856" width="9.140625" style="3"/>
    <col min="3857" max="3857" width="12.42578125" style="3" customWidth="1"/>
    <col min="3858" max="3858" width="3.7109375" style="3" customWidth="1"/>
    <col min="3859" max="3859" width="109.28515625" style="3" bestFit="1" customWidth="1"/>
    <col min="3860" max="3860" width="18.28515625" style="3" customWidth="1"/>
    <col min="3861" max="3863" width="0" style="3" hidden="1" customWidth="1"/>
    <col min="3864" max="3864" width="19.140625" style="3" customWidth="1"/>
    <col min="3865" max="3866" width="20.7109375" style="3" customWidth="1"/>
    <col min="3867" max="3867" width="22.42578125" style="3" bestFit="1" customWidth="1"/>
    <col min="3868" max="3868" width="17" style="3" customWidth="1"/>
    <col min="3869" max="3869" width="15.28515625" style="3" bestFit="1" customWidth="1"/>
    <col min="3870" max="4112" width="9.140625" style="3"/>
    <col min="4113" max="4113" width="12.42578125" style="3" customWidth="1"/>
    <col min="4114" max="4114" width="3.7109375" style="3" customWidth="1"/>
    <col min="4115" max="4115" width="109.28515625" style="3" bestFit="1" customWidth="1"/>
    <col min="4116" max="4116" width="18.28515625" style="3" customWidth="1"/>
    <col min="4117" max="4119" width="0" style="3" hidden="1" customWidth="1"/>
    <col min="4120" max="4120" width="19.140625" style="3" customWidth="1"/>
    <col min="4121" max="4122" width="20.7109375" style="3" customWidth="1"/>
    <col min="4123" max="4123" width="22.42578125" style="3" bestFit="1" customWidth="1"/>
    <col min="4124" max="4124" width="17" style="3" customWidth="1"/>
    <col min="4125" max="4125" width="15.28515625" style="3" bestFit="1" customWidth="1"/>
    <col min="4126" max="4368" width="9.140625" style="3"/>
    <col min="4369" max="4369" width="12.42578125" style="3" customWidth="1"/>
    <col min="4370" max="4370" width="3.7109375" style="3" customWidth="1"/>
    <col min="4371" max="4371" width="109.28515625" style="3" bestFit="1" customWidth="1"/>
    <col min="4372" max="4372" width="18.28515625" style="3" customWidth="1"/>
    <col min="4373" max="4375" width="0" style="3" hidden="1" customWidth="1"/>
    <col min="4376" max="4376" width="19.140625" style="3" customWidth="1"/>
    <col min="4377" max="4378" width="20.7109375" style="3" customWidth="1"/>
    <col min="4379" max="4379" width="22.42578125" style="3" bestFit="1" customWidth="1"/>
    <col min="4380" max="4380" width="17" style="3" customWidth="1"/>
    <col min="4381" max="4381" width="15.28515625" style="3" bestFit="1" customWidth="1"/>
    <col min="4382" max="4624" width="9.140625" style="3"/>
    <col min="4625" max="4625" width="12.42578125" style="3" customWidth="1"/>
    <col min="4626" max="4626" width="3.7109375" style="3" customWidth="1"/>
    <col min="4627" max="4627" width="109.28515625" style="3" bestFit="1" customWidth="1"/>
    <col min="4628" max="4628" width="18.28515625" style="3" customWidth="1"/>
    <col min="4629" max="4631" width="0" style="3" hidden="1" customWidth="1"/>
    <col min="4632" max="4632" width="19.140625" style="3" customWidth="1"/>
    <col min="4633" max="4634" width="20.7109375" style="3" customWidth="1"/>
    <col min="4635" max="4635" width="22.42578125" style="3" bestFit="1" customWidth="1"/>
    <col min="4636" max="4636" width="17" style="3" customWidth="1"/>
    <col min="4637" max="4637" width="15.28515625" style="3" bestFit="1" customWidth="1"/>
    <col min="4638" max="4880" width="9.140625" style="3"/>
    <col min="4881" max="4881" width="12.42578125" style="3" customWidth="1"/>
    <col min="4882" max="4882" width="3.7109375" style="3" customWidth="1"/>
    <col min="4883" max="4883" width="109.28515625" style="3" bestFit="1" customWidth="1"/>
    <col min="4884" max="4884" width="18.28515625" style="3" customWidth="1"/>
    <col min="4885" max="4887" width="0" style="3" hidden="1" customWidth="1"/>
    <col min="4888" max="4888" width="19.140625" style="3" customWidth="1"/>
    <col min="4889" max="4890" width="20.7109375" style="3" customWidth="1"/>
    <col min="4891" max="4891" width="22.42578125" style="3" bestFit="1" customWidth="1"/>
    <col min="4892" max="4892" width="17" style="3" customWidth="1"/>
    <col min="4893" max="4893" width="15.28515625" style="3" bestFit="1" customWidth="1"/>
    <col min="4894" max="5136" width="9.140625" style="3"/>
    <col min="5137" max="5137" width="12.42578125" style="3" customWidth="1"/>
    <col min="5138" max="5138" width="3.7109375" style="3" customWidth="1"/>
    <col min="5139" max="5139" width="109.28515625" style="3" bestFit="1" customWidth="1"/>
    <col min="5140" max="5140" width="18.28515625" style="3" customWidth="1"/>
    <col min="5141" max="5143" width="0" style="3" hidden="1" customWidth="1"/>
    <col min="5144" max="5144" width="19.140625" style="3" customWidth="1"/>
    <col min="5145" max="5146" width="20.7109375" style="3" customWidth="1"/>
    <col min="5147" max="5147" width="22.42578125" style="3" bestFit="1" customWidth="1"/>
    <col min="5148" max="5148" width="17" style="3" customWidth="1"/>
    <col min="5149" max="5149" width="15.28515625" style="3" bestFit="1" customWidth="1"/>
    <col min="5150" max="5392" width="9.140625" style="3"/>
    <col min="5393" max="5393" width="12.42578125" style="3" customWidth="1"/>
    <col min="5394" max="5394" width="3.7109375" style="3" customWidth="1"/>
    <col min="5395" max="5395" width="109.28515625" style="3" bestFit="1" customWidth="1"/>
    <col min="5396" max="5396" width="18.28515625" style="3" customWidth="1"/>
    <col min="5397" max="5399" width="0" style="3" hidden="1" customWidth="1"/>
    <col min="5400" max="5400" width="19.140625" style="3" customWidth="1"/>
    <col min="5401" max="5402" width="20.7109375" style="3" customWidth="1"/>
    <col min="5403" max="5403" width="22.42578125" style="3" bestFit="1" customWidth="1"/>
    <col min="5404" max="5404" width="17" style="3" customWidth="1"/>
    <col min="5405" max="5405" width="15.28515625" style="3" bestFit="1" customWidth="1"/>
    <col min="5406" max="5648" width="9.140625" style="3"/>
    <col min="5649" max="5649" width="12.42578125" style="3" customWidth="1"/>
    <col min="5650" max="5650" width="3.7109375" style="3" customWidth="1"/>
    <col min="5651" max="5651" width="109.28515625" style="3" bestFit="1" customWidth="1"/>
    <col min="5652" max="5652" width="18.28515625" style="3" customWidth="1"/>
    <col min="5653" max="5655" width="0" style="3" hidden="1" customWidth="1"/>
    <col min="5656" max="5656" width="19.140625" style="3" customWidth="1"/>
    <col min="5657" max="5658" width="20.7109375" style="3" customWidth="1"/>
    <col min="5659" max="5659" width="22.42578125" style="3" bestFit="1" customWidth="1"/>
    <col min="5660" max="5660" width="17" style="3" customWidth="1"/>
    <col min="5661" max="5661" width="15.28515625" style="3" bestFit="1" customWidth="1"/>
    <col min="5662" max="5904" width="9.140625" style="3"/>
    <col min="5905" max="5905" width="12.42578125" style="3" customWidth="1"/>
    <col min="5906" max="5906" width="3.7109375" style="3" customWidth="1"/>
    <col min="5907" max="5907" width="109.28515625" style="3" bestFit="1" customWidth="1"/>
    <col min="5908" max="5908" width="18.28515625" style="3" customWidth="1"/>
    <col min="5909" max="5911" width="0" style="3" hidden="1" customWidth="1"/>
    <col min="5912" max="5912" width="19.140625" style="3" customWidth="1"/>
    <col min="5913" max="5914" width="20.7109375" style="3" customWidth="1"/>
    <col min="5915" max="5915" width="22.42578125" style="3" bestFit="1" customWidth="1"/>
    <col min="5916" max="5916" width="17" style="3" customWidth="1"/>
    <col min="5917" max="5917" width="15.28515625" style="3" bestFit="1" customWidth="1"/>
    <col min="5918" max="6160" width="9.140625" style="3"/>
    <col min="6161" max="6161" width="12.42578125" style="3" customWidth="1"/>
    <col min="6162" max="6162" width="3.7109375" style="3" customWidth="1"/>
    <col min="6163" max="6163" width="109.28515625" style="3" bestFit="1" customWidth="1"/>
    <col min="6164" max="6164" width="18.28515625" style="3" customWidth="1"/>
    <col min="6165" max="6167" width="0" style="3" hidden="1" customWidth="1"/>
    <col min="6168" max="6168" width="19.140625" style="3" customWidth="1"/>
    <col min="6169" max="6170" width="20.7109375" style="3" customWidth="1"/>
    <col min="6171" max="6171" width="22.42578125" style="3" bestFit="1" customWidth="1"/>
    <col min="6172" max="6172" width="17" style="3" customWidth="1"/>
    <col min="6173" max="6173" width="15.28515625" style="3" bestFit="1" customWidth="1"/>
    <col min="6174" max="6416" width="9.140625" style="3"/>
    <col min="6417" max="6417" width="12.42578125" style="3" customWidth="1"/>
    <col min="6418" max="6418" width="3.7109375" style="3" customWidth="1"/>
    <col min="6419" max="6419" width="109.28515625" style="3" bestFit="1" customWidth="1"/>
    <col min="6420" max="6420" width="18.28515625" style="3" customWidth="1"/>
    <col min="6421" max="6423" width="0" style="3" hidden="1" customWidth="1"/>
    <col min="6424" max="6424" width="19.140625" style="3" customWidth="1"/>
    <col min="6425" max="6426" width="20.7109375" style="3" customWidth="1"/>
    <col min="6427" max="6427" width="22.42578125" style="3" bestFit="1" customWidth="1"/>
    <col min="6428" max="6428" width="17" style="3" customWidth="1"/>
    <col min="6429" max="6429" width="15.28515625" style="3" bestFit="1" customWidth="1"/>
    <col min="6430" max="6672" width="9.140625" style="3"/>
    <col min="6673" max="6673" width="12.42578125" style="3" customWidth="1"/>
    <col min="6674" max="6674" width="3.7109375" style="3" customWidth="1"/>
    <col min="6675" max="6675" width="109.28515625" style="3" bestFit="1" customWidth="1"/>
    <col min="6676" max="6676" width="18.28515625" style="3" customWidth="1"/>
    <col min="6677" max="6679" width="0" style="3" hidden="1" customWidth="1"/>
    <col min="6680" max="6680" width="19.140625" style="3" customWidth="1"/>
    <col min="6681" max="6682" width="20.7109375" style="3" customWidth="1"/>
    <col min="6683" max="6683" width="22.42578125" style="3" bestFit="1" customWidth="1"/>
    <col min="6684" max="6684" width="17" style="3" customWidth="1"/>
    <col min="6685" max="6685" width="15.28515625" style="3" bestFit="1" customWidth="1"/>
    <col min="6686" max="6928" width="9.140625" style="3"/>
    <col min="6929" max="6929" width="12.42578125" style="3" customWidth="1"/>
    <col min="6930" max="6930" width="3.7109375" style="3" customWidth="1"/>
    <col min="6931" max="6931" width="109.28515625" style="3" bestFit="1" customWidth="1"/>
    <col min="6932" max="6932" width="18.28515625" style="3" customWidth="1"/>
    <col min="6933" max="6935" width="0" style="3" hidden="1" customWidth="1"/>
    <col min="6936" max="6936" width="19.140625" style="3" customWidth="1"/>
    <col min="6937" max="6938" width="20.7109375" style="3" customWidth="1"/>
    <col min="6939" max="6939" width="22.42578125" style="3" bestFit="1" customWidth="1"/>
    <col min="6940" max="6940" width="17" style="3" customWidth="1"/>
    <col min="6941" max="6941" width="15.28515625" style="3" bestFit="1" customWidth="1"/>
    <col min="6942" max="7184" width="9.140625" style="3"/>
    <col min="7185" max="7185" width="12.42578125" style="3" customWidth="1"/>
    <col min="7186" max="7186" width="3.7109375" style="3" customWidth="1"/>
    <col min="7187" max="7187" width="109.28515625" style="3" bestFit="1" customWidth="1"/>
    <col min="7188" max="7188" width="18.28515625" style="3" customWidth="1"/>
    <col min="7189" max="7191" width="0" style="3" hidden="1" customWidth="1"/>
    <col min="7192" max="7192" width="19.140625" style="3" customWidth="1"/>
    <col min="7193" max="7194" width="20.7109375" style="3" customWidth="1"/>
    <col min="7195" max="7195" width="22.42578125" style="3" bestFit="1" customWidth="1"/>
    <col min="7196" max="7196" width="17" style="3" customWidth="1"/>
    <col min="7197" max="7197" width="15.28515625" style="3" bestFit="1" customWidth="1"/>
    <col min="7198" max="7440" width="9.140625" style="3"/>
    <col min="7441" max="7441" width="12.42578125" style="3" customWidth="1"/>
    <col min="7442" max="7442" width="3.7109375" style="3" customWidth="1"/>
    <col min="7443" max="7443" width="109.28515625" style="3" bestFit="1" customWidth="1"/>
    <col min="7444" max="7444" width="18.28515625" style="3" customWidth="1"/>
    <col min="7445" max="7447" width="0" style="3" hidden="1" customWidth="1"/>
    <col min="7448" max="7448" width="19.140625" style="3" customWidth="1"/>
    <col min="7449" max="7450" width="20.7109375" style="3" customWidth="1"/>
    <col min="7451" max="7451" width="22.42578125" style="3" bestFit="1" customWidth="1"/>
    <col min="7452" max="7452" width="17" style="3" customWidth="1"/>
    <col min="7453" max="7453" width="15.28515625" style="3" bestFit="1" customWidth="1"/>
    <col min="7454" max="7696" width="9.140625" style="3"/>
    <col min="7697" max="7697" width="12.42578125" style="3" customWidth="1"/>
    <col min="7698" max="7698" width="3.7109375" style="3" customWidth="1"/>
    <col min="7699" max="7699" width="109.28515625" style="3" bestFit="1" customWidth="1"/>
    <col min="7700" max="7700" width="18.28515625" style="3" customWidth="1"/>
    <col min="7701" max="7703" width="0" style="3" hidden="1" customWidth="1"/>
    <col min="7704" max="7704" width="19.140625" style="3" customWidth="1"/>
    <col min="7705" max="7706" width="20.7109375" style="3" customWidth="1"/>
    <col min="7707" max="7707" width="22.42578125" style="3" bestFit="1" customWidth="1"/>
    <col min="7708" max="7708" width="17" style="3" customWidth="1"/>
    <col min="7709" max="7709" width="15.28515625" style="3" bestFit="1" customWidth="1"/>
    <col min="7710" max="7952" width="9.140625" style="3"/>
    <col min="7953" max="7953" width="12.42578125" style="3" customWidth="1"/>
    <col min="7954" max="7954" width="3.7109375" style="3" customWidth="1"/>
    <col min="7955" max="7955" width="109.28515625" style="3" bestFit="1" customWidth="1"/>
    <col min="7956" max="7956" width="18.28515625" style="3" customWidth="1"/>
    <col min="7957" max="7959" width="0" style="3" hidden="1" customWidth="1"/>
    <col min="7960" max="7960" width="19.140625" style="3" customWidth="1"/>
    <col min="7961" max="7962" width="20.7109375" style="3" customWidth="1"/>
    <col min="7963" max="7963" width="22.42578125" style="3" bestFit="1" customWidth="1"/>
    <col min="7964" max="7964" width="17" style="3" customWidth="1"/>
    <col min="7965" max="7965" width="15.28515625" style="3" bestFit="1" customWidth="1"/>
    <col min="7966" max="8208" width="9.140625" style="3"/>
    <col min="8209" max="8209" width="12.42578125" style="3" customWidth="1"/>
    <col min="8210" max="8210" width="3.7109375" style="3" customWidth="1"/>
    <col min="8211" max="8211" width="109.28515625" style="3" bestFit="1" customWidth="1"/>
    <col min="8212" max="8212" width="18.28515625" style="3" customWidth="1"/>
    <col min="8213" max="8215" width="0" style="3" hidden="1" customWidth="1"/>
    <col min="8216" max="8216" width="19.140625" style="3" customWidth="1"/>
    <col min="8217" max="8218" width="20.7109375" style="3" customWidth="1"/>
    <col min="8219" max="8219" width="22.42578125" style="3" bestFit="1" customWidth="1"/>
    <col min="8220" max="8220" width="17" style="3" customWidth="1"/>
    <col min="8221" max="8221" width="15.28515625" style="3" bestFit="1" customWidth="1"/>
    <col min="8222" max="8464" width="9.140625" style="3"/>
    <col min="8465" max="8465" width="12.42578125" style="3" customWidth="1"/>
    <col min="8466" max="8466" width="3.7109375" style="3" customWidth="1"/>
    <col min="8467" max="8467" width="109.28515625" style="3" bestFit="1" customWidth="1"/>
    <col min="8468" max="8468" width="18.28515625" style="3" customWidth="1"/>
    <col min="8469" max="8471" width="0" style="3" hidden="1" customWidth="1"/>
    <col min="8472" max="8472" width="19.140625" style="3" customWidth="1"/>
    <col min="8473" max="8474" width="20.7109375" style="3" customWidth="1"/>
    <col min="8475" max="8475" width="22.42578125" style="3" bestFit="1" customWidth="1"/>
    <col min="8476" max="8476" width="17" style="3" customWidth="1"/>
    <col min="8477" max="8477" width="15.28515625" style="3" bestFit="1" customWidth="1"/>
    <col min="8478" max="8720" width="9.140625" style="3"/>
    <col min="8721" max="8721" width="12.42578125" style="3" customWidth="1"/>
    <col min="8722" max="8722" width="3.7109375" style="3" customWidth="1"/>
    <col min="8723" max="8723" width="109.28515625" style="3" bestFit="1" customWidth="1"/>
    <col min="8724" max="8724" width="18.28515625" style="3" customWidth="1"/>
    <col min="8725" max="8727" width="0" style="3" hidden="1" customWidth="1"/>
    <col min="8728" max="8728" width="19.140625" style="3" customWidth="1"/>
    <col min="8729" max="8730" width="20.7109375" style="3" customWidth="1"/>
    <col min="8731" max="8731" width="22.42578125" style="3" bestFit="1" customWidth="1"/>
    <col min="8732" max="8732" width="17" style="3" customWidth="1"/>
    <col min="8733" max="8733" width="15.28515625" style="3" bestFit="1" customWidth="1"/>
    <col min="8734" max="8976" width="9.140625" style="3"/>
    <col min="8977" max="8977" width="12.42578125" style="3" customWidth="1"/>
    <col min="8978" max="8978" width="3.7109375" style="3" customWidth="1"/>
    <col min="8979" max="8979" width="109.28515625" style="3" bestFit="1" customWidth="1"/>
    <col min="8980" max="8980" width="18.28515625" style="3" customWidth="1"/>
    <col min="8981" max="8983" width="0" style="3" hidden="1" customWidth="1"/>
    <col min="8984" max="8984" width="19.140625" style="3" customWidth="1"/>
    <col min="8985" max="8986" width="20.7109375" style="3" customWidth="1"/>
    <col min="8987" max="8987" width="22.42578125" style="3" bestFit="1" customWidth="1"/>
    <col min="8988" max="8988" width="17" style="3" customWidth="1"/>
    <col min="8989" max="8989" width="15.28515625" style="3" bestFit="1" customWidth="1"/>
    <col min="8990" max="9232" width="9.140625" style="3"/>
    <col min="9233" max="9233" width="12.42578125" style="3" customWidth="1"/>
    <col min="9234" max="9234" width="3.7109375" style="3" customWidth="1"/>
    <col min="9235" max="9235" width="109.28515625" style="3" bestFit="1" customWidth="1"/>
    <col min="9236" max="9236" width="18.28515625" style="3" customWidth="1"/>
    <col min="9237" max="9239" width="0" style="3" hidden="1" customWidth="1"/>
    <col min="9240" max="9240" width="19.140625" style="3" customWidth="1"/>
    <col min="9241" max="9242" width="20.7109375" style="3" customWidth="1"/>
    <col min="9243" max="9243" width="22.42578125" style="3" bestFit="1" customWidth="1"/>
    <col min="9244" max="9244" width="17" style="3" customWidth="1"/>
    <col min="9245" max="9245" width="15.28515625" style="3" bestFit="1" customWidth="1"/>
    <col min="9246" max="9488" width="9.140625" style="3"/>
    <col min="9489" max="9489" width="12.42578125" style="3" customWidth="1"/>
    <col min="9490" max="9490" width="3.7109375" style="3" customWidth="1"/>
    <col min="9491" max="9491" width="109.28515625" style="3" bestFit="1" customWidth="1"/>
    <col min="9492" max="9492" width="18.28515625" style="3" customWidth="1"/>
    <col min="9493" max="9495" width="0" style="3" hidden="1" customWidth="1"/>
    <col min="9496" max="9496" width="19.140625" style="3" customWidth="1"/>
    <col min="9497" max="9498" width="20.7109375" style="3" customWidth="1"/>
    <col min="9499" max="9499" width="22.42578125" style="3" bestFit="1" customWidth="1"/>
    <col min="9500" max="9500" width="17" style="3" customWidth="1"/>
    <col min="9501" max="9501" width="15.28515625" style="3" bestFit="1" customWidth="1"/>
    <col min="9502" max="9744" width="9.140625" style="3"/>
    <col min="9745" max="9745" width="12.42578125" style="3" customWidth="1"/>
    <col min="9746" max="9746" width="3.7109375" style="3" customWidth="1"/>
    <col min="9747" max="9747" width="109.28515625" style="3" bestFit="1" customWidth="1"/>
    <col min="9748" max="9748" width="18.28515625" style="3" customWidth="1"/>
    <col min="9749" max="9751" width="0" style="3" hidden="1" customWidth="1"/>
    <col min="9752" max="9752" width="19.140625" style="3" customWidth="1"/>
    <col min="9753" max="9754" width="20.7109375" style="3" customWidth="1"/>
    <col min="9755" max="9755" width="22.42578125" style="3" bestFit="1" customWidth="1"/>
    <col min="9756" max="9756" width="17" style="3" customWidth="1"/>
    <col min="9757" max="9757" width="15.28515625" style="3" bestFit="1" customWidth="1"/>
    <col min="9758" max="10000" width="9.140625" style="3"/>
    <col min="10001" max="10001" width="12.42578125" style="3" customWidth="1"/>
    <col min="10002" max="10002" width="3.7109375" style="3" customWidth="1"/>
    <col min="10003" max="10003" width="109.28515625" style="3" bestFit="1" customWidth="1"/>
    <col min="10004" max="10004" width="18.28515625" style="3" customWidth="1"/>
    <col min="10005" max="10007" width="0" style="3" hidden="1" customWidth="1"/>
    <col min="10008" max="10008" width="19.140625" style="3" customWidth="1"/>
    <col min="10009" max="10010" width="20.7109375" style="3" customWidth="1"/>
    <col min="10011" max="10011" width="22.42578125" style="3" bestFit="1" customWidth="1"/>
    <col min="10012" max="10012" width="17" style="3" customWidth="1"/>
    <col min="10013" max="10013" width="15.28515625" style="3" bestFit="1" customWidth="1"/>
    <col min="10014" max="10256" width="9.140625" style="3"/>
    <col min="10257" max="10257" width="12.42578125" style="3" customWidth="1"/>
    <col min="10258" max="10258" width="3.7109375" style="3" customWidth="1"/>
    <col min="10259" max="10259" width="109.28515625" style="3" bestFit="1" customWidth="1"/>
    <col min="10260" max="10260" width="18.28515625" style="3" customWidth="1"/>
    <col min="10261" max="10263" width="0" style="3" hidden="1" customWidth="1"/>
    <col min="10264" max="10264" width="19.140625" style="3" customWidth="1"/>
    <col min="10265" max="10266" width="20.7109375" style="3" customWidth="1"/>
    <col min="10267" max="10267" width="22.42578125" style="3" bestFit="1" customWidth="1"/>
    <col min="10268" max="10268" width="17" style="3" customWidth="1"/>
    <col min="10269" max="10269" width="15.28515625" style="3" bestFit="1" customWidth="1"/>
    <col min="10270" max="10512" width="9.140625" style="3"/>
    <col min="10513" max="10513" width="12.42578125" style="3" customWidth="1"/>
    <col min="10514" max="10514" width="3.7109375" style="3" customWidth="1"/>
    <col min="10515" max="10515" width="109.28515625" style="3" bestFit="1" customWidth="1"/>
    <col min="10516" max="10516" width="18.28515625" style="3" customWidth="1"/>
    <col min="10517" max="10519" width="0" style="3" hidden="1" customWidth="1"/>
    <col min="10520" max="10520" width="19.140625" style="3" customWidth="1"/>
    <col min="10521" max="10522" width="20.7109375" style="3" customWidth="1"/>
    <col min="10523" max="10523" width="22.42578125" style="3" bestFit="1" customWidth="1"/>
    <col min="10524" max="10524" width="17" style="3" customWidth="1"/>
    <col min="10525" max="10525" width="15.28515625" style="3" bestFit="1" customWidth="1"/>
    <col min="10526" max="10768" width="9.140625" style="3"/>
    <col min="10769" max="10769" width="12.42578125" style="3" customWidth="1"/>
    <col min="10770" max="10770" width="3.7109375" style="3" customWidth="1"/>
    <col min="10771" max="10771" width="109.28515625" style="3" bestFit="1" customWidth="1"/>
    <col min="10772" max="10772" width="18.28515625" style="3" customWidth="1"/>
    <col min="10773" max="10775" width="0" style="3" hidden="1" customWidth="1"/>
    <col min="10776" max="10776" width="19.140625" style="3" customWidth="1"/>
    <col min="10777" max="10778" width="20.7109375" style="3" customWidth="1"/>
    <col min="10779" max="10779" width="22.42578125" style="3" bestFit="1" customWidth="1"/>
    <col min="10780" max="10780" width="17" style="3" customWidth="1"/>
    <col min="10781" max="10781" width="15.28515625" style="3" bestFit="1" customWidth="1"/>
    <col min="10782" max="11024" width="9.140625" style="3"/>
    <col min="11025" max="11025" width="12.42578125" style="3" customWidth="1"/>
    <col min="11026" max="11026" width="3.7109375" style="3" customWidth="1"/>
    <col min="11027" max="11027" width="109.28515625" style="3" bestFit="1" customWidth="1"/>
    <col min="11028" max="11028" width="18.28515625" style="3" customWidth="1"/>
    <col min="11029" max="11031" width="0" style="3" hidden="1" customWidth="1"/>
    <col min="11032" max="11032" width="19.140625" style="3" customWidth="1"/>
    <col min="11033" max="11034" width="20.7109375" style="3" customWidth="1"/>
    <col min="11035" max="11035" width="22.42578125" style="3" bestFit="1" customWidth="1"/>
    <col min="11036" max="11036" width="17" style="3" customWidth="1"/>
    <col min="11037" max="11037" width="15.28515625" style="3" bestFit="1" customWidth="1"/>
    <col min="11038" max="11280" width="9.140625" style="3"/>
    <col min="11281" max="11281" width="12.42578125" style="3" customWidth="1"/>
    <col min="11282" max="11282" width="3.7109375" style="3" customWidth="1"/>
    <col min="11283" max="11283" width="109.28515625" style="3" bestFit="1" customWidth="1"/>
    <col min="11284" max="11284" width="18.28515625" style="3" customWidth="1"/>
    <col min="11285" max="11287" width="0" style="3" hidden="1" customWidth="1"/>
    <col min="11288" max="11288" width="19.140625" style="3" customWidth="1"/>
    <col min="11289" max="11290" width="20.7109375" style="3" customWidth="1"/>
    <col min="11291" max="11291" width="22.42578125" style="3" bestFit="1" customWidth="1"/>
    <col min="11292" max="11292" width="17" style="3" customWidth="1"/>
    <col min="11293" max="11293" width="15.28515625" style="3" bestFit="1" customWidth="1"/>
    <col min="11294" max="11536" width="9.140625" style="3"/>
    <col min="11537" max="11537" width="12.42578125" style="3" customWidth="1"/>
    <col min="11538" max="11538" width="3.7109375" style="3" customWidth="1"/>
    <col min="11539" max="11539" width="109.28515625" style="3" bestFit="1" customWidth="1"/>
    <col min="11540" max="11540" width="18.28515625" style="3" customWidth="1"/>
    <col min="11541" max="11543" width="0" style="3" hidden="1" customWidth="1"/>
    <col min="11544" max="11544" width="19.140625" style="3" customWidth="1"/>
    <col min="11545" max="11546" width="20.7109375" style="3" customWidth="1"/>
    <col min="11547" max="11547" width="22.42578125" style="3" bestFit="1" customWidth="1"/>
    <col min="11548" max="11548" width="17" style="3" customWidth="1"/>
    <col min="11549" max="11549" width="15.28515625" style="3" bestFit="1" customWidth="1"/>
    <col min="11550" max="11792" width="9.140625" style="3"/>
    <col min="11793" max="11793" width="12.42578125" style="3" customWidth="1"/>
    <col min="11794" max="11794" width="3.7109375" style="3" customWidth="1"/>
    <col min="11795" max="11795" width="109.28515625" style="3" bestFit="1" customWidth="1"/>
    <col min="11796" max="11796" width="18.28515625" style="3" customWidth="1"/>
    <col min="11797" max="11799" width="0" style="3" hidden="1" customWidth="1"/>
    <col min="11800" max="11800" width="19.140625" style="3" customWidth="1"/>
    <col min="11801" max="11802" width="20.7109375" style="3" customWidth="1"/>
    <col min="11803" max="11803" width="22.42578125" style="3" bestFit="1" customWidth="1"/>
    <col min="11804" max="11804" width="17" style="3" customWidth="1"/>
    <col min="11805" max="11805" width="15.28515625" style="3" bestFit="1" customWidth="1"/>
    <col min="11806" max="12048" width="9.140625" style="3"/>
    <col min="12049" max="12049" width="12.42578125" style="3" customWidth="1"/>
    <col min="12050" max="12050" width="3.7109375" style="3" customWidth="1"/>
    <col min="12051" max="12051" width="109.28515625" style="3" bestFit="1" customWidth="1"/>
    <col min="12052" max="12052" width="18.28515625" style="3" customWidth="1"/>
    <col min="12053" max="12055" width="0" style="3" hidden="1" customWidth="1"/>
    <col min="12056" max="12056" width="19.140625" style="3" customWidth="1"/>
    <col min="12057" max="12058" width="20.7109375" style="3" customWidth="1"/>
    <col min="12059" max="12059" width="22.42578125" style="3" bestFit="1" customWidth="1"/>
    <col min="12060" max="12060" width="17" style="3" customWidth="1"/>
    <col min="12061" max="12061" width="15.28515625" style="3" bestFit="1" customWidth="1"/>
    <col min="12062" max="12304" width="9.140625" style="3"/>
    <col min="12305" max="12305" width="12.42578125" style="3" customWidth="1"/>
    <col min="12306" max="12306" width="3.7109375" style="3" customWidth="1"/>
    <col min="12307" max="12307" width="109.28515625" style="3" bestFit="1" customWidth="1"/>
    <col min="12308" max="12308" width="18.28515625" style="3" customWidth="1"/>
    <col min="12309" max="12311" width="0" style="3" hidden="1" customWidth="1"/>
    <col min="12312" max="12312" width="19.140625" style="3" customWidth="1"/>
    <col min="12313" max="12314" width="20.7109375" style="3" customWidth="1"/>
    <col min="12315" max="12315" width="22.42578125" style="3" bestFit="1" customWidth="1"/>
    <col min="12316" max="12316" width="17" style="3" customWidth="1"/>
    <col min="12317" max="12317" width="15.28515625" style="3" bestFit="1" customWidth="1"/>
    <col min="12318" max="12560" width="9.140625" style="3"/>
    <col min="12561" max="12561" width="12.42578125" style="3" customWidth="1"/>
    <col min="12562" max="12562" width="3.7109375" style="3" customWidth="1"/>
    <col min="12563" max="12563" width="109.28515625" style="3" bestFit="1" customWidth="1"/>
    <col min="12564" max="12564" width="18.28515625" style="3" customWidth="1"/>
    <col min="12565" max="12567" width="0" style="3" hidden="1" customWidth="1"/>
    <col min="12568" max="12568" width="19.140625" style="3" customWidth="1"/>
    <col min="12569" max="12570" width="20.7109375" style="3" customWidth="1"/>
    <col min="12571" max="12571" width="22.42578125" style="3" bestFit="1" customWidth="1"/>
    <col min="12572" max="12572" width="17" style="3" customWidth="1"/>
    <col min="12573" max="12573" width="15.28515625" style="3" bestFit="1" customWidth="1"/>
    <col min="12574" max="12816" width="9.140625" style="3"/>
    <col min="12817" max="12817" width="12.42578125" style="3" customWidth="1"/>
    <col min="12818" max="12818" width="3.7109375" style="3" customWidth="1"/>
    <col min="12819" max="12819" width="109.28515625" style="3" bestFit="1" customWidth="1"/>
    <col min="12820" max="12820" width="18.28515625" style="3" customWidth="1"/>
    <col min="12821" max="12823" width="0" style="3" hidden="1" customWidth="1"/>
    <col min="12824" max="12824" width="19.140625" style="3" customWidth="1"/>
    <col min="12825" max="12826" width="20.7109375" style="3" customWidth="1"/>
    <col min="12827" max="12827" width="22.42578125" style="3" bestFit="1" customWidth="1"/>
    <col min="12828" max="12828" width="17" style="3" customWidth="1"/>
    <col min="12829" max="12829" width="15.28515625" style="3" bestFit="1" customWidth="1"/>
    <col min="12830" max="13072" width="9.140625" style="3"/>
    <col min="13073" max="13073" width="12.42578125" style="3" customWidth="1"/>
    <col min="13074" max="13074" width="3.7109375" style="3" customWidth="1"/>
    <col min="13075" max="13075" width="109.28515625" style="3" bestFit="1" customWidth="1"/>
    <col min="13076" max="13076" width="18.28515625" style="3" customWidth="1"/>
    <col min="13077" max="13079" width="0" style="3" hidden="1" customWidth="1"/>
    <col min="13080" max="13080" width="19.140625" style="3" customWidth="1"/>
    <col min="13081" max="13082" width="20.7109375" style="3" customWidth="1"/>
    <col min="13083" max="13083" width="22.42578125" style="3" bestFit="1" customWidth="1"/>
    <col min="13084" max="13084" width="17" style="3" customWidth="1"/>
    <col min="13085" max="13085" width="15.28515625" style="3" bestFit="1" customWidth="1"/>
    <col min="13086" max="13328" width="9.140625" style="3"/>
    <col min="13329" max="13329" width="12.42578125" style="3" customWidth="1"/>
    <col min="13330" max="13330" width="3.7109375" style="3" customWidth="1"/>
    <col min="13331" max="13331" width="109.28515625" style="3" bestFit="1" customWidth="1"/>
    <col min="13332" max="13332" width="18.28515625" style="3" customWidth="1"/>
    <col min="13333" max="13335" width="0" style="3" hidden="1" customWidth="1"/>
    <col min="13336" max="13336" width="19.140625" style="3" customWidth="1"/>
    <col min="13337" max="13338" width="20.7109375" style="3" customWidth="1"/>
    <col min="13339" max="13339" width="22.42578125" style="3" bestFit="1" customWidth="1"/>
    <col min="13340" max="13340" width="17" style="3" customWidth="1"/>
    <col min="13341" max="13341" width="15.28515625" style="3" bestFit="1" customWidth="1"/>
    <col min="13342" max="13584" width="9.140625" style="3"/>
    <col min="13585" max="13585" width="12.42578125" style="3" customWidth="1"/>
    <col min="13586" max="13586" width="3.7109375" style="3" customWidth="1"/>
    <col min="13587" max="13587" width="109.28515625" style="3" bestFit="1" customWidth="1"/>
    <col min="13588" max="13588" width="18.28515625" style="3" customWidth="1"/>
    <col min="13589" max="13591" width="0" style="3" hidden="1" customWidth="1"/>
    <col min="13592" max="13592" width="19.140625" style="3" customWidth="1"/>
    <col min="13593" max="13594" width="20.7109375" style="3" customWidth="1"/>
    <col min="13595" max="13595" width="22.42578125" style="3" bestFit="1" customWidth="1"/>
    <col min="13596" max="13596" width="17" style="3" customWidth="1"/>
    <col min="13597" max="13597" width="15.28515625" style="3" bestFit="1" customWidth="1"/>
    <col min="13598" max="13840" width="9.140625" style="3"/>
    <col min="13841" max="13841" width="12.42578125" style="3" customWidth="1"/>
    <col min="13842" max="13842" width="3.7109375" style="3" customWidth="1"/>
    <col min="13843" max="13843" width="109.28515625" style="3" bestFit="1" customWidth="1"/>
    <col min="13844" max="13844" width="18.28515625" style="3" customWidth="1"/>
    <col min="13845" max="13847" width="0" style="3" hidden="1" customWidth="1"/>
    <col min="13848" max="13848" width="19.140625" style="3" customWidth="1"/>
    <col min="13849" max="13850" width="20.7109375" style="3" customWidth="1"/>
    <col min="13851" max="13851" width="22.42578125" style="3" bestFit="1" customWidth="1"/>
    <col min="13852" max="13852" width="17" style="3" customWidth="1"/>
    <col min="13853" max="13853" width="15.28515625" style="3" bestFit="1" customWidth="1"/>
    <col min="13854" max="14096" width="9.140625" style="3"/>
    <col min="14097" max="14097" width="12.42578125" style="3" customWidth="1"/>
    <col min="14098" max="14098" width="3.7109375" style="3" customWidth="1"/>
    <col min="14099" max="14099" width="109.28515625" style="3" bestFit="1" customWidth="1"/>
    <col min="14100" max="14100" width="18.28515625" style="3" customWidth="1"/>
    <col min="14101" max="14103" width="0" style="3" hidden="1" customWidth="1"/>
    <col min="14104" max="14104" width="19.140625" style="3" customWidth="1"/>
    <col min="14105" max="14106" width="20.7109375" style="3" customWidth="1"/>
    <col min="14107" max="14107" width="22.42578125" style="3" bestFit="1" customWidth="1"/>
    <col min="14108" max="14108" width="17" style="3" customWidth="1"/>
    <col min="14109" max="14109" width="15.28515625" style="3" bestFit="1" customWidth="1"/>
    <col min="14110" max="14352" width="9.140625" style="3"/>
    <col min="14353" max="14353" width="12.42578125" style="3" customWidth="1"/>
    <col min="14354" max="14354" width="3.7109375" style="3" customWidth="1"/>
    <col min="14355" max="14355" width="109.28515625" style="3" bestFit="1" customWidth="1"/>
    <col min="14356" max="14356" width="18.28515625" style="3" customWidth="1"/>
    <col min="14357" max="14359" width="0" style="3" hidden="1" customWidth="1"/>
    <col min="14360" max="14360" width="19.140625" style="3" customWidth="1"/>
    <col min="14361" max="14362" width="20.7109375" style="3" customWidth="1"/>
    <col min="14363" max="14363" width="22.42578125" style="3" bestFit="1" customWidth="1"/>
    <col min="14364" max="14364" width="17" style="3" customWidth="1"/>
    <col min="14365" max="14365" width="15.28515625" style="3" bestFit="1" customWidth="1"/>
    <col min="14366" max="14608" width="9.140625" style="3"/>
    <col min="14609" max="14609" width="12.42578125" style="3" customWidth="1"/>
    <col min="14610" max="14610" width="3.7109375" style="3" customWidth="1"/>
    <col min="14611" max="14611" width="109.28515625" style="3" bestFit="1" customWidth="1"/>
    <col min="14612" max="14612" width="18.28515625" style="3" customWidth="1"/>
    <col min="14613" max="14615" width="0" style="3" hidden="1" customWidth="1"/>
    <col min="14616" max="14616" width="19.140625" style="3" customWidth="1"/>
    <col min="14617" max="14618" width="20.7109375" style="3" customWidth="1"/>
    <col min="14619" max="14619" width="22.42578125" style="3" bestFit="1" customWidth="1"/>
    <col min="14620" max="14620" width="17" style="3" customWidth="1"/>
    <col min="14621" max="14621" width="15.28515625" style="3" bestFit="1" customWidth="1"/>
    <col min="14622" max="14864" width="9.140625" style="3"/>
    <col min="14865" max="14865" width="12.42578125" style="3" customWidth="1"/>
    <col min="14866" max="14866" width="3.7109375" style="3" customWidth="1"/>
    <col min="14867" max="14867" width="109.28515625" style="3" bestFit="1" customWidth="1"/>
    <col min="14868" max="14868" width="18.28515625" style="3" customWidth="1"/>
    <col min="14869" max="14871" width="0" style="3" hidden="1" customWidth="1"/>
    <col min="14872" max="14872" width="19.140625" style="3" customWidth="1"/>
    <col min="14873" max="14874" width="20.7109375" style="3" customWidth="1"/>
    <col min="14875" max="14875" width="22.42578125" style="3" bestFit="1" customWidth="1"/>
    <col min="14876" max="14876" width="17" style="3" customWidth="1"/>
    <col min="14877" max="14877" width="15.28515625" style="3" bestFit="1" customWidth="1"/>
    <col min="14878" max="15120" width="9.140625" style="3"/>
    <col min="15121" max="15121" width="12.42578125" style="3" customWidth="1"/>
    <col min="15122" max="15122" width="3.7109375" style="3" customWidth="1"/>
    <col min="15123" max="15123" width="109.28515625" style="3" bestFit="1" customWidth="1"/>
    <col min="15124" max="15124" width="18.28515625" style="3" customWidth="1"/>
    <col min="15125" max="15127" width="0" style="3" hidden="1" customWidth="1"/>
    <col min="15128" max="15128" width="19.140625" style="3" customWidth="1"/>
    <col min="15129" max="15130" width="20.7109375" style="3" customWidth="1"/>
    <col min="15131" max="15131" width="22.42578125" style="3" bestFit="1" customWidth="1"/>
    <col min="15132" max="15132" width="17" style="3" customWidth="1"/>
    <col min="15133" max="15133" width="15.28515625" style="3" bestFit="1" customWidth="1"/>
    <col min="15134" max="15376" width="9.140625" style="3"/>
    <col min="15377" max="15377" width="12.42578125" style="3" customWidth="1"/>
    <col min="15378" max="15378" width="3.7109375" style="3" customWidth="1"/>
    <col min="15379" max="15379" width="109.28515625" style="3" bestFit="1" customWidth="1"/>
    <col min="15380" max="15380" width="18.28515625" style="3" customWidth="1"/>
    <col min="15381" max="15383" width="0" style="3" hidden="1" customWidth="1"/>
    <col min="15384" max="15384" width="19.140625" style="3" customWidth="1"/>
    <col min="15385" max="15386" width="20.7109375" style="3" customWidth="1"/>
    <col min="15387" max="15387" width="22.42578125" style="3" bestFit="1" customWidth="1"/>
    <col min="15388" max="15388" width="17" style="3" customWidth="1"/>
    <col min="15389" max="15389" width="15.28515625" style="3" bestFit="1" customWidth="1"/>
    <col min="15390" max="15632" width="9.140625" style="3"/>
    <col min="15633" max="15633" width="12.42578125" style="3" customWidth="1"/>
    <col min="15634" max="15634" width="3.7109375" style="3" customWidth="1"/>
    <col min="15635" max="15635" width="109.28515625" style="3" bestFit="1" customWidth="1"/>
    <col min="15636" max="15636" width="18.28515625" style="3" customWidth="1"/>
    <col min="15637" max="15639" width="0" style="3" hidden="1" customWidth="1"/>
    <col min="15640" max="15640" width="19.140625" style="3" customWidth="1"/>
    <col min="15641" max="15642" width="20.7109375" style="3" customWidth="1"/>
    <col min="15643" max="15643" width="22.42578125" style="3" bestFit="1" customWidth="1"/>
    <col min="15644" max="15644" width="17" style="3" customWidth="1"/>
    <col min="15645" max="15645" width="15.28515625" style="3" bestFit="1" customWidth="1"/>
    <col min="15646" max="15888" width="9.140625" style="3"/>
    <col min="15889" max="15889" width="12.42578125" style="3" customWidth="1"/>
    <col min="15890" max="15890" width="3.7109375" style="3" customWidth="1"/>
    <col min="15891" max="15891" width="109.28515625" style="3" bestFit="1" customWidth="1"/>
    <col min="15892" max="15892" width="18.28515625" style="3" customWidth="1"/>
    <col min="15893" max="15895" width="0" style="3" hidden="1" customWidth="1"/>
    <col min="15896" max="15896" width="19.140625" style="3" customWidth="1"/>
    <col min="15897" max="15898" width="20.7109375" style="3" customWidth="1"/>
    <col min="15899" max="15899" width="22.42578125" style="3" bestFit="1" customWidth="1"/>
    <col min="15900" max="15900" width="17" style="3" customWidth="1"/>
    <col min="15901" max="15901" width="15.28515625" style="3" bestFit="1" customWidth="1"/>
    <col min="15902" max="16144" width="9.140625" style="3"/>
    <col min="16145" max="16145" width="12.42578125" style="3" customWidth="1"/>
    <col min="16146" max="16146" width="3.7109375" style="3" customWidth="1"/>
    <col min="16147" max="16147" width="109.28515625" style="3" bestFit="1" customWidth="1"/>
    <col min="16148" max="16148" width="18.28515625" style="3" customWidth="1"/>
    <col min="16149" max="16151" width="0" style="3" hidden="1" customWidth="1"/>
    <col min="16152" max="16152" width="19.140625" style="3" customWidth="1"/>
    <col min="16153" max="16154" width="20.7109375" style="3" customWidth="1"/>
    <col min="16155" max="16155" width="22.42578125" style="3" bestFit="1" customWidth="1"/>
    <col min="16156" max="16156" width="17" style="3" customWidth="1"/>
    <col min="16157" max="16157" width="15.28515625" style="3" bestFit="1" customWidth="1"/>
    <col min="16158" max="16384" width="9.140625" style="3"/>
  </cols>
  <sheetData>
    <row r="1" spans="1:36" ht="24" customHeight="1" x14ac:dyDescent="0.35">
      <c r="A1" s="1363" t="s">
        <v>1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</row>
    <row r="2" spans="1:36" ht="24" customHeight="1" x14ac:dyDescent="0.35">
      <c r="A2" s="1363" t="s">
        <v>1445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</row>
    <row r="3" spans="1:36" ht="24" customHeight="1" x14ac:dyDescent="0.35">
      <c r="A3" s="1363" t="s">
        <v>1461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</row>
    <row r="4" spans="1:36" ht="11.25" customHeight="1" x14ac:dyDescent="0.35">
      <c r="A4" s="272"/>
      <c r="B4" s="272"/>
      <c r="C4" s="272"/>
      <c r="D4" s="272"/>
      <c r="E4" s="272"/>
      <c r="F4" s="272"/>
      <c r="G4" s="272"/>
      <c r="H4" s="324"/>
      <c r="I4" s="329"/>
      <c r="J4" s="329"/>
    </row>
    <row r="5" spans="1:36" s="4" customFormat="1" ht="31.9" customHeight="1" x14ac:dyDescent="0.2">
      <c r="A5" s="1364" t="s">
        <v>8</v>
      </c>
      <c r="B5" s="1365"/>
      <c r="C5" s="1366"/>
      <c r="D5" s="1399" t="s">
        <v>832</v>
      </c>
      <c r="E5" s="1399" t="s">
        <v>833</v>
      </c>
      <c r="F5" s="1399" t="s">
        <v>834</v>
      </c>
      <c r="G5" s="1399" t="s">
        <v>212</v>
      </c>
      <c r="H5" s="1405" t="s">
        <v>687</v>
      </c>
      <c r="I5" s="1407" t="s">
        <v>835</v>
      </c>
      <c r="J5" s="1399" t="s">
        <v>836</v>
      </c>
      <c r="K5" s="1409" t="s">
        <v>1302</v>
      </c>
      <c r="L5" s="1409" t="s">
        <v>1419</v>
      </c>
      <c r="M5" s="1399" t="s">
        <v>1301</v>
      </c>
      <c r="N5" s="1405" t="s">
        <v>1300</v>
      </c>
      <c r="O5" s="1399" t="s">
        <v>1432</v>
      </c>
      <c r="P5" s="1399" t="s">
        <v>1433</v>
      </c>
      <c r="Q5" s="1399" t="s">
        <v>1434</v>
      </c>
      <c r="R5" s="1399" t="s">
        <v>1435</v>
      </c>
      <c r="S5" s="1401" t="s">
        <v>1436</v>
      </c>
      <c r="T5" s="1399" t="s">
        <v>1437</v>
      </c>
      <c r="U5" s="1399" t="s">
        <v>212</v>
      </c>
      <c r="V5" s="1399" t="s">
        <v>1438</v>
      </c>
      <c r="W5" s="1399" t="s">
        <v>1439</v>
      </c>
      <c r="X5" s="1399" t="s">
        <v>1440</v>
      </c>
      <c r="Y5" s="1399" t="s">
        <v>1441</v>
      </c>
      <c r="Z5" s="1399" t="s">
        <v>1442</v>
      </c>
      <c r="AA5" s="1399" t="s">
        <v>1443</v>
      </c>
      <c r="AB5" s="1399" t="s">
        <v>1444</v>
      </c>
      <c r="AI5" s="1276" t="s">
        <v>1462</v>
      </c>
    </row>
    <row r="6" spans="1:36" s="4" customFormat="1" ht="43.5" customHeight="1" x14ac:dyDescent="0.2">
      <c r="A6" s="1367"/>
      <c r="B6" s="1368"/>
      <c r="C6" s="1369"/>
      <c r="D6" s="1400"/>
      <c r="E6" s="1400"/>
      <c r="F6" s="1400"/>
      <c r="G6" s="1400"/>
      <c r="H6" s="1406"/>
      <c r="I6" s="1408"/>
      <c r="J6" s="1400"/>
      <c r="K6" s="1410"/>
      <c r="L6" s="1410"/>
      <c r="M6" s="1400"/>
      <c r="N6" s="1406"/>
      <c r="O6" s="1400"/>
      <c r="P6" s="1400"/>
      <c r="Q6" s="1400"/>
      <c r="R6" s="1400"/>
      <c r="S6" s="1402"/>
      <c r="T6" s="1400"/>
      <c r="U6" s="1400"/>
      <c r="V6" s="1400"/>
      <c r="W6" s="1400"/>
      <c r="X6" s="1400"/>
      <c r="Y6" s="1400"/>
      <c r="Z6" s="1400"/>
      <c r="AA6" s="1400"/>
      <c r="AB6" s="1400"/>
      <c r="AI6" s="1276"/>
    </row>
    <row r="7" spans="1:36" s="5" customFormat="1" x14ac:dyDescent="0.2">
      <c r="A7" s="1386" t="s">
        <v>5</v>
      </c>
      <c r="B7" s="1387"/>
      <c r="C7" s="1387"/>
      <c r="D7" s="1072">
        <f>SUM(D10,D22,D723,D888)</f>
        <v>8156364200</v>
      </c>
      <c r="E7" s="1073">
        <f>SUM(E10,E22,E723,E888)</f>
        <v>7373297429.9199991</v>
      </c>
      <c r="F7" s="1073">
        <f>SUM(F10,F22,F723,F888)</f>
        <v>0</v>
      </c>
      <c r="G7" s="1073">
        <f>SUM(G10,G22,G723,G888)</f>
        <v>727902667.46000004</v>
      </c>
      <c r="H7" s="1073">
        <f>SUM(H10,H22,H723,H888)</f>
        <v>7406498000</v>
      </c>
      <c r="I7" s="1074">
        <v>11055653500</v>
      </c>
      <c r="J7" s="1074">
        <f>SUM(J10,J22,J723,J888)</f>
        <v>7556489900</v>
      </c>
      <c r="K7" s="1024"/>
      <c r="L7" s="1024"/>
      <c r="M7" s="1071">
        <f t="shared" ref="M7:U7" si="0">SUM(M10,M22,M723,M888)</f>
        <v>4138434500</v>
      </c>
      <c r="N7" s="1071">
        <f t="shared" si="0"/>
        <v>4986486500</v>
      </c>
      <c r="O7" s="1071">
        <f t="shared" si="0"/>
        <v>0</v>
      </c>
      <c r="P7" s="1071">
        <f t="shared" si="0"/>
        <v>0</v>
      </c>
      <c r="Q7" s="1071">
        <f t="shared" si="0"/>
        <v>77129158.529999986</v>
      </c>
      <c r="R7" s="1071">
        <f t="shared" si="0"/>
        <v>49574200</v>
      </c>
      <c r="S7" s="1071">
        <f>SUM(S10,S22,S723,S888)</f>
        <v>2261710627.6599998</v>
      </c>
      <c r="T7" s="1071">
        <f t="shared" si="0"/>
        <v>2311284827.6599998</v>
      </c>
      <c r="U7" s="1071">
        <f t="shared" si="0"/>
        <v>2675201672.3400002</v>
      </c>
      <c r="V7" s="1071">
        <f t="shared" ref="V7:V13" si="1">IFERROR(T7*100/(N7+O7),0)</f>
        <v>46.350969317975689</v>
      </c>
      <c r="W7" s="1071">
        <f t="shared" ref="W7:AB7" si="2">SUM(W10,W22,W723,W888)</f>
        <v>0</v>
      </c>
      <c r="X7" s="1071">
        <f t="shared" si="2"/>
        <v>1831215862.98</v>
      </c>
      <c r="Y7" s="1071">
        <f t="shared" si="2"/>
        <v>3155270637.02</v>
      </c>
      <c r="Z7" s="1071">
        <f t="shared" si="2"/>
        <v>1831215862.98</v>
      </c>
      <c r="AA7" s="1071">
        <f t="shared" si="2"/>
        <v>3155270637.02</v>
      </c>
      <c r="AB7" s="1071">
        <f t="shared" si="2"/>
        <v>4401.9692587885393</v>
      </c>
      <c r="AC7" s="314"/>
      <c r="AI7" s="1001"/>
    </row>
    <row r="8" spans="1:36" s="5" customFormat="1" ht="21" customHeight="1" outlineLevel="1" x14ac:dyDescent="0.2">
      <c r="A8" s="1067"/>
      <c r="B8" s="1068"/>
      <c r="C8" s="1068"/>
      <c r="D8" s="1075"/>
      <c r="E8" s="1076"/>
      <c r="F8" s="1076"/>
      <c r="G8" s="1076"/>
      <c r="H8" s="1076"/>
      <c r="I8" s="1077"/>
      <c r="J8" s="1077"/>
      <c r="K8" s="1069"/>
      <c r="L8" s="1069"/>
      <c r="M8" s="1070">
        <v>4138434500</v>
      </c>
      <c r="N8" s="1070">
        <v>4986486500</v>
      </c>
      <c r="O8" s="1070"/>
      <c r="P8" s="1070"/>
      <c r="Q8" s="1070">
        <v>77129158.530000001</v>
      </c>
      <c r="R8" s="1070">
        <f>11460000+38114200</f>
        <v>49574200</v>
      </c>
      <c r="S8" s="1070">
        <f>(1129394441.69-319770-50000)+(1138258602.42-5136000-386646.45-50000)</f>
        <v>2261710627.6599998</v>
      </c>
      <c r="T8" s="1070">
        <f>+R8+S8</f>
        <v>2311284827.6599998</v>
      </c>
      <c r="U8" s="1070">
        <f>+N8+O8-T8</f>
        <v>2675201672.3400002</v>
      </c>
      <c r="V8" s="1070">
        <f t="shared" si="1"/>
        <v>46.350969317975689</v>
      </c>
      <c r="W8" s="1070"/>
      <c r="X8" s="1070"/>
      <c r="Y8" s="1070"/>
      <c r="Z8" s="1070"/>
      <c r="AA8" s="1070"/>
      <c r="AB8" s="1070"/>
      <c r="AC8" s="314"/>
      <c r="AI8" s="1001"/>
    </row>
    <row r="9" spans="1:36" s="5" customFormat="1" ht="21" customHeight="1" outlineLevel="1" x14ac:dyDescent="0.2">
      <c r="A9" s="1067"/>
      <c r="B9" s="1068"/>
      <c r="C9" s="1068"/>
      <c r="D9" s="1075"/>
      <c r="E9" s="1076"/>
      <c r="F9" s="1076"/>
      <c r="G9" s="1076"/>
      <c r="H9" s="1076"/>
      <c r="I9" s="1077"/>
      <c r="J9" s="1077"/>
      <c r="K9" s="1069"/>
      <c r="L9" s="1069"/>
      <c r="M9" s="1070">
        <f>+M8-M7</f>
        <v>0</v>
      </c>
      <c r="N9" s="1070">
        <f t="shared" ref="N9:AB9" si="3">+N8-N7</f>
        <v>0</v>
      </c>
      <c r="O9" s="1070">
        <f t="shared" si="3"/>
        <v>0</v>
      </c>
      <c r="P9" s="1070">
        <f t="shared" si="3"/>
        <v>0</v>
      </c>
      <c r="Q9" s="1070">
        <f t="shared" si="3"/>
        <v>0</v>
      </c>
      <c r="R9" s="1070">
        <f t="shared" si="3"/>
        <v>0</v>
      </c>
      <c r="S9" s="1070">
        <f>+S8-S7</f>
        <v>0</v>
      </c>
      <c r="T9" s="1070">
        <f>+T8-T7</f>
        <v>0</v>
      </c>
      <c r="U9" s="1070">
        <f t="shared" si="3"/>
        <v>0</v>
      </c>
      <c r="V9" s="1070">
        <f t="shared" si="1"/>
        <v>0</v>
      </c>
      <c r="W9" s="1070">
        <f t="shared" si="3"/>
        <v>0</v>
      </c>
      <c r="X9" s="1070">
        <f t="shared" si="3"/>
        <v>-1831215862.98</v>
      </c>
      <c r="Y9" s="1070">
        <f t="shared" si="3"/>
        <v>-3155270637.02</v>
      </c>
      <c r="Z9" s="1070">
        <f t="shared" si="3"/>
        <v>-1831215862.98</v>
      </c>
      <c r="AA9" s="1070">
        <f t="shared" si="3"/>
        <v>-3155270637.02</v>
      </c>
      <c r="AB9" s="1070">
        <f t="shared" si="3"/>
        <v>-4401.9692587885393</v>
      </c>
      <c r="AC9" s="314"/>
      <c r="AI9" s="1001"/>
    </row>
    <row r="10" spans="1:36" s="5" customFormat="1" x14ac:dyDescent="0.2">
      <c r="A10" s="6" t="s">
        <v>26</v>
      </c>
      <c r="B10" s="7"/>
      <c r="C10" s="7"/>
      <c r="D10" s="1078">
        <f>SUM(D11+D15)</f>
        <v>28686600</v>
      </c>
      <c r="E10" s="1079">
        <f>SUM(E11+E15)</f>
        <v>10820802.83</v>
      </c>
      <c r="F10" s="1079"/>
      <c r="G10" s="1079"/>
      <c r="H10" s="1079">
        <f>SUM(H11+H15)</f>
        <v>22694000</v>
      </c>
      <c r="I10" s="1080">
        <v>28118000</v>
      </c>
      <c r="J10" s="1080">
        <f>SUM(J11+J15)</f>
        <v>16215700</v>
      </c>
      <c r="K10" s="1025"/>
      <c r="L10" s="1025"/>
      <c r="M10" s="1079">
        <f t="shared" ref="M10:U10" si="4">SUM(M11+M15)</f>
        <v>8758000</v>
      </c>
      <c r="N10" s="1079">
        <f>SUM(N11+N15)</f>
        <v>10809400</v>
      </c>
      <c r="O10" s="1079">
        <f t="shared" si="4"/>
        <v>0</v>
      </c>
      <c r="P10" s="1079">
        <f t="shared" si="4"/>
        <v>0</v>
      </c>
      <c r="Q10" s="1079">
        <f t="shared" si="4"/>
        <v>0</v>
      </c>
      <c r="R10" s="1079">
        <f t="shared" si="4"/>
        <v>0</v>
      </c>
      <c r="S10" s="1079">
        <f t="shared" si="4"/>
        <v>3134671.1</v>
      </c>
      <c r="T10" s="1079">
        <f t="shared" si="4"/>
        <v>3134671.1</v>
      </c>
      <c r="U10" s="1079">
        <f t="shared" si="4"/>
        <v>7674728.8999999994</v>
      </c>
      <c r="V10" s="1079">
        <f t="shared" si="1"/>
        <v>28.999492108720187</v>
      </c>
      <c r="W10" s="1079">
        <f t="shared" ref="W10:AB10" si="5">SUM(W11+W15)</f>
        <v>0</v>
      </c>
      <c r="X10" s="1079">
        <f t="shared" si="5"/>
        <v>3134671.1</v>
      </c>
      <c r="Y10" s="1079">
        <f t="shared" si="5"/>
        <v>7674728.8999999994</v>
      </c>
      <c r="Z10" s="1079">
        <f t="shared" si="5"/>
        <v>3134671.1</v>
      </c>
      <c r="AA10" s="1079">
        <f t="shared" si="5"/>
        <v>7674728.8999999994</v>
      </c>
      <c r="AB10" s="1079">
        <f t="shared" si="5"/>
        <v>35.40556631206033</v>
      </c>
      <c r="AE10" s="650">
        <f>+N10+O10-T10-U10</f>
        <v>0</v>
      </c>
      <c r="AI10" s="1001"/>
    </row>
    <row r="11" spans="1:36" s="5" customFormat="1" ht="24" customHeight="1" x14ac:dyDescent="0.2">
      <c r="A11" s="9" t="s">
        <v>837</v>
      </c>
      <c r="B11" s="10"/>
      <c r="C11" s="10"/>
      <c r="D11" s="1081">
        <f t="shared" ref="D11:E13" si="6">SUM(D12)</f>
        <v>25908100</v>
      </c>
      <c r="E11" s="1082">
        <f t="shared" si="6"/>
        <v>9425149.7599999998</v>
      </c>
      <c r="F11" s="1082"/>
      <c r="G11" s="1082"/>
      <c r="H11" s="1082">
        <f>SUM(H12)</f>
        <v>22118000</v>
      </c>
      <c r="I11" s="1083">
        <v>23118000</v>
      </c>
      <c r="J11" s="1083">
        <f t="shared" ref="J11:N13" si="7">SUM(J12)</f>
        <v>14574000</v>
      </c>
      <c r="K11" s="1026" t="s">
        <v>1303</v>
      </c>
      <c r="L11" s="1026"/>
      <c r="M11" s="1082">
        <f t="shared" ref="M11:AB13" si="8">SUM(M12)</f>
        <v>7663600</v>
      </c>
      <c r="N11" s="1082">
        <f t="shared" si="7"/>
        <v>9715000</v>
      </c>
      <c r="O11" s="1082">
        <f t="shared" si="8"/>
        <v>0</v>
      </c>
      <c r="P11" s="1082">
        <f t="shared" si="8"/>
        <v>0</v>
      </c>
      <c r="Q11" s="1082">
        <f t="shared" si="8"/>
        <v>0</v>
      </c>
      <c r="R11" s="1082">
        <f t="shared" si="8"/>
        <v>0</v>
      </c>
      <c r="S11" s="1082">
        <f t="shared" si="8"/>
        <v>3102419.81</v>
      </c>
      <c r="T11" s="1082">
        <f t="shared" si="8"/>
        <v>3102419.81</v>
      </c>
      <c r="U11" s="1082">
        <f t="shared" si="8"/>
        <v>6612580.1899999995</v>
      </c>
      <c r="V11" s="1082">
        <f t="shared" si="1"/>
        <v>31.934326402470408</v>
      </c>
      <c r="W11" s="1082">
        <f t="shared" si="8"/>
        <v>0</v>
      </c>
      <c r="X11" s="1082">
        <f t="shared" si="8"/>
        <v>3102419.81</v>
      </c>
      <c r="Y11" s="1082">
        <f t="shared" si="8"/>
        <v>6612580.1899999995</v>
      </c>
      <c r="Z11" s="1082">
        <f t="shared" si="8"/>
        <v>3102419.81</v>
      </c>
      <c r="AA11" s="1082">
        <f t="shared" si="8"/>
        <v>6612580.1899999995</v>
      </c>
      <c r="AB11" s="1082">
        <f t="shared" si="8"/>
        <v>31.934326402470408</v>
      </c>
      <c r="AD11" s="650">
        <f t="shared" ref="AD11:AD73" si="9">+N11+O11-R11-S11-U11</f>
        <v>0</v>
      </c>
      <c r="AI11" s="1001"/>
    </row>
    <row r="12" spans="1:36" s="5" customFormat="1" x14ac:dyDescent="0.2">
      <c r="A12" s="14" t="s">
        <v>838</v>
      </c>
      <c r="B12" s="15"/>
      <c r="C12" s="15"/>
      <c r="D12" s="1084">
        <f t="shared" si="6"/>
        <v>25908100</v>
      </c>
      <c r="E12" s="1085">
        <f t="shared" si="6"/>
        <v>9425149.7599999998</v>
      </c>
      <c r="F12" s="1085"/>
      <c r="G12" s="1085"/>
      <c r="H12" s="1085">
        <f>SUM(H13)</f>
        <v>22118000</v>
      </c>
      <c r="I12" s="1086">
        <v>23118000</v>
      </c>
      <c r="J12" s="1086">
        <f t="shared" si="7"/>
        <v>14574000</v>
      </c>
      <c r="K12" s="1027"/>
      <c r="L12" s="1027" t="s">
        <v>1420</v>
      </c>
      <c r="M12" s="1085">
        <f t="shared" si="8"/>
        <v>7663600</v>
      </c>
      <c r="N12" s="1085">
        <f t="shared" si="7"/>
        <v>9715000</v>
      </c>
      <c r="O12" s="1085">
        <f t="shared" si="8"/>
        <v>0</v>
      </c>
      <c r="P12" s="1085">
        <f t="shared" si="8"/>
        <v>0</v>
      </c>
      <c r="Q12" s="1085">
        <f t="shared" si="8"/>
        <v>0</v>
      </c>
      <c r="R12" s="1085">
        <f t="shared" si="8"/>
        <v>0</v>
      </c>
      <c r="S12" s="1085">
        <f t="shared" si="8"/>
        <v>3102419.81</v>
      </c>
      <c r="T12" s="1085">
        <f t="shared" si="8"/>
        <v>3102419.81</v>
      </c>
      <c r="U12" s="1085">
        <f t="shared" si="8"/>
        <v>6612580.1899999995</v>
      </c>
      <c r="V12" s="1085">
        <f t="shared" si="1"/>
        <v>31.934326402470408</v>
      </c>
      <c r="W12" s="1085">
        <f t="shared" si="8"/>
        <v>0</v>
      </c>
      <c r="X12" s="1085">
        <f t="shared" si="8"/>
        <v>3102419.81</v>
      </c>
      <c r="Y12" s="1085">
        <f t="shared" si="8"/>
        <v>6612580.1899999995</v>
      </c>
      <c r="Z12" s="1085">
        <f t="shared" si="8"/>
        <v>3102419.81</v>
      </c>
      <c r="AA12" s="1085">
        <f t="shared" si="8"/>
        <v>6612580.1899999995</v>
      </c>
      <c r="AB12" s="1085">
        <f t="shared" si="8"/>
        <v>31.934326402470408</v>
      </c>
      <c r="AD12" s="650">
        <f t="shared" si="9"/>
        <v>0</v>
      </c>
      <c r="AI12" s="1001"/>
    </row>
    <row r="13" spans="1:36" s="5" customFormat="1" x14ac:dyDescent="0.2">
      <c r="A13" s="20" t="s">
        <v>45</v>
      </c>
      <c r="B13" s="21"/>
      <c r="C13" s="21"/>
      <c r="D13" s="1087">
        <f t="shared" si="6"/>
        <v>25908100</v>
      </c>
      <c r="E13" s="1088">
        <f t="shared" si="6"/>
        <v>9425149.7599999998</v>
      </c>
      <c r="F13" s="1088"/>
      <c r="G13" s="1088"/>
      <c r="H13" s="1088">
        <f>SUM(H14)</f>
        <v>22118000</v>
      </c>
      <c r="I13" s="1089">
        <v>23118000</v>
      </c>
      <c r="J13" s="1089">
        <f t="shared" si="7"/>
        <v>14574000</v>
      </c>
      <c r="K13" s="1028"/>
      <c r="L13" s="1028"/>
      <c r="M13" s="1088">
        <f>SUM(M14)</f>
        <v>7663600</v>
      </c>
      <c r="N13" s="1088">
        <f t="shared" si="7"/>
        <v>9715000</v>
      </c>
      <c r="O13" s="1088">
        <f t="shared" si="8"/>
        <v>0</v>
      </c>
      <c r="P13" s="1088">
        <f t="shared" si="8"/>
        <v>0</v>
      </c>
      <c r="Q13" s="1088">
        <f t="shared" si="8"/>
        <v>0</v>
      </c>
      <c r="R13" s="1088">
        <f t="shared" si="8"/>
        <v>0</v>
      </c>
      <c r="S13" s="1088">
        <f t="shared" si="8"/>
        <v>3102419.81</v>
      </c>
      <c r="T13" s="1088">
        <f t="shared" si="8"/>
        <v>3102419.81</v>
      </c>
      <c r="U13" s="1088">
        <f t="shared" si="8"/>
        <v>6612580.1899999995</v>
      </c>
      <c r="V13" s="1088">
        <f t="shared" si="1"/>
        <v>31.934326402470408</v>
      </c>
      <c r="W13" s="1088">
        <f t="shared" si="8"/>
        <v>0</v>
      </c>
      <c r="X13" s="1088">
        <f t="shared" si="8"/>
        <v>3102419.81</v>
      </c>
      <c r="Y13" s="1088">
        <f t="shared" si="8"/>
        <v>6612580.1899999995</v>
      </c>
      <c r="Z13" s="1088">
        <f t="shared" si="8"/>
        <v>3102419.81</v>
      </c>
      <c r="AA13" s="1088">
        <f t="shared" si="8"/>
        <v>6612580.1899999995</v>
      </c>
      <c r="AB13" s="1088">
        <f t="shared" si="8"/>
        <v>31.934326402470408</v>
      </c>
      <c r="AD13" s="650">
        <f t="shared" si="9"/>
        <v>0</v>
      </c>
      <c r="AI13" s="1001"/>
    </row>
    <row r="14" spans="1:36" s="422" customFormat="1" x14ac:dyDescent="0.2">
      <c r="A14" s="415"/>
      <c r="B14" s="27" t="s">
        <v>1242</v>
      </c>
      <c r="C14" s="139"/>
      <c r="D14" s="1090">
        <v>25908100</v>
      </c>
      <c r="E14" s="1091">
        <v>9425149.7599999998</v>
      </c>
      <c r="F14" s="1091"/>
      <c r="G14" s="1091"/>
      <c r="H14" s="1091">
        <v>22118000</v>
      </c>
      <c r="I14" s="1092">
        <v>23118000</v>
      </c>
      <c r="J14" s="1092">
        <v>14574000</v>
      </c>
      <c r="K14" s="1029" t="s">
        <v>1304</v>
      </c>
      <c r="L14" s="1029" t="s">
        <v>1420</v>
      </c>
      <c r="M14" s="1091">
        <v>7663600</v>
      </c>
      <c r="N14" s="1091">
        <v>9715000</v>
      </c>
      <c r="O14" s="1091"/>
      <c r="P14" s="1091"/>
      <c r="Q14" s="1091"/>
      <c r="R14" s="1091"/>
      <c r="S14" s="1267">
        <f>3102419.81</f>
        <v>3102419.81</v>
      </c>
      <c r="T14" s="1091">
        <f>+R14+S14</f>
        <v>3102419.81</v>
      </c>
      <c r="U14" s="1091">
        <f>+N14+O14-T14</f>
        <v>6612580.1899999995</v>
      </c>
      <c r="V14" s="1091">
        <f>IFERROR(T14*100/(N14+O14),0)</f>
        <v>31.934326402470408</v>
      </c>
      <c r="W14" s="1091"/>
      <c r="X14" s="1091">
        <f>+T14+Q14</f>
        <v>3102419.81</v>
      </c>
      <c r="Y14" s="1091">
        <f>+U14-Q14</f>
        <v>6612580.1899999995</v>
      </c>
      <c r="Z14" s="1091">
        <f>+T14+Q14+P14</f>
        <v>3102419.81</v>
      </c>
      <c r="AA14" s="1091">
        <f>+U14-Q14-P14</f>
        <v>6612580.1899999995</v>
      </c>
      <c r="AB14" s="1091">
        <f>IFERROR(Z14*100/(N14+O14),0)</f>
        <v>31.934326402470408</v>
      </c>
      <c r="AD14" s="650">
        <f t="shared" si="9"/>
        <v>0</v>
      </c>
      <c r="AI14" s="1277">
        <f>VLOOKUP(K14,'[2]ผลการเบิกจ่ายสะสม พ.ย. 66'!$C:$N,12,0)</f>
        <v>3102419.81</v>
      </c>
      <c r="AJ14" s="1274">
        <f>+AI14-S14</f>
        <v>0</v>
      </c>
    </row>
    <row r="15" spans="1:36" s="5" customFormat="1" x14ac:dyDescent="0.2">
      <c r="A15" s="9" t="s">
        <v>839</v>
      </c>
      <c r="B15" s="10"/>
      <c r="C15" s="10"/>
      <c r="D15" s="1093">
        <f>SUM(D16)</f>
        <v>2778500</v>
      </c>
      <c r="E15" s="1094">
        <f>SUM(E16)</f>
        <v>1395653.0699999998</v>
      </c>
      <c r="F15" s="1094"/>
      <c r="G15" s="1094"/>
      <c r="H15" s="1094">
        <f>SUM(H16)</f>
        <v>576000</v>
      </c>
      <c r="I15" s="1095">
        <v>5000000</v>
      </c>
      <c r="J15" s="1095">
        <f>SUM(J16)</f>
        <v>1641700</v>
      </c>
      <c r="K15" s="1030" t="s">
        <v>1305</v>
      </c>
      <c r="L15" s="1030"/>
      <c r="M15" s="1094">
        <f t="shared" ref="M15:AB16" si="10">SUM(M16)</f>
        <v>1094400</v>
      </c>
      <c r="N15" s="1094">
        <f>SUM(N16)</f>
        <v>1094400</v>
      </c>
      <c r="O15" s="1094">
        <f t="shared" si="10"/>
        <v>0</v>
      </c>
      <c r="P15" s="1094">
        <f t="shared" si="10"/>
        <v>0</v>
      </c>
      <c r="Q15" s="1094">
        <f t="shared" si="10"/>
        <v>0</v>
      </c>
      <c r="R15" s="1094">
        <f t="shared" si="10"/>
        <v>0</v>
      </c>
      <c r="S15" s="1094">
        <f t="shared" si="10"/>
        <v>32251.29</v>
      </c>
      <c r="T15" s="1094">
        <f t="shared" si="10"/>
        <v>32251.29</v>
      </c>
      <c r="U15" s="1094">
        <f t="shared" si="10"/>
        <v>1062148.71</v>
      </c>
      <c r="V15" s="1094">
        <f t="shared" ref="V15:V78" si="11">IFERROR(T15*100/(N15+O15),0)</f>
        <v>2.946938048245614</v>
      </c>
      <c r="W15" s="1094">
        <f t="shared" si="10"/>
        <v>0</v>
      </c>
      <c r="X15" s="1094">
        <f t="shared" si="10"/>
        <v>32251.29</v>
      </c>
      <c r="Y15" s="1094">
        <f t="shared" si="10"/>
        <v>1062148.71</v>
      </c>
      <c r="Z15" s="1094">
        <f t="shared" si="10"/>
        <v>32251.29</v>
      </c>
      <c r="AA15" s="1094">
        <f t="shared" si="10"/>
        <v>1062148.71</v>
      </c>
      <c r="AB15" s="1094">
        <f t="shared" si="10"/>
        <v>3.4712399095899258</v>
      </c>
      <c r="AD15" s="650">
        <f t="shared" si="9"/>
        <v>0</v>
      </c>
      <c r="AI15" s="1277" t="e">
        <f>VLOOKUP(K15,'[2]ผลการเบิกจ่ายสะสม พ.ย. 66'!$C:$N,12,0)</f>
        <v>#N/A</v>
      </c>
      <c r="AJ15" s="1274" t="e">
        <f t="shared" ref="AJ15:AJ78" si="12">+AI15-S15</f>
        <v>#N/A</v>
      </c>
    </row>
    <row r="16" spans="1:36" s="5" customFormat="1" x14ac:dyDescent="0.2">
      <c r="A16" s="14" t="s">
        <v>122</v>
      </c>
      <c r="B16" s="15"/>
      <c r="C16" s="15"/>
      <c r="D16" s="1084">
        <f>SUM(D17)</f>
        <v>2778500</v>
      </c>
      <c r="E16" s="1085">
        <f>SUM(E17)</f>
        <v>1395653.0699999998</v>
      </c>
      <c r="F16" s="1085"/>
      <c r="G16" s="1085"/>
      <c r="H16" s="1085">
        <f>SUM(H17)</f>
        <v>576000</v>
      </c>
      <c r="I16" s="1086">
        <v>5000000</v>
      </c>
      <c r="J16" s="1086">
        <f>SUM(J17)</f>
        <v>1641700</v>
      </c>
      <c r="K16" s="1027"/>
      <c r="L16" s="1027" t="s">
        <v>1421</v>
      </c>
      <c r="M16" s="1085">
        <f t="shared" si="10"/>
        <v>1094400</v>
      </c>
      <c r="N16" s="1085">
        <f>SUM(N17)</f>
        <v>1094400</v>
      </c>
      <c r="O16" s="1085">
        <f t="shared" si="10"/>
        <v>0</v>
      </c>
      <c r="P16" s="1085">
        <f t="shared" si="10"/>
        <v>0</v>
      </c>
      <c r="Q16" s="1085">
        <f t="shared" si="10"/>
        <v>0</v>
      </c>
      <c r="R16" s="1085">
        <f t="shared" si="10"/>
        <v>0</v>
      </c>
      <c r="S16" s="1085">
        <f t="shared" si="10"/>
        <v>32251.29</v>
      </c>
      <c r="T16" s="1085">
        <f t="shared" si="10"/>
        <v>32251.29</v>
      </c>
      <c r="U16" s="1085">
        <f t="shared" si="10"/>
        <v>1062148.71</v>
      </c>
      <c r="V16" s="1085">
        <f t="shared" si="11"/>
        <v>2.946938048245614</v>
      </c>
      <c r="W16" s="1085">
        <f t="shared" si="10"/>
        <v>0</v>
      </c>
      <c r="X16" s="1085">
        <f t="shared" si="10"/>
        <v>32251.29</v>
      </c>
      <c r="Y16" s="1085">
        <f t="shared" si="10"/>
        <v>1062148.71</v>
      </c>
      <c r="Z16" s="1085">
        <f t="shared" si="10"/>
        <v>32251.29</v>
      </c>
      <c r="AA16" s="1085">
        <f t="shared" si="10"/>
        <v>1062148.71</v>
      </c>
      <c r="AB16" s="1085">
        <f t="shared" si="10"/>
        <v>3.4712399095899258</v>
      </c>
      <c r="AD16" s="650">
        <f t="shared" si="9"/>
        <v>0</v>
      </c>
      <c r="AI16" s="1277">
        <f>VLOOKUP(K16,'[2]ผลการเบิกจ่ายสะสม พ.ย. 66'!$C:$N,12,0)</f>
        <v>0</v>
      </c>
      <c r="AJ16" s="1274">
        <f t="shared" si="12"/>
        <v>-32251.29</v>
      </c>
    </row>
    <row r="17" spans="1:36" s="5" customFormat="1" x14ac:dyDescent="0.2">
      <c r="A17" s="20" t="s">
        <v>1282</v>
      </c>
      <c r="B17" s="21"/>
      <c r="C17" s="21"/>
      <c r="D17" s="1087">
        <f>SUM(D18:D20)</f>
        <v>2778500</v>
      </c>
      <c r="E17" s="1088">
        <f>SUM(E18:E20)</f>
        <v>1395653.0699999998</v>
      </c>
      <c r="F17" s="1088"/>
      <c r="G17" s="1088"/>
      <c r="H17" s="1088">
        <f>SUM(H18:H20)</f>
        <v>576000</v>
      </c>
      <c r="I17" s="1089">
        <v>5000000</v>
      </c>
      <c r="J17" s="1089">
        <f>SUM(J18:J20)</f>
        <v>1641700</v>
      </c>
      <c r="K17" s="1028"/>
      <c r="L17" s="1028"/>
      <c r="M17" s="1088">
        <f t="shared" ref="M17:U17" si="13">SUM(M18:M20)</f>
        <v>1094400</v>
      </c>
      <c r="N17" s="1088">
        <f>SUM(N18:N20)</f>
        <v>1094400</v>
      </c>
      <c r="O17" s="1088">
        <f t="shared" si="13"/>
        <v>0</v>
      </c>
      <c r="P17" s="1088">
        <f t="shared" si="13"/>
        <v>0</v>
      </c>
      <c r="Q17" s="1088">
        <f t="shared" si="13"/>
        <v>0</v>
      </c>
      <c r="R17" s="1088">
        <f t="shared" si="13"/>
        <v>0</v>
      </c>
      <c r="S17" s="1088">
        <f t="shared" si="13"/>
        <v>32251.29</v>
      </c>
      <c r="T17" s="1088">
        <f t="shared" si="13"/>
        <v>32251.29</v>
      </c>
      <c r="U17" s="1088">
        <f t="shared" si="13"/>
        <v>1062148.71</v>
      </c>
      <c r="V17" s="1088">
        <f t="shared" si="11"/>
        <v>2.946938048245614</v>
      </c>
      <c r="W17" s="1088">
        <f t="shared" ref="W17:AB17" si="14">SUM(W18:W20)</f>
        <v>0</v>
      </c>
      <c r="X17" s="1088">
        <f t="shared" si="14"/>
        <v>32251.29</v>
      </c>
      <c r="Y17" s="1088">
        <f t="shared" si="14"/>
        <v>1062148.71</v>
      </c>
      <c r="Z17" s="1088">
        <f t="shared" si="14"/>
        <v>32251.29</v>
      </c>
      <c r="AA17" s="1088">
        <f t="shared" si="14"/>
        <v>1062148.71</v>
      </c>
      <c r="AB17" s="1088">
        <f t="shared" si="14"/>
        <v>3.4712399095899258</v>
      </c>
      <c r="AD17" s="650">
        <f t="shared" si="9"/>
        <v>0</v>
      </c>
      <c r="AI17" s="1277">
        <f>VLOOKUP(K17,'[2]ผลการเบิกจ่ายสะสม พ.ย. 66'!$C:$N,12,0)</f>
        <v>0</v>
      </c>
      <c r="AJ17" s="1274">
        <f t="shared" si="12"/>
        <v>-32251.29</v>
      </c>
    </row>
    <row r="18" spans="1:36" s="5" customFormat="1" x14ac:dyDescent="0.2">
      <c r="A18" s="33"/>
      <c r="B18" s="34" t="s">
        <v>1243</v>
      </c>
      <c r="C18" s="273"/>
      <c r="D18" s="1096">
        <v>1993100</v>
      </c>
      <c r="E18" s="1097">
        <v>908129.72</v>
      </c>
      <c r="F18" s="1097"/>
      <c r="G18" s="1097"/>
      <c r="H18" s="1097">
        <v>276000</v>
      </c>
      <c r="I18" s="1098">
        <v>3000000</v>
      </c>
      <c r="J18" s="1098">
        <v>1393700</v>
      </c>
      <c r="K18" s="1029" t="s">
        <v>1306</v>
      </c>
      <c r="L18" s="1029" t="s">
        <v>1421</v>
      </c>
      <c r="M18" s="1097">
        <v>929100</v>
      </c>
      <c r="N18" s="1097">
        <v>929100</v>
      </c>
      <c r="O18" s="1097"/>
      <c r="P18" s="1097"/>
      <c r="Q18" s="1097"/>
      <c r="R18" s="1097"/>
      <c r="S18" s="1268">
        <f>15861.29+16390</f>
        <v>32251.29</v>
      </c>
      <c r="T18" s="1091">
        <f t="shared" ref="T18:T21" si="15">+R18+S18</f>
        <v>32251.29</v>
      </c>
      <c r="U18" s="1091">
        <f t="shared" ref="U18:U21" si="16">+N18+O18-T18</f>
        <v>896848.71</v>
      </c>
      <c r="V18" s="1091">
        <f t="shared" si="11"/>
        <v>3.4712399095899258</v>
      </c>
      <c r="W18" s="1091"/>
      <c r="X18" s="1091">
        <f t="shared" ref="X18:X21" si="17">+T18+Q18</f>
        <v>32251.29</v>
      </c>
      <c r="Y18" s="1091">
        <f t="shared" ref="Y18:Y21" si="18">+U18-Q18</f>
        <v>896848.71</v>
      </c>
      <c r="Z18" s="1091">
        <f t="shared" ref="Z18:Z21" si="19">+T18+Q18+P18</f>
        <v>32251.29</v>
      </c>
      <c r="AA18" s="1091">
        <f t="shared" ref="AA18:AA21" si="20">+U18-Q18-P18</f>
        <v>896848.71</v>
      </c>
      <c r="AB18" s="1091">
        <f t="shared" ref="AB18:AB21" si="21">IFERROR(Z18*100/(N18+O18),0)</f>
        <v>3.4712399095899258</v>
      </c>
      <c r="AD18" s="650">
        <f t="shared" si="9"/>
        <v>0</v>
      </c>
      <c r="AI18" s="1277">
        <f>VLOOKUP(K18,'[2]ผลการเบิกจ่ายสะสม พ.ย. 66'!$C:$N,12,0)</f>
        <v>32251.29</v>
      </c>
      <c r="AJ18" s="1274">
        <f t="shared" si="12"/>
        <v>0</v>
      </c>
    </row>
    <row r="19" spans="1:36" s="5" customFormat="1" x14ac:dyDescent="0.2">
      <c r="A19" s="33"/>
      <c r="B19" s="260" t="s">
        <v>1245</v>
      </c>
      <c r="C19" s="273"/>
      <c r="D19" s="1096"/>
      <c r="E19" s="1097"/>
      <c r="F19" s="1097"/>
      <c r="G19" s="1097"/>
      <c r="H19" s="1097"/>
      <c r="I19" s="1098"/>
      <c r="J19" s="1098"/>
      <c r="K19" s="1029"/>
      <c r="L19" s="1029"/>
      <c r="M19" s="1097"/>
      <c r="N19" s="1097"/>
      <c r="O19" s="1097"/>
      <c r="P19" s="1097"/>
      <c r="Q19" s="1097"/>
      <c r="R19" s="1097"/>
      <c r="S19" s="1097"/>
      <c r="T19" s="1091">
        <f t="shared" si="15"/>
        <v>0</v>
      </c>
      <c r="U19" s="1091">
        <f t="shared" si="16"/>
        <v>0</v>
      </c>
      <c r="V19" s="1091">
        <f t="shared" si="11"/>
        <v>0</v>
      </c>
      <c r="W19" s="1091"/>
      <c r="X19" s="1091">
        <f t="shared" si="17"/>
        <v>0</v>
      </c>
      <c r="Y19" s="1091">
        <f t="shared" si="18"/>
        <v>0</v>
      </c>
      <c r="Z19" s="1091">
        <f t="shared" si="19"/>
        <v>0</v>
      </c>
      <c r="AA19" s="1091">
        <f t="shared" si="20"/>
        <v>0</v>
      </c>
      <c r="AB19" s="1091">
        <f t="shared" si="21"/>
        <v>0</v>
      </c>
      <c r="AD19" s="650">
        <f t="shared" si="9"/>
        <v>0</v>
      </c>
      <c r="AI19" s="1277">
        <f>VLOOKUP(K19,'[2]ผลการเบิกจ่ายสะสม พ.ย. 66'!$C:$N,12,0)</f>
        <v>0</v>
      </c>
      <c r="AJ19" s="1274">
        <f t="shared" si="12"/>
        <v>0</v>
      </c>
    </row>
    <row r="20" spans="1:36" s="5" customFormat="1" x14ac:dyDescent="0.2">
      <c r="A20" s="33"/>
      <c r="B20" s="34" t="s">
        <v>1244</v>
      </c>
      <c r="C20" s="273"/>
      <c r="D20" s="1096">
        <v>785400</v>
      </c>
      <c r="E20" s="1097">
        <v>487523.35</v>
      </c>
      <c r="F20" s="1097"/>
      <c r="G20" s="1097"/>
      <c r="H20" s="1097">
        <v>300000</v>
      </c>
      <c r="I20" s="1098">
        <v>2000000</v>
      </c>
      <c r="J20" s="1098">
        <v>248000</v>
      </c>
      <c r="K20" s="1029" t="s">
        <v>1307</v>
      </c>
      <c r="L20" s="1029" t="s">
        <v>1421</v>
      </c>
      <c r="M20" s="1097">
        <v>165300</v>
      </c>
      <c r="N20" s="1097">
        <v>165300</v>
      </c>
      <c r="O20" s="1097"/>
      <c r="P20" s="1097"/>
      <c r="Q20" s="1097"/>
      <c r="R20" s="1097"/>
      <c r="S20" s="1097"/>
      <c r="T20" s="1091">
        <f>+R20+S20</f>
        <v>0</v>
      </c>
      <c r="U20" s="1091">
        <f t="shared" si="16"/>
        <v>165300</v>
      </c>
      <c r="V20" s="1091">
        <f t="shared" si="11"/>
        <v>0</v>
      </c>
      <c r="W20" s="1091"/>
      <c r="X20" s="1091">
        <f t="shared" si="17"/>
        <v>0</v>
      </c>
      <c r="Y20" s="1091">
        <f t="shared" si="18"/>
        <v>165300</v>
      </c>
      <c r="Z20" s="1091">
        <f t="shared" si="19"/>
        <v>0</v>
      </c>
      <c r="AA20" s="1091">
        <f t="shared" si="20"/>
        <v>165300</v>
      </c>
      <c r="AB20" s="1091">
        <f t="shared" si="21"/>
        <v>0</v>
      </c>
      <c r="AD20" s="650">
        <f t="shared" si="9"/>
        <v>0</v>
      </c>
      <c r="AI20" s="1277">
        <f>VLOOKUP(K20,'[2]ผลการเบิกจ่ายสะสม พ.ย. 66'!$C:$N,12,0)</f>
        <v>0</v>
      </c>
      <c r="AJ20" s="1274">
        <f t="shared" si="12"/>
        <v>0</v>
      </c>
    </row>
    <row r="21" spans="1:36" s="5" customFormat="1" x14ac:dyDescent="0.2">
      <c r="A21" s="101"/>
      <c r="B21" s="970" t="s">
        <v>1245</v>
      </c>
      <c r="C21" s="1006"/>
      <c r="D21" s="1099"/>
      <c r="E21" s="1100"/>
      <c r="F21" s="1100"/>
      <c r="G21" s="1100"/>
      <c r="H21" s="1100"/>
      <c r="I21" s="1101"/>
      <c r="J21" s="1101"/>
      <c r="K21" s="1031"/>
      <c r="L21" s="1031"/>
      <c r="M21" s="1100"/>
      <c r="N21" s="1100"/>
      <c r="O21" s="1100"/>
      <c r="P21" s="1100"/>
      <c r="Q21" s="1100"/>
      <c r="R21" s="1100"/>
      <c r="S21" s="1100"/>
      <c r="T21" s="1091">
        <f t="shared" si="15"/>
        <v>0</v>
      </c>
      <c r="U21" s="1091">
        <f t="shared" si="16"/>
        <v>0</v>
      </c>
      <c r="V21" s="1091">
        <f t="shared" si="11"/>
        <v>0</v>
      </c>
      <c r="W21" s="1091"/>
      <c r="X21" s="1091">
        <f t="shared" si="17"/>
        <v>0</v>
      </c>
      <c r="Y21" s="1091">
        <f t="shared" si="18"/>
        <v>0</v>
      </c>
      <c r="Z21" s="1091">
        <f t="shared" si="19"/>
        <v>0</v>
      </c>
      <c r="AA21" s="1091">
        <f t="shared" si="20"/>
        <v>0</v>
      </c>
      <c r="AB21" s="1091">
        <f t="shared" si="21"/>
        <v>0</v>
      </c>
      <c r="AD21" s="650">
        <f t="shared" si="9"/>
        <v>0</v>
      </c>
      <c r="AI21" s="1277">
        <f>VLOOKUP(K21,'[2]ผลการเบิกจ่ายสะสม พ.ย. 66'!$C:$N,12,0)</f>
        <v>0</v>
      </c>
      <c r="AJ21" s="1274">
        <f t="shared" si="12"/>
        <v>0</v>
      </c>
    </row>
    <row r="22" spans="1:36" s="5" customFormat="1" x14ac:dyDescent="0.2">
      <c r="A22" s="6" t="s">
        <v>12</v>
      </c>
      <c r="B22" s="7"/>
      <c r="C22" s="7"/>
      <c r="D22" s="1078">
        <f>+D23+D82+D133+D166+D187</f>
        <v>4337473600</v>
      </c>
      <c r="E22" s="1079">
        <f>+E23+E82+E133+E166+E187</f>
        <v>3606479946.0699997</v>
      </c>
      <c r="F22" s="1079"/>
      <c r="G22" s="1079"/>
      <c r="H22" s="1079">
        <f>+H23+H82+H133+H166+H187</f>
        <v>3661107800</v>
      </c>
      <c r="I22" s="1080">
        <v>6478921600</v>
      </c>
      <c r="J22" s="1080">
        <f>+J23+J82+J133+J166+J187</f>
        <v>3599558000</v>
      </c>
      <c r="K22" s="1025"/>
      <c r="L22" s="1025"/>
      <c r="M22" s="1079">
        <f t="shared" ref="M22:U22" si="22">+M23+M82+M133+M166+M187</f>
        <v>1930977200</v>
      </c>
      <c r="N22" s="1079">
        <f t="shared" si="22"/>
        <v>2399465300</v>
      </c>
      <c r="O22" s="1079">
        <f t="shared" si="22"/>
        <v>0</v>
      </c>
      <c r="P22" s="1079">
        <f t="shared" si="22"/>
        <v>0</v>
      </c>
      <c r="Q22" s="1079">
        <f t="shared" si="22"/>
        <v>77129158.529999986</v>
      </c>
      <c r="R22" s="1079">
        <f t="shared" si="22"/>
        <v>49574200</v>
      </c>
      <c r="S22" s="1079">
        <f t="shared" si="22"/>
        <v>714946593.03999996</v>
      </c>
      <c r="T22" s="1079">
        <f t="shared" si="22"/>
        <v>764520793.03999996</v>
      </c>
      <c r="U22" s="1079">
        <f t="shared" si="22"/>
        <v>1634944506.96</v>
      </c>
      <c r="V22" s="1079">
        <f t="shared" si="11"/>
        <v>31.862131660749583</v>
      </c>
      <c r="W22" s="1079">
        <f t="shared" ref="W22:AB22" si="23">+W23+W82+W133+W166+W187</f>
        <v>0</v>
      </c>
      <c r="X22" s="1079">
        <f t="shared" si="23"/>
        <v>573281449.47000003</v>
      </c>
      <c r="Y22" s="1079">
        <f t="shared" si="23"/>
        <v>1826183850.53</v>
      </c>
      <c r="Z22" s="1079">
        <f t="shared" si="23"/>
        <v>573281449.47000003</v>
      </c>
      <c r="AA22" s="1079">
        <f t="shared" si="23"/>
        <v>1826183850.53</v>
      </c>
      <c r="AB22" s="1079">
        <f t="shared" si="23"/>
        <v>3583.3831628351945</v>
      </c>
      <c r="AD22" s="650">
        <f t="shared" si="9"/>
        <v>0</v>
      </c>
      <c r="AI22" s="1277">
        <f>VLOOKUP(K22,'[2]ผลการเบิกจ่ายสะสม พ.ย. 66'!$C:$N,12,0)</f>
        <v>0</v>
      </c>
      <c r="AJ22" s="1274">
        <f t="shared" si="12"/>
        <v>-714946593.03999996</v>
      </c>
    </row>
    <row r="23" spans="1:36" s="182" customFormat="1" x14ac:dyDescent="0.2">
      <c r="A23" s="9" t="s">
        <v>165</v>
      </c>
      <c r="B23" s="10"/>
      <c r="C23" s="10"/>
      <c r="D23" s="1102">
        <f>+D24+D70</f>
        <v>438288900</v>
      </c>
      <c r="E23" s="1103">
        <f>+E24+E70</f>
        <v>252369966.75999999</v>
      </c>
      <c r="F23" s="1103"/>
      <c r="G23" s="1103"/>
      <c r="H23" s="1103">
        <f>+H24+H70</f>
        <v>262285000</v>
      </c>
      <c r="I23" s="1104">
        <v>576172500</v>
      </c>
      <c r="J23" s="1104">
        <f>+J24+J70</f>
        <v>237160100</v>
      </c>
      <c r="K23" s="1026" t="s">
        <v>1308</v>
      </c>
      <c r="L23" s="1026"/>
      <c r="M23" s="1226">
        <f t="shared" ref="M23:U23" si="24">+M24+M70</f>
        <v>200999100</v>
      </c>
      <c r="N23" s="1226">
        <f>+N24+N70</f>
        <v>216350500</v>
      </c>
      <c r="O23" s="1226">
        <f t="shared" si="24"/>
        <v>0</v>
      </c>
      <c r="P23" s="1226">
        <f t="shared" si="24"/>
        <v>0</v>
      </c>
      <c r="Q23" s="1226">
        <f t="shared" si="24"/>
        <v>253280</v>
      </c>
      <c r="R23" s="1226">
        <f t="shared" si="24"/>
        <v>11460000</v>
      </c>
      <c r="S23" s="1226">
        <f t="shared" si="24"/>
        <v>27909319.589999996</v>
      </c>
      <c r="T23" s="1226">
        <f t="shared" si="24"/>
        <v>39369319.590000004</v>
      </c>
      <c r="U23" s="1226">
        <f t="shared" si="24"/>
        <v>176981180.40999997</v>
      </c>
      <c r="V23" s="1226">
        <f t="shared" si="11"/>
        <v>18.197008830578163</v>
      </c>
      <c r="W23" s="1226">
        <f t="shared" ref="W23:AB23" si="25">+W24+W70</f>
        <v>0</v>
      </c>
      <c r="X23" s="1226">
        <f t="shared" si="25"/>
        <v>39607239.590000004</v>
      </c>
      <c r="Y23" s="1226">
        <f t="shared" si="25"/>
        <v>176743260.40999997</v>
      </c>
      <c r="Z23" s="1226">
        <f t="shared" si="25"/>
        <v>39607239.590000004</v>
      </c>
      <c r="AA23" s="1226">
        <f t="shared" si="25"/>
        <v>176743260.40999997</v>
      </c>
      <c r="AB23" s="1226">
        <f t="shared" si="25"/>
        <v>618.71253760015884</v>
      </c>
      <c r="AD23" s="650">
        <f t="shared" si="9"/>
        <v>0</v>
      </c>
      <c r="AI23" s="1277" t="e">
        <f>VLOOKUP(K23,'[2]ผลการเบิกจ่ายสะสม พ.ย. 66'!$C:$N,12,0)</f>
        <v>#N/A</v>
      </c>
      <c r="AJ23" s="1274" t="e">
        <f t="shared" si="12"/>
        <v>#N/A</v>
      </c>
    </row>
    <row r="24" spans="1:36" s="5" customFormat="1" x14ac:dyDescent="0.2">
      <c r="A24" s="14" t="s">
        <v>128</v>
      </c>
      <c r="B24" s="15"/>
      <c r="C24" s="15"/>
      <c r="D24" s="1084">
        <f>SUM(D25)</f>
        <v>361274300</v>
      </c>
      <c r="E24" s="1085">
        <f>SUM(E25)</f>
        <v>222479550.32999998</v>
      </c>
      <c r="F24" s="1085"/>
      <c r="G24" s="1085"/>
      <c r="H24" s="1085">
        <f>SUM(H25)</f>
        <v>226183500</v>
      </c>
      <c r="I24" s="1086">
        <v>484190500</v>
      </c>
      <c r="J24" s="1086">
        <f>SUM(J25)</f>
        <v>207136500</v>
      </c>
      <c r="K24" s="1027"/>
      <c r="L24" s="1027" t="s">
        <v>1422</v>
      </c>
      <c r="M24" s="1085">
        <f t="shared" ref="M24:AB24" si="26">SUM(M25)</f>
        <v>177733600</v>
      </c>
      <c r="N24" s="1085">
        <f>SUM(N25)</f>
        <v>191001600</v>
      </c>
      <c r="O24" s="1085">
        <f t="shared" si="26"/>
        <v>0</v>
      </c>
      <c r="P24" s="1085">
        <f t="shared" si="26"/>
        <v>0</v>
      </c>
      <c r="Q24" s="1085">
        <f t="shared" si="26"/>
        <v>253280</v>
      </c>
      <c r="R24" s="1085">
        <f t="shared" si="26"/>
        <v>11460000</v>
      </c>
      <c r="S24" s="1085">
        <f t="shared" si="26"/>
        <v>26726879.509999998</v>
      </c>
      <c r="T24" s="1085">
        <f t="shared" si="26"/>
        <v>38186879.510000005</v>
      </c>
      <c r="U24" s="1085">
        <f t="shared" si="26"/>
        <v>152814720.48999998</v>
      </c>
      <c r="V24" s="1085">
        <f t="shared" si="11"/>
        <v>19.992963153188249</v>
      </c>
      <c r="W24" s="1085">
        <f t="shared" si="26"/>
        <v>0</v>
      </c>
      <c r="X24" s="1085">
        <f t="shared" si="26"/>
        <v>38424799.510000005</v>
      </c>
      <c r="Y24" s="1085">
        <f t="shared" si="26"/>
        <v>152576800.48999998</v>
      </c>
      <c r="Z24" s="1085">
        <f t="shared" si="26"/>
        <v>38424799.510000005</v>
      </c>
      <c r="AA24" s="1085">
        <f t="shared" si="26"/>
        <v>152576800.48999998</v>
      </c>
      <c r="AB24" s="1085">
        <f t="shared" si="26"/>
        <v>546.38921215834239</v>
      </c>
      <c r="AD24" s="650">
        <f t="shared" si="9"/>
        <v>0</v>
      </c>
      <c r="AI24" s="1277">
        <f>VLOOKUP(K24,'[2]ผลการเบิกจ่ายสะสม พ.ย. 66'!$C:$N,12,0)</f>
        <v>0</v>
      </c>
      <c r="AJ24" s="1274">
        <f t="shared" si="12"/>
        <v>-26726879.509999998</v>
      </c>
    </row>
    <row r="25" spans="1:36" s="5" customFormat="1" x14ac:dyDescent="0.2">
      <c r="A25" s="20" t="s">
        <v>45</v>
      </c>
      <c r="B25" s="21"/>
      <c r="C25" s="21"/>
      <c r="D25" s="1087">
        <f>D26+D29+D30+D31+D33+D34+D35+D36+D42+D45+D46+D54+D55+D56+D60+D64+D65+D32</f>
        <v>361274300</v>
      </c>
      <c r="E25" s="1088">
        <f>E26+E29+E30+E31+E33+E34+E35+E36+E42+E45+E46+E54+E55+E56+E60+E64+E65+E32</f>
        <v>222479550.32999998</v>
      </c>
      <c r="F25" s="1088">
        <f>F26+F29+F30+F31+F33+F34+F35+F36+F42+F45+F46+F54+F55+F56+F60+F64+F65+F32</f>
        <v>0</v>
      </c>
      <c r="G25" s="1088">
        <f>G26+G29+G30+G31+G33+G34+G35+G36+G42+G45+G46+G54+G55+G56+G60+G64+G65+G32</f>
        <v>0</v>
      </c>
      <c r="H25" s="1088">
        <f>H26+H29+H30+H31+H33+H34+H35+H36+H42+H45+H46+H54+H55+H56+H60+H64+H65+H32</f>
        <v>226183500</v>
      </c>
      <c r="I25" s="1089">
        <v>484190500</v>
      </c>
      <c r="J25" s="1089">
        <f>J26+J29+J30+J31+J33+J34+J35+J36+J42+J45+J46+J54+J55+J56+J60+J64+J65+J32</f>
        <v>207136500</v>
      </c>
      <c r="K25" s="1028"/>
      <c r="L25" s="1028"/>
      <c r="M25" s="1088">
        <f t="shared" ref="M25:U25" si="27">M26+M29+M30+M31+M33+M34+M35+M36+M42+M45+M46+M54+M55+M56+M60+M64+M65+M32</f>
        <v>177733600</v>
      </c>
      <c r="N25" s="1088">
        <f>N26+N29+N30+N31+N33+N34+N35+N36+N42+N45+N46+N54+N55+N56+N60+N64+N65+N32</f>
        <v>191001600</v>
      </c>
      <c r="O25" s="1088">
        <f t="shared" si="27"/>
        <v>0</v>
      </c>
      <c r="P25" s="1088">
        <f t="shared" si="27"/>
        <v>0</v>
      </c>
      <c r="Q25" s="1088">
        <f t="shared" si="27"/>
        <v>253280</v>
      </c>
      <c r="R25" s="1088">
        <f t="shared" si="27"/>
        <v>11460000</v>
      </c>
      <c r="S25" s="1088">
        <f t="shared" si="27"/>
        <v>26726879.509999998</v>
      </c>
      <c r="T25" s="1088">
        <f t="shared" si="27"/>
        <v>38186879.510000005</v>
      </c>
      <c r="U25" s="1088">
        <f t="shared" si="27"/>
        <v>152814720.48999998</v>
      </c>
      <c r="V25" s="1088">
        <f t="shared" si="11"/>
        <v>19.992963153188249</v>
      </c>
      <c r="W25" s="1088">
        <f t="shared" ref="W25:AB25" si="28">W26+W29+W30+W31+W33+W34+W35+W36+W42+W45+W46+W54+W55+W56+W60+W64+W65+W32</f>
        <v>0</v>
      </c>
      <c r="X25" s="1088">
        <f t="shared" si="28"/>
        <v>38424799.510000005</v>
      </c>
      <c r="Y25" s="1088">
        <f t="shared" si="28"/>
        <v>152576800.48999998</v>
      </c>
      <c r="Z25" s="1088">
        <f t="shared" si="28"/>
        <v>38424799.510000005</v>
      </c>
      <c r="AA25" s="1088">
        <f t="shared" si="28"/>
        <v>152576800.48999998</v>
      </c>
      <c r="AB25" s="1088">
        <f t="shared" si="28"/>
        <v>546.38921215834239</v>
      </c>
      <c r="AD25" s="650">
        <f t="shared" si="9"/>
        <v>0</v>
      </c>
      <c r="AI25" s="1277">
        <f>VLOOKUP(K25,'[2]ผลการเบิกจ่ายสะสม พ.ย. 66'!$C:$N,12,0)</f>
        <v>0</v>
      </c>
      <c r="AJ25" s="1274">
        <f t="shared" si="12"/>
        <v>-26726879.509999998</v>
      </c>
    </row>
    <row r="26" spans="1:36" s="5" customFormat="1" x14ac:dyDescent="0.2">
      <c r="A26" s="33"/>
      <c r="B26" s="34" t="s">
        <v>189</v>
      </c>
      <c r="C26" s="273"/>
      <c r="D26" s="1096">
        <f>SUM(D27:D28)</f>
        <v>12000000</v>
      </c>
      <c r="E26" s="1097">
        <f>SUM(E27:E28)</f>
        <v>2058920</v>
      </c>
      <c r="F26" s="1097"/>
      <c r="G26" s="1097"/>
      <c r="H26" s="1097">
        <f>SUM(H27:H28)</f>
        <v>3637200</v>
      </c>
      <c r="I26" s="1098">
        <v>13476500</v>
      </c>
      <c r="J26" s="1098">
        <f>SUM(J27:J28)</f>
        <v>2824000</v>
      </c>
      <c r="K26" s="1029" t="s">
        <v>1309</v>
      </c>
      <c r="L26" s="1029" t="s">
        <v>1422</v>
      </c>
      <c r="M26" s="1097">
        <f t="shared" ref="M26:U26" si="29">SUM(M27:M28)</f>
        <v>2824000</v>
      </c>
      <c r="N26" s="1097">
        <f>SUM(N27:N28)</f>
        <v>2824000</v>
      </c>
      <c r="O26" s="1097">
        <f t="shared" si="29"/>
        <v>0</v>
      </c>
      <c r="P26" s="1097">
        <f t="shared" si="29"/>
        <v>0</v>
      </c>
      <c r="Q26" s="1105">
        <f t="shared" si="29"/>
        <v>0</v>
      </c>
      <c r="R26" s="1105">
        <f t="shared" si="29"/>
        <v>0</v>
      </c>
      <c r="S26" s="1268">
        <f>63111+130316</f>
        <v>193427</v>
      </c>
      <c r="T26" s="1097">
        <f t="shared" si="29"/>
        <v>193427</v>
      </c>
      <c r="U26" s="1097">
        <f t="shared" si="29"/>
        <v>2630573</v>
      </c>
      <c r="V26" s="1097">
        <f t="shared" si="11"/>
        <v>6.8493980169971671</v>
      </c>
      <c r="W26" s="1097">
        <f t="shared" ref="W26:AB26" si="30">SUM(W27:W28)</f>
        <v>0</v>
      </c>
      <c r="X26" s="1097">
        <f t="shared" si="30"/>
        <v>193427</v>
      </c>
      <c r="Y26" s="1097">
        <f t="shared" si="30"/>
        <v>2630573</v>
      </c>
      <c r="Z26" s="1097">
        <f t="shared" si="30"/>
        <v>193427</v>
      </c>
      <c r="AA26" s="1097">
        <f t="shared" si="30"/>
        <v>2630573</v>
      </c>
      <c r="AB26" s="1097">
        <f t="shared" si="30"/>
        <v>21.356572735262397</v>
      </c>
      <c r="AD26" s="650">
        <f t="shared" si="9"/>
        <v>0</v>
      </c>
      <c r="AI26" s="1277">
        <f>VLOOKUP(K26,'[2]ผลการเบิกจ่ายสะสม พ.ย. 66'!$C:$N,12,0)</f>
        <v>193427</v>
      </c>
      <c r="AJ26" s="1274">
        <f t="shared" si="12"/>
        <v>0</v>
      </c>
    </row>
    <row r="27" spans="1:36" s="5" customFormat="1" ht="21" customHeight="1" outlineLevel="1" x14ac:dyDescent="0.2">
      <c r="A27" s="56"/>
      <c r="B27" s="57"/>
      <c r="C27" s="27" t="s">
        <v>49</v>
      </c>
      <c r="D27" s="1090">
        <v>10000000</v>
      </c>
      <c r="E27" s="1091">
        <v>1758920</v>
      </c>
      <c r="F27" s="1091"/>
      <c r="G27" s="1091"/>
      <c r="H27" s="1091">
        <v>2212500</v>
      </c>
      <c r="I27" s="1092">
        <v>11657000</v>
      </c>
      <c r="J27" s="1092">
        <v>2418400</v>
      </c>
      <c r="K27" s="1032"/>
      <c r="L27" s="1032"/>
      <c r="M27" s="1091">
        <v>2418400</v>
      </c>
      <c r="N27" s="1091">
        <v>2418400</v>
      </c>
      <c r="O27" s="1091"/>
      <c r="P27" s="1091"/>
      <c r="Q27" s="1160"/>
      <c r="R27" s="1160"/>
      <c r="S27" s="1283">
        <f>128327</f>
        <v>128327</v>
      </c>
      <c r="T27" s="1091">
        <f t="shared" ref="T27:T35" si="31">+R27+S27</f>
        <v>128327</v>
      </c>
      <c r="U27" s="1091">
        <f t="shared" ref="U27:U35" si="32">+N27+O27-T27</f>
        <v>2290073</v>
      </c>
      <c r="V27" s="1091">
        <f t="shared" si="11"/>
        <v>5.3062768772742306</v>
      </c>
      <c r="W27" s="1091"/>
      <c r="X27" s="1091">
        <f t="shared" ref="X27:X35" si="33">+T27+Q27</f>
        <v>128327</v>
      </c>
      <c r="Y27" s="1091">
        <f t="shared" ref="Y27:Y35" si="34">+U27-Q27</f>
        <v>2290073</v>
      </c>
      <c r="Z27" s="1091">
        <f t="shared" ref="Z27:Z35" si="35">+T27+Q27+P27</f>
        <v>128327</v>
      </c>
      <c r="AA27" s="1091">
        <f t="shared" ref="AA27:AA35" si="36">+U27-Q27-P27</f>
        <v>2290073</v>
      </c>
      <c r="AB27" s="1091">
        <f t="shared" ref="AB27:AB35" si="37">IFERROR(Z27*100/(N27+O27),0)</f>
        <v>5.3062768772742306</v>
      </c>
      <c r="AD27" s="650">
        <f t="shared" si="9"/>
        <v>0</v>
      </c>
      <c r="AI27" s="1277">
        <f>VLOOKUP(K27,'[2]ผลการเบิกจ่ายสะสม พ.ย. 66'!$C:$N,12,0)</f>
        <v>0</v>
      </c>
      <c r="AJ27" s="1274">
        <f t="shared" si="12"/>
        <v>-128327</v>
      </c>
    </row>
    <row r="28" spans="1:36" s="5" customFormat="1" ht="21" customHeight="1" outlineLevel="1" x14ac:dyDescent="0.2">
      <c r="A28" s="56"/>
      <c r="B28" s="57"/>
      <c r="C28" s="27" t="s">
        <v>50</v>
      </c>
      <c r="D28" s="1090">
        <v>2000000</v>
      </c>
      <c r="E28" s="1091">
        <v>300000</v>
      </c>
      <c r="F28" s="1091"/>
      <c r="G28" s="1091"/>
      <c r="H28" s="1091">
        <v>1424700</v>
      </c>
      <c r="I28" s="1092">
        <v>1819500</v>
      </c>
      <c r="J28" s="1092">
        <v>405600</v>
      </c>
      <c r="K28" s="1032"/>
      <c r="L28" s="1032"/>
      <c r="M28" s="1091">
        <v>405600</v>
      </c>
      <c r="N28" s="1091">
        <v>405600</v>
      </c>
      <c r="O28" s="1091"/>
      <c r="P28" s="1091"/>
      <c r="Q28" s="1160"/>
      <c r="R28" s="1160"/>
      <c r="S28" s="1283">
        <f>65100</f>
        <v>65100</v>
      </c>
      <c r="T28" s="1091">
        <f t="shared" si="31"/>
        <v>65100</v>
      </c>
      <c r="U28" s="1091">
        <f t="shared" si="32"/>
        <v>340500</v>
      </c>
      <c r="V28" s="1091">
        <f t="shared" si="11"/>
        <v>16.050295857988164</v>
      </c>
      <c r="W28" s="1091"/>
      <c r="X28" s="1091">
        <f t="shared" si="33"/>
        <v>65100</v>
      </c>
      <c r="Y28" s="1091">
        <f t="shared" si="34"/>
        <v>340500</v>
      </c>
      <c r="Z28" s="1091">
        <f t="shared" si="35"/>
        <v>65100</v>
      </c>
      <c r="AA28" s="1091">
        <f t="shared" si="36"/>
        <v>340500</v>
      </c>
      <c r="AB28" s="1091">
        <f t="shared" si="37"/>
        <v>16.050295857988164</v>
      </c>
      <c r="AD28" s="650">
        <f t="shared" si="9"/>
        <v>0</v>
      </c>
      <c r="AI28" s="1277">
        <f>VLOOKUP(K28,'[2]ผลการเบิกจ่ายสะสม พ.ย. 66'!$C:$N,12,0)</f>
        <v>0</v>
      </c>
      <c r="AJ28" s="1274">
        <f t="shared" si="12"/>
        <v>-65100</v>
      </c>
    </row>
    <row r="29" spans="1:36" s="5" customFormat="1" x14ac:dyDescent="0.2">
      <c r="A29" s="33"/>
      <c r="B29" s="34" t="s">
        <v>220</v>
      </c>
      <c r="C29" s="273"/>
      <c r="D29" s="1096">
        <v>3000000</v>
      </c>
      <c r="E29" s="1097">
        <v>207395.47</v>
      </c>
      <c r="F29" s="1097"/>
      <c r="G29" s="1097"/>
      <c r="H29" s="1097">
        <v>2011800</v>
      </c>
      <c r="I29" s="1098">
        <v>3000000</v>
      </c>
      <c r="J29" s="1098">
        <v>2011800</v>
      </c>
      <c r="K29" s="1029" t="s">
        <v>1310</v>
      </c>
      <c r="L29" s="1029" t="s">
        <v>1422</v>
      </c>
      <c r="M29" s="1097">
        <v>757000</v>
      </c>
      <c r="N29" s="1097">
        <v>757000</v>
      </c>
      <c r="O29" s="1097"/>
      <c r="P29" s="1097"/>
      <c r="Q29" s="1105"/>
      <c r="R29" s="1105"/>
      <c r="S29" s="1268">
        <f>49175+97363.93</f>
        <v>146538.93</v>
      </c>
      <c r="T29" s="1091">
        <f t="shared" si="31"/>
        <v>146538.93</v>
      </c>
      <c r="U29" s="1091">
        <f t="shared" si="32"/>
        <v>610461.07000000007</v>
      </c>
      <c r="V29" s="1091">
        <f t="shared" si="11"/>
        <v>19.357850726552179</v>
      </c>
      <c r="W29" s="1091"/>
      <c r="X29" s="1091">
        <f t="shared" si="33"/>
        <v>146538.93</v>
      </c>
      <c r="Y29" s="1091">
        <f t="shared" si="34"/>
        <v>610461.07000000007</v>
      </c>
      <c r="Z29" s="1091">
        <f t="shared" si="35"/>
        <v>146538.93</v>
      </c>
      <c r="AA29" s="1091">
        <f t="shared" si="36"/>
        <v>610461.07000000007</v>
      </c>
      <c r="AB29" s="1091">
        <f t="shared" si="37"/>
        <v>19.357850726552179</v>
      </c>
      <c r="AD29" s="650">
        <f t="shared" si="9"/>
        <v>0</v>
      </c>
      <c r="AI29" s="1277">
        <f>VLOOKUP(K29,'[2]ผลการเบิกจ่ายสะสม พ.ย. 66'!$C:$N,12,0)</f>
        <v>146538.93</v>
      </c>
      <c r="AJ29" s="1274">
        <f t="shared" si="12"/>
        <v>0</v>
      </c>
    </row>
    <row r="30" spans="1:36" s="5" customFormat="1" x14ac:dyDescent="0.2">
      <c r="A30" s="33"/>
      <c r="B30" s="34" t="s">
        <v>190</v>
      </c>
      <c r="C30" s="273"/>
      <c r="D30" s="1096">
        <v>54500000</v>
      </c>
      <c r="E30" s="1097">
        <v>48373041.299999997</v>
      </c>
      <c r="F30" s="1097"/>
      <c r="G30" s="1097"/>
      <c r="H30" s="1097">
        <v>27250000</v>
      </c>
      <c r="I30" s="1098">
        <v>105400000</v>
      </c>
      <c r="J30" s="1098">
        <v>27250000</v>
      </c>
      <c r="K30" s="1029" t="s">
        <v>1311</v>
      </c>
      <c r="L30" s="1029" t="s">
        <v>1422</v>
      </c>
      <c r="M30" s="1097">
        <v>24900000</v>
      </c>
      <c r="N30" s="1097">
        <v>24900000</v>
      </c>
      <c r="O30" s="1097"/>
      <c r="P30" s="1097"/>
      <c r="Q30" s="1105"/>
      <c r="R30" s="1268">
        <f>11460000</f>
        <v>11460000</v>
      </c>
      <c r="S30" s="1268">
        <f>169987.35+808777.33</f>
        <v>978764.67999999993</v>
      </c>
      <c r="T30" s="1091">
        <f t="shared" si="31"/>
        <v>12438764.68</v>
      </c>
      <c r="U30" s="1091">
        <f t="shared" si="32"/>
        <v>12461235.32</v>
      </c>
      <c r="V30" s="1091">
        <f t="shared" si="11"/>
        <v>49.954878232931726</v>
      </c>
      <c r="W30" s="1091"/>
      <c r="X30" s="1091">
        <f t="shared" si="33"/>
        <v>12438764.68</v>
      </c>
      <c r="Y30" s="1091">
        <f t="shared" si="34"/>
        <v>12461235.32</v>
      </c>
      <c r="Z30" s="1091">
        <f t="shared" si="35"/>
        <v>12438764.68</v>
      </c>
      <c r="AA30" s="1091">
        <f t="shared" si="36"/>
        <v>12461235.32</v>
      </c>
      <c r="AB30" s="1091">
        <f t="shared" si="37"/>
        <v>49.954878232931726</v>
      </c>
      <c r="AD30" s="650">
        <f t="shared" si="9"/>
        <v>0</v>
      </c>
      <c r="AI30" s="1277">
        <f>VLOOKUP(K30,'[2]ผลการเบิกจ่ายสะสม พ.ย. 66'!$C:$N,12,0)</f>
        <v>978764.68</v>
      </c>
      <c r="AJ30" s="1274">
        <f t="shared" si="12"/>
        <v>0</v>
      </c>
    </row>
    <row r="31" spans="1:36" s="5" customFormat="1" x14ac:dyDescent="0.2">
      <c r="A31" s="33"/>
      <c r="B31" s="34"/>
      <c r="C31" s="160" t="s">
        <v>840</v>
      </c>
      <c r="D31" s="1096">
        <v>4500000</v>
      </c>
      <c r="E31" s="1097">
        <v>470200</v>
      </c>
      <c r="F31" s="1097"/>
      <c r="G31" s="1097"/>
      <c r="H31" s="1097">
        <v>470200</v>
      </c>
      <c r="I31" s="1098">
        <v>720000</v>
      </c>
      <c r="J31" s="1098">
        <v>470200</v>
      </c>
      <c r="K31" s="1029" t="s">
        <v>1312</v>
      </c>
      <c r="L31" s="1029" t="s">
        <v>1422</v>
      </c>
      <c r="M31" s="1097">
        <v>285000</v>
      </c>
      <c r="N31" s="1097">
        <v>285000</v>
      </c>
      <c r="O31" s="1097"/>
      <c r="P31" s="1097"/>
      <c r="Q31" s="1105"/>
      <c r="R31" s="1105"/>
      <c r="S31" s="1105"/>
      <c r="T31" s="1091">
        <f t="shared" si="31"/>
        <v>0</v>
      </c>
      <c r="U31" s="1091">
        <f t="shared" si="32"/>
        <v>285000</v>
      </c>
      <c r="V31" s="1091">
        <f t="shared" si="11"/>
        <v>0</v>
      </c>
      <c r="W31" s="1091"/>
      <c r="X31" s="1091">
        <f t="shared" si="33"/>
        <v>0</v>
      </c>
      <c r="Y31" s="1091">
        <f t="shared" si="34"/>
        <v>285000</v>
      </c>
      <c r="Z31" s="1091">
        <f t="shared" si="35"/>
        <v>0</v>
      </c>
      <c r="AA31" s="1091">
        <f t="shared" si="36"/>
        <v>285000</v>
      </c>
      <c r="AB31" s="1091">
        <f t="shared" si="37"/>
        <v>0</v>
      </c>
      <c r="AD31" s="650">
        <f t="shared" si="9"/>
        <v>0</v>
      </c>
      <c r="AI31" s="1277">
        <f>VLOOKUP(K31,'[2]ผลการเบิกจ่ายสะสม พ.ย. 66'!$C:$N,12,0)</f>
        <v>0</v>
      </c>
      <c r="AJ31" s="1274">
        <f t="shared" si="12"/>
        <v>0</v>
      </c>
    </row>
    <row r="32" spans="1:36" s="5" customFormat="1" x14ac:dyDescent="0.2">
      <c r="A32" s="33"/>
      <c r="B32" s="34"/>
      <c r="C32" s="160" t="s">
        <v>294</v>
      </c>
      <c r="D32" s="1096"/>
      <c r="E32" s="1097"/>
      <c r="F32" s="1097"/>
      <c r="G32" s="1097"/>
      <c r="H32" s="1097">
        <v>0</v>
      </c>
      <c r="I32" s="1098"/>
      <c r="J32" s="1098"/>
      <c r="K32" s="1029"/>
      <c r="L32" s="1029" t="s">
        <v>1422</v>
      </c>
      <c r="M32" s="1097"/>
      <c r="N32" s="1097"/>
      <c r="O32" s="1097"/>
      <c r="P32" s="1097"/>
      <c r="Q32" s="1105"/>
      <c r="R32" s="1105"/>
      <c r="S32" s="1105"/>
      <c r="T32" s="1091">
        <f t="shared" si="31"/>
        <v>0</v>
      </c>
      <c r="U32" s="1091">
        <f t="shared" si="32"/>
        <v>0</v>
      </c>
      <c r="V32" s="1091">
        <f t="shared" si="11"/>
        <v>0</v>
      </c>
      <c r="W32" s="1091"/>
      <c r="X32" s="1091">
        <f t="shared" si="33"/>
        <v>0</v>
      </c>
      <c r="Y32" s="1091">
        <f t="shared" si="34"/>
        <v>0</v>
      </c>
      <c r="Z32" s="1091">
        <f t="shared" si="35"/>
        <v>0</v>
      </c>
      <c r="AA32" s="1091">
        <f t="shared" si="36"/>
        <v>0</v>
      </c>
      <c r="AB32" s="1091">
        <f t="shared" si="37"/>
        <v>0</v>
      </c>
      <c r="AD32" s="650">
        <f t="shared" si="9"/>
        <v>0</v>
      </c>
      <c r="AI32" s="1277">
        <f>VLOOKUP(K32,'[2]ผลการเบิกจ่ายสะสม พ.ย. 66'!$C:$N,12,0)</f>
        <v>0</v>
      </c>
      <c r="AJ32" s="1274">
        <f t="shared" si="12"/>
        <v>0</v>
      </c>
    </row>
    <row r="33" spans="1:36" s="5" customFormat="1" x14ac:dyDescent="0.2">
      <c r="A33" s="33"/>
      <c r="B33" s="34" t="s">
        <v>191</v>
      </c>
      <c r="C33" s="273"/>
      <c r="D33" s="1096">
        <v>2000000</v>
      </c>
      <c r="E33" s="1097">
        <v>312550</v>
      </c>
      <c r="F33" s="1097"/>
      <c r="G33" s="1097"/>
      <c r="H33" s="1097">
        <v>1114300</v>
      </c>
      <c r="I33" s="1098">
        <v>4750000</v>
      </c>
      <c r="J33" s="1098">
        <v>500000</v>
      </c>
      <c r="K33" s="1029" t="s">
        <v>1313</v>
      </c>
      <c r="L33" s="1029" t="s">
        <v>1422</v>
      </c>
      <c r="M33" s="1097">
        <v>333400</v>
      </c>
      <c r="N33" s="1097">
        <v>333400</v>
      </c>
      <c r="O33" s="1097"/>
      <c r="P33" s="1097"/>
      <c r="Q33" s="1105"/>
      <c r="R33" s="1105"/>
      <c r="S33" s="1105"/>
      <c r="T33" s="1091">
        <f t="shared" si="31"/>
        <v>0</v>
      </c>
      <c r="U33" s="1091">
        <f t="shared" si="32"/>
        <v>333400</v>
      </c>
      <c r="V33" s="1091">
        <f t="shared" si="11"/>
        <v>0</v>
      </c>
      <c r="W33" s="1091"/>
      <c r="X33" s="1091">
        <f t="shared" si="33"/>
        <v>0</v>
      </c>
      <c r="Y33" s="1091">
        <f t="shared" si="34"/>
        <v>333400</v>
      </c>
      <c r="Z33" s="1091">
        <f t="shared" si="35"/>
        <v>0</v>
      </c>
      <c r="AA33" s="1091">
        <f t="shared" si="36"/>
        <v>333400</v>
      </c>
      <c r="AB33" s="1091">
        <f t="shared" si="37"/>
        <v>0</v>
      </c>
      <c r="AD33" s="650">
        <f t="shared" si="9"/>
        <v>0</v>
      </c>
      <c r="AI33" s="1277">
        <f>VLOOKUP(K33,'[2]ผลการเบิกจ่ายสะสม พ.ย. 66'!$C:$N,12,0)</f>
        <v>0</v>
      </c>
      <c r="AJ33" s="1274">
        <f t="shared" si="12"/>
        <v>0</v>
      </c>
    </row>
    <row r="34" spans="1:36" s="5" customFormat="1" x14ac:dyDescent="0.2">
      <c r="A34" s="33"/>
      <c r="B34" s="34" t="s">
        <v>192</v>
      </c>
      <c r="C34" s="273"/>
      <c r="D34" s="1096">
        <v>1917400</v>
      </c>
      <c r="E34" s="1105">
        <v>344448.38</v>
      </c>
      <c r="F34" s="1105"/>
      <c r="G34" s="1105"/>
      <c r="H34" s="1105">
        <v>386700</v>
      </c>
      <c r="I34" s="1106">
        <v>2780000</v>
      </c>
      <c r="J34" s="1106">
        <v>344400</v>
      </c>
      <c r="K34" s="1029" t="s">
        <v>1314</v>
      </c>
      <c r="L34" s="1029" t="s">
        <v>1422</v>
      </c>
      <c r="M34" s="1105">
        <v>344400</v>
      </c>
      <c r="N34" s="1105">
        <v>344400</v>
      </c>
      <c r="O34" s="1105"/>
      <c r="P34" s="1105"/>
      <c r="Q34" s="1105"/>
      <c r="R34" s="1105"/>
      <c r="S34" s="1268">
        <f>29032.26+69582.51</f>
        <v>98614.76999999999</v>
      </c>
      <c r="T34" s="1091">
        <f t="shared" si="31"/>
        <v>98614.76999999999</v>
      </c>
      <c r="U34" s="1091">
        <f t="shared" si="32"/>
        <v>245785.23</v>
      </c>
      <c r="V34" s="1091">
        <f t="shared" si="11"/>
        <v>28.633789198606266</v>
      </c>
      <c r="W34" s="1091"/>
      <c r="X34" s="1091">
        <f t="shared" si="33"/>
        <v>98614.76999999999</v>
      </c>
      <c r="Y34" s="1091">
        <f t="shared" si="34"/>
        <v>245785.23</v>
      </c>
      <c r="Z34" s="1091">
        <f t="shared" si="35"/>
        <v>98614.76999999999</v>
      </c>
      <c r="AA34" s="1091">
        <f t="shared" si="36"/>
        <v>245785.23</v>
      </c>
      <c r="AB34" s="1091">
        <f t="shared" si="37"/>
        <v>28.633789198606266</v>
      </c>
      <c r="AD34" s="650">
        <f t="shared" si="9"/>
        <v>0</v>
      </c>
      <c r="AI34" s="1277">
        <f>VLOOKUP(K34,'[2]ผลการเบิกจ่ายสะสม พ.ย. 66'!$C:$N,12,0)</f>
        <v>98614.77</v>
      </c>
      <c r="AJ34" s="1274">
        <f t="shared" si="12"/>
        <v>0</v>
      </c>
    </row>
    <row r="35" spans="1:36" s="5" customFormat="1" x14ac:dyDescent="0.2">
      <c r="A35" s="33"/>
      <c r="B35" s="34" t="s">
        <v>219</v>
      </c>
      <c r="C35" s="896"/>
      <c r="D35" s="1096">
        <v>900000</v>
      </c>
      <c r="E35" s="1097">
        <v>8965</v>
      </c>
      <c r="F35" s="1097"/>
      <c r="G35" s="1097"/>
      <c r="H35" s="1097">
        <v>30000</v>
      </c>
      <c r="I35" s="1098">
        <v>900000</v>
      </c>
      <c r="J35" s="1098">
        <v>30000</v>
      </c>
      <c r="K35" s="1029" t="s">
        <v>1315</v>
      </c>
      <c r="L35" s="1029" t="s">
        <v>1422</v>
      </c>
      <c r="M35" s="1097">
        <v>30000</v>
      </c>
      <c r="N35" s="1097">
        <v>30000</v>
      </c>
      <c r="O35" s="1097"/>
      <c r="P35" s="1097"/>
      <c r="Q35" s="1105"/>
      <c r="R35" s="1105"/>
      <c r="S35" s="1268">
        <f>9600-200</f>
        <v>9400</v>
      </c>
      <c r="T35" s="1091">
        <f t="shared" si="31"/>
        <v>9400</v>
      </c>
      <c r="U35" s="1091">
        <f t="shared" si="32"/>
        <v>20600</v>
      </c>
      <c r="V35" s="1091">
        <f t="shared" si="11"/>
        <v>31.333333333333332</v>
      </c>
      <c r="W35" s="1091"/>
      <c r="X35" s="1091">
        <f t="shared" si="33"/>
        <v>9400</v>
      </c>
      <c r="Y35" s="1091">
        <f t="shared" si="34"/>
        <v>20600</v>
      </c>
      <c r="Z35" s="1091">
        <f t="shared" si="35"/>
        <v>9400</v>
      </c>
      <c r="AA35" s="1091">
        <f t="shared" si="36"/>
        <v>20600</v>
      </c>
      <c r="AB35" s="1091">
        <f t="shared" si="37"/>
        <v>31.333333333333332</v>
      </c>
      <c r="AD35" s="650">
        <f t="shared" si="9"/>
        <v>0</v>
      </c>
      <c r="AI35" s="1277">
        <f>VLOOKUP(K35,'[2]ผลการเบิกจ่ายสะสม พ.ย. 66'!$C:$N,12,0)</f>
        <v>9400</v>
      </c>
      <c r="AJ35" s="1274">
        <f t="shared" si="12"/>
        <v>0</v>
      </c>
    </row>
    <row r="36" spans="1:36" s="5" customFormat="1" x14ac:dyDescent="0.2">
      <c r="A36" s="33"/>
      <c r="B36" s="34" t="s">
        <v>193</v>
      </c>
      <c r="C36" s="273"/>
      <c r="D36" s="1107">
        <f>SUM(D37:D41)</f>
        <v>28890100</v>
      </c>
      <c r="E36" s="1097">
        <f>SUM(E37:E41)</f>
        <v>11044656.289999999</v>
      </c>
      <c r="F36" s="1097"/>
      <c r="G36" s="1097"/>
      <c r="H36" s="1097">
        <f>SUM(H37:H41)</f>
        <v>10000000</v>
      </c>
      <c r="I36" s="1098">
        <v>77551200</v>
      </c>
      <c r="J36" s="1098">
        <f>SUM(J37:J41)</f>
        <v>38882300</v>
      </c>
      <c r="K36" s="1029" t="s">
        <v>1316</v>
      </c>
      <c r="L36" s="1029" t="s">
        <v>1422</v>
      </c>
      <c r="M36" s="1105">
        <f t="shared" ref="M36" si="38">SUM(M37:M41)</f>
        <v>27056500</v>
      </c>
      <c r="N36" s="1105">
        <f>SUM(N37:N41)</f>
        <v>38882300</v>
      </c>
      <c r="O36" s="1240">
        <f>SUM(O37:O41)</f>
        <v>-425484</v>
      </c>
      <c r="P36" s="1105">
        <f t="shared" ref="P36" si="39">SUM(P37:P41)</f>
        <v>0</v>
      </c>
      <c r="Q36" s="1268">
        <f>15360</f>
        <v>15360</v>
      </c>
      <c r="R36" s="1105">
        <f t="shared" ref="R36:U36" si="40">SUM(R37:R41)</f>
        <v>0</v>
      </c>
      <c r="S36" s="1268">
        <f>3296799+5507846.62</f>
        <v>8804645.620000001</v>
      </c>
      <c r="T36" s="1105">
        <f t="shared" si="40"/>
        <v>8804645.6199999992</v>
      </c>
      <c r="U36" s="1105">
        <f t="shared" si="40"/>
        <v>29652170.380000003</v>
      </c>
      <c r="V36" s="1105">
        <f t="shared" si="11"/>
        <v>22.894889738141604</v>
      </c>
      <c r="W36" s="1105">
        <f t="shared" ref="W36:AB36" si="41">SUM(W37:W41)</f>
        <v>0</v>
      </c>
      <c r="X36" s="1105">
        <f t="shared" si="41"/>
        <v>8804645.6199999992</v>
      </c>
      <c r="Y36" s="1105">
        <f t="shared" si="41"/>
        <v>29652170.380000003</v>
      </c>
      <c r="Z36" s="1105">
        <f t="shared" si="41"/>
        <v>8804645.6199999992</v>
      </c>
      <c r="AA36" s="1105">
        <f t="shared" si="41"/>
        <v>29652170.380000003</v>
      </c>
      <c r="AB36" s="1105">
        <f t="shared" si="41"/>
        <v>123.26506785101634</v>
      </c>
      <c r="AD36" s="650">
        <f>+N36+O36-R36-S36-U36</f>
        <v>0</v>
      </c>
      <c r="AI36" s="1277">
        <f>VLOOKUP(K36,'[2]ผลการเบิกจ่ายสะสม พ.ย. 66'!$C:$N,12,0)</f>
        <v>8804645.6199999992</v>
      </c>
      <c r="AJ36" s="1274">
        <f t="shared" si="12"/>
        <v>0</v>
      </c>
    </row>
    <row r="37" spans="1:36" s="5" customFormat="1" ht="21" customHeight="1" outlineLevel="1" x14ac:dyDescent="0.2">
      <c r="A37" s="56"/>
      <c r="B37" s="36"/>
      <c r="C37" s="27" t="s">
        <v>52</v>
      </c>
      <c r="D37" s="1090">
        <v>5839000</v>
      </c>
      <c r="E37" s="1108">
        <v>2541205.5699999998</v>
      </c>
      <c r="F37" s="1108"/>
      <c r="G37" s="1108"/>
      <c r="H37" s="1108">
        <v>830000</v>
      </c>
      <c r="I37" s="1092">
        <v>21807100</v>
      </c>
      <c r="J37" s="1092">
        <v>10000000</v>
      </c>
      <c r="K37" s="1033"/>
      <c r="L37" s="1033"/>
      <c r="M37" s="1160">
        <v>8594600</v>
      </c>
      <c r="N37" s="1160">
        <v>9994600</v>
      </c>
      <c r="O37" s="1160"/>
      <c r="P37" s="1160"/>
      <c r="Q37" s="1160"/>
      <c r="R37" s="1160"/>
      <c r="S37" s="1283">
        <f>2687651.42</f>
        <v>2687651.42</v>
      </c>
      <c r="T37" s="1091">
        <f>+R37+S37</f>
        <v>2687651.42</v>
      </c>
      <c r="U37" s="1091">
        <f t="shared" ref="U37:U41" si="42">+N37+O37-T37</f>
        <v>7306948.5800000001</v>
      </c>
      <c r="V37" s="1091">
        <f t="shared" si="11"/>
        <v>26.891035359093912</v>
      </c>
      <c r="W37" s="1091"/>
      <c r="X37" s="1091">
        <f t="shared" ref="X37:X41" si="43">+T37+Q37</f>
        <v>2687651.42</v>
      </c>
      <c r="Y37" s="1091">
        <f t="shared" ref="Y37:Y41" si="44">+U37-Q37</f>
        <v>7306948.5800000001</v>
      </c>
      <c r="Z37" s="1091">
        <f t="shared" ref="Z37:Z41" si="45">+T37+Q37+P37</f>
        <v>2687651.42</v>
      </c>
      <c r="AA37" s="1091">
        <f t="shared" ref="AA37:AA41" si="46">+U37-Q37-P37</f>
        <v>7306948.5800000001</v>
      </c>
      <c r="AB37" s="1091">
        <f t="shared" ref="AB37:AB41" si="47">IFERROR(Z37*100/(N37+O37),0)</f>
        <v>26.891035359093912</v>
      </c>
      <c r="AD37" s="650">
        <f t="shared" si="9"/>
        <v>0</v>
      </c>
      <c r="AI37" s="1277">
        <f>VLOOKUP(K37,'[2]ผลการเบิกจ่ายสะสม พ.ย. 66'!$C:$N,12,0)</f>
        <v>0</v>
      </c>
      <c r="AJ37" s="1274">
        <f t="shared" si="12"/>
        <v>-2687651.42</v>
      </c>
    </row>
    <row r="38" spans="1:36" s="5" customFormat="1" ht="21" customHeight="1" outlineLevel="1" x14ac:dyDescent="0.2">
      <c r="A38" s="56"/>
      <c r="B38" s="36"/>
      <c r="C38" s="27" t="s">
        <v>49</v>
      </c>
      <c r="D38" s="1090">
        <v>5595000</v>
      </c>
      <c r="E38" s="1108">
        <v>1585962.77</v>
      </c>
      <c r="F38" s="1108"/>
      <c r="G38" s="1108"/>
      <c r="H38" s="1108">
        <v>1756000</v>
      </c>
      <c r="I38" s="1092">
        <v>7943900</v>
      </c>
      <c r="J38" s="1092">
        <v>5500000</v>
      </c>
      <c r="K38" s="1033"/>
      <c r="L38" s="1033"/>
      <c r="M38" s="1160">
        <v>4005400</v>
      </c>
      <c r="N38" s="1160">
        <v>5505400</v>
      </c>
      <c r="O38" s="1160"/>
      <c r="P38" s="1160"/>
      <c r="Q38" s="1160"/>
      <c r="R38" s="1160"/>
      <c r="S38" s="1283">
        <f>1794752.05</f>
        <v>1794752.05</v>
      </c>
      <c r="T38" s="1091">
        <f t="shared" ref="T38:T41" si="48">+R38+S38</f>
        <v>1794752.05</v>
      </c>
      <c r="U38" s="1091">
        <f t="shared" si="42"/>
        <v>3710647.95</v>
      </c>
      <c r="V38" s="1091">
        <f t="shared" si="11"/>
        <v>32.599848330729827</v>
      </c>
      <c r="W38" s="1091"/>
      <c r="X38" s="1091">
        <f t="shared" si="43"/>
        <v>1794752.05</v>
      </c>
      <c r="Y38" s="1091">
        <f t="shared" si="44"/>
        <v>3710647.95</v>
      </c>
      <c r="Z38" s="1091">
        <f t="shared" si="45"/>
        <v>1794752.05</v>
      </c>
      <c r="AA38" s="1091">
        <f t="shared" si="46"/>
        <v>3710647.95</v>
      </c>
      <c r="AB38" s="1091">
        <f t="shared" si="47"/>
        <v>32.599848330729827</v>
      </c>
      <c r="AD38" s="650">
        <f t="shared" si="9"/>
        <v>0</v>
      </c>
      <c r="AI38" s="1277">
        <f>VLOOKUP(K38,'[2]ผลการเบิกจ่ายสะสม พ.ย. 66'!$C:$N,12,0)</f>
        <v>0</v>
      </c>
      <c r="AJ38" s="1274">
        <f t="shared" si="12"/>
        <v>-1794752.05</v>
      </c>
    </row>
    <row r="39" spans="1:36" s="5" customFormat="1" ht="21" customHeight="1" outlineLevel="1" x14ac:dyDescent="0.2">
      <c r="A39" s="56"/>
      <c r="B39" s="36"/>
      <c r="C39" s="27" t="s">
        <v>54</v>
      </c>
      <c r="D39" s="1090">
        <v>7015600</v>
      </c>
      <c r="E39" s="1108">
        <v>1580298.84</v>
      </c>
      <c r="F39" s="1108"/>
      <c r="G39" s="1108"/>
      <c r="H39" s="1108">
        <v>4366000</v>
      </c>
      <c r="I39" s="1092">
        <v>22775500</v>
      </c>
      <c r="J39" s="1092">
        <v>10300000</v>
      </c>
      <c r="K39" s="1032"/>
      <c r="L39" s="1032"/>
      <c r="M39" s="1091">
        <v>6676500</v>
      </c>
      <c r="N39" s="1091">
        <v>10300000</v>
      </c>
      <c r="O39" s="1239">
        <f>-425484</f>
        <v>-425484</v>
      </c>
      <c r="P39" s="1091"/>
      <c r="Q39" s="1160"/>
      <c r="R39" s="1160"/>
      <c r="S39" s="1283">
        <f>626339.76</f>
        <v>626339.76</v>
      </c>
      <c r="T39" s="1091">
        <f t="shared" si="48"/>
        <v>626339.76</v>
      </c>
      <c r="U39" s="1091">
        <f t="shared" si="42"/>
        <v>9248176.2400000002</v>
      </c>
      <c r="V39" s="1091">
        <f t="shared" si="11"/>
        <v>6.3429920008231289</v>
      </c>
      <c r="W39" s="1091"/>
      <c r="X39" s="1091">
        <f t="shared" si="43"/>
        <v>626339.76</v>
      </c>
      <c r="Y39" s="1091">
        <f t="shared" si="44"/>
        <v>9248176.2400000002</v>
      </c>
      <c r="Z39" s="1091">
        <f t="shared" si="45"/>
        <v>626339.76</v>
      </c>
      <c r="AA39" s="1091">
        <f t="shared" si="46"/>
        <v>9248176.2400000002</v>
      </c>
      <c r="AB39" s="1091">
        <f t="shared" si="47"/>
        <v>6.3429920008231289</v>
      </c>
      <c r="AC39" s="5" t="s">
        <v>1446</v>
      </c>
      <c r="AD39" s="650">
        <f t="shared" si="9"/>
        <v>0</v>
      </c>
      <c r="AI39" s="1277">
        <f>VLOOKUP(K39,'[2]ผลการเบิกจ่ายสะสม พ.ย. 66'!$C:$N,12,0)</f>
        <v>0</v>
      </c>
      <c r="AJ39" s="1274">
        <f t="shared" si="12"/>
        <v>-626339.76</v>
      </c>
    </row>
    <row r="40" spans="1:36" s="5" customFormat="1" ht="21" customHeight="1" outlineLevel="1" x14ac:dyDescent="0.2">
      <c r="A40" s="56"/>
      <c r="B40" s="36"/>
      <c r="C40" s="27" t="s">
        <v>53</v>
      </c>
      <c r="D40" s="1090">
        <v>5941000</v>
      </c>
      <c r="E40" s="1109">
        <v>1386090.5</v>
      </c>
      <c r="F40" s="1109"/>
      <c r="G40" s="1109"/>
      <c r="H40" s="1109">
        <v>1096000</v>
      </c>
      <c r="I40" s="1110">
        <v>10437300</v>
      </c>
      <c r="J40" s="1110">
        <v>7500000</v>
      </c>
      <c r="K40" s="1033"/>
      <c r="L40" s="1033"/>
      <c r="M40" s="1160">
        <v>3630000</v>
      </c>
      <c r="N40" s="1160">
        <v>7500000</v>
      </c>
      <c r="O40" s="1160">
        <v>303100</v>
      </c>
      <c r="P40" s="1160"/>
      <c r="Q40" s="1160"/>
      <c r="R40" s="1160"/>
      <c r="S40" s="1283">
        <f>2052862.06</f>
        <v>2052862.06</v>
      </c>
      <c r="T40" s="1091">
        <f t="shared" si="48"/>
        <v>2052862.06</v>
      </c>
      <c r="U40" s="1091">
        <f t="shared" si="42"/>
        <v>5750237.9399999995</v>
      </c>
      <c r="V40" s="1091">
        <f t="shared" si="11"/>
        <v>26.308288500724071</v>
      </c>
      <c r="W40" s="1091"/>
      <c r="X40" s="1091">
        <f t="shared" si="43"/>
        <v>2052862.06</v>
      </c>
      <c r="Y40" s="1091">
        <f t="shared" si="44"/>
        <v>5750237.9399999995</v>
      </c>
      <c r="Z40" s="1091">
        <f t="shared" si="45"/>
        <v>2052862.06</v>
      </c>
      <c r="AA40" s="1091">
        <f t="shared" si="46"/>
        <v>5750237.9399999995</v>
      </c>
      <c r="AB40" s="1091">
        <f t="shared" si="47"/>
        <v>26.308288500724071</v>
      </c>
      <c r="AC40" s="5" t="s">
        <v>1448</v>
      </c>
      <c r="AD40" s="650">
        <f t="shared" si="9"/>
        <v>0</v>
      </c>
      <c r="AI40" s="1277">
        <f>VLOOKUP(K40,'[2]ผลการเบิกจ่ายสะสม พ.ย. 66'!$C:$N,12,0)</f>
        <v>0</v>
      </c>
      <c r="AJ40" s="1274">
        <f t="shared" si="12"/>
        <v>-2052862.06</v>
      </c>
    </row>
    <row r="41" spans="1:36" s="5" customFormat="1" ht="21" customHeight="1" outlineLevel="1" x14ac:dyDescent="0.2">
      <c r="A41" s="56"/>
      <c r="B41" s="36"/>
      <c r="C41" s="27" t="s">
        <v>62</v>
      </c>
      <c r="D41" s="1090">
        <v>4499500</v>
      </c>
      <c r="E41" s="1108">
        <v>3951098.61</v>
      </c>
      <c r="F41" s="1108"/>
      <c r="G41" s="1108"/>
      <c r="H41" s="1108">
        <v>1952000</v>
      </c>
      <c r="I41" s="1092">
        <v>14587400</v>
      </c>
      <c r="J41" s="1092">
        <v>5582300</v>
      </c>
      <c r="K41" s="1032"/>
      <c r="L41" s="1032"/>
      <c r="M41" s="1091">
        <v>4150000</v>
      </c>
      <c r="N41" s="1091">
        <v>5582300</v>
      </c>
      <c r="O41" s="1239">
        <v>-303100</v>
      </c>
      <c r="P41" s="1091"/>
      <c r="Q41" s="1160"/>
      <c r="R41" s="1160"/>
      <c r="S41" s="1283">
        <f>1643040.33</f>
        <v>1643040.33</v>
      </c>
      <c r="T41" s="1091">
        <f t="shared" si="48"/>
        <v>1643040.33</v>
      </c>
      <c r="U41" s="1091">
        <f t="shared" si="42"/>
        <v>3636159.67</v>
      </c>
      <c r="V41" s="1091">
        <f t="shared" si="11"/>
        <v>31.122903659645402</v>
      </c>
      <c r="W41" s="1091"/>
      <c r="X41" s="1091">
        <f t="shared" si="43"/>
        <v>1643040.33</v>
      </c>
      <c r="Y41" s="1091">
        <f t="shared" si="44"/>
        <v>3636159.67</v>
      </c>
      <c r="Z41" s="1091">
        <f t="shared" si="45"/>
        <v>1643040.33</v>
      </c>
      <c r="AA41" s="1091">
        <f t="shared" si="46"/>
        <v>3636159.67</v>
      </c>
      <c r="AB41" s="1091">
        <f t="shared" si="47"/>
        <v>31.122903659645402</v>
      </c>
      <c r="AC41" s="5" t="s">
        <v>1448</v>
      </c>
      <c r="AD41" s="650">
        <f t="shared" si="9"/>
        <v>0</v>
      </c>
      <c r="AI41" s="1277">
        <f>VLOOKUP(K41,'[2]ผลการเบิกจ่ายสะสม พ.ย. 66'!$C:$N,12,0)</f>
        <v>0</v>
      </c>
      <c r="AJ41" s="1274">
        <f t="shared" si="12"/>
        <v>-1643040.33</v>
      </c>
    </row>
    <row r="42" spans="1:36" s="5" customFormat="1" x14ac:dyDescent="0.2">
      <c r="A42" s="33"/>
      <c r="B42" s="34" t="s">
        <v>194</v>
      </c>
      <c r="C42" s="896"/>
      <c r="D42" s="1096">
        <f>SUM(D43:D44)</f>
        <v>0</v>
      </c>
      <c r="E42" s="1105">
        <f>SUM(E43:E44)</f>
        <v>0</v>
      </c>
      <c r="F42" s="1105"/>
      <c r="G42" s="1105"/>
      <c r="H42" s="1105">
        <f>SUM(H43:H44)</f>
        <v>0</v>
      </c>
      <c r="I42" s="1106">
        <v>2543000</v>
      </c>
      <c r="J42" s="1106">
        <f>SUM(J43:J44)</f>
        <v>0</v>
      </c>
      <c r="K42" s="1029"/>
      <c r="L42" s="1029"/>
      <c r="M42" s="1105">
        <f t="shared" ref="M42:U42" si="49">SUM(M43:M44)</f>
        <v>0</v>
      </c>
      <c r="N42" s="1105">
        <f>SUM(N43:N44)</f>
        <v>0</v>
      </c>
      <c r="O42" s="1105">
        <f t="shared" si="49"/>
        <v>0</v>
      </c>
      <c r="P42" s="1105">
        <f t="shared" si="49"/>
        <v>0</v>
      </c>
      <c r="Q42" s="1105">
        <f t="shared" si="49"/>
        <v>0</v>
      </c>
      <c r="R42" s="1105">
        <f t="shared" si="49"/>
        <v>0</v>
      </c>
      <c r="S42" s="1105">
        <f t="shared" si="49"/>
        <v>0</v>
      </c>
      <c r="T42" s="1105">
        <f t="shared" si="49"/>
        <v>0</v>
      </c>
      <c r="U42" s="1105">
        <f t="shared" si="49"/>
        <v>0</v>
      </c>
      <c r="V42" s="1105">
        <f t="shared" si="11"/>
        <v>0</v>
      </c>
      <c r="W42" s="1105">
        <f t="shared" ref="W42:AB42" si="50">SUM(W43:W44)</f>
        <v>0</v>
      </c>
      <c r="X42" s="1105">
        <f t="shared" si="50"/>
        <v>0</v>
      </c>
      <c r="Y42" s="1105">
        <f t="shared" si="50"/>
        <v>0</v>
      </c>
      <c r="Z42" s="1105">
        <f t="shared" si="50"/>
        <v>0</v>
      </c>
      <c r="AA42" s="1105">
        <f t="shared" si="50"/>
        <v>0</v>
      </c>
      <c r="AB42" s="1105">
        <f t="shared" si="50"/>
        <v>0</v>
      </c>
      <c r="AD42" s="650">
        <f t="shared" si="9"/>
        <v>0</v>
      </c>
      <c r="AI42" s="1277">
        <f>VLOOKUP(K42,'[2]ผลการเบิกจ่ายสะสม พ.ย. 66'!$C:$N,12,0)</f>
        <v>0</v>
      </c>
      <c r="AJ42" s="1274">
        <f t="shared" si="12"/>
        <v>0</v>
      </c>
    </row>
    <row r="43" spans="1:36" s="5" customFormat="1" ht="21" customHeight="1" outlineLevel="1" x14ac:dyDescent="0.2">
      <c r="A43" s="56"/>
      <c r="B43" s="36"/>
      <c r="C43" s="27" t="s">
        <v>52</v>
      </c>
      <c r="D43" s="1090">
        <v>0</v>
      </c>
      <c r="E43" s="1109"/>
      <c r="F43" s="1109"/>
      <c r="G43" s="1109"/>
      <c r="H43" s="1109">
        <v>0</v>
      </c>
      <c r="I43" s="1110">
        <v>1858000</v>
      </c>
      <c r="J43" s="1110">
        <v>0</v>
      </c>
      <c r="K43" s="1033"/>
      <c r="L43" s="1033"/>
      <c r="M43" s="1160"/>
      <c r="N43" s="1160">
        <v>0</v>
      </c>
      <c r="O43" s="1160"/>
      <c r="P43" s="1160"/>
      <c r="Q43" s="1160"/>
      <c r="R43" s="1160"/>
      <c r="S43" s="1160"/>
      <c r="T43" s="1091">
        <f t="shared" ref="T43:T55" si="51">+R43+S43</f>
        <v>0</v>
      </c>
      <c r="U43" s="1091">
        <f t="shared" ref="U43:U55" si="52">+N43+O43-T43</f>
        <v>0</v>
      </c>
      <c r="V43" s="1091">
        <f t="shared" si="11"/>
        <v>0</v>
      </c>
      <c r="W43" s="1091"/>
      <c r="X43" s="1091">
        <f t="shared" ref="X43:X55" si="53">+T43+Q43</f>
        <v>0</v>
      </c>
      <c r="Y43" s="1091">
        <f t="shared" ref="Y43:Y55" si="54">+U43-Q43</f>
        <v>0</v>
      </c>
      <c r="Z43" s="1091">
        <f t="shared" ref="Z43:Z55" si="55">+T43+Q43+P43</f>
        <v>0</v>
      </c>
      <c r="AA43" s="1091">
        <f t="shared" ref="AA43:AA55" si="56">+U43-Q43-P43</f>
        <v>0</v>
      </c>
      <c r="AB43" s="1091">
        <f t="shared" ref="AB43:AB55" si="57">IFERROR(Z43*100/(N43+O43),0)</f>
        <v>0</v>
      </c>
      <c r="AD43" s="650">
        <f t="shared" si="9"/>
        <v>0</v>
      </c>
      <c r="AI43" s="1277">
        <f>VLOOKUP(K43,'[2]ผลการเบิกจ่ายสะสม พ.ย. 66'!$C:$N,12,0)</f>
        <v>0</v>
      </c>
      <c r="AJ43" s="1274">
        <f t="shared" si="12"/>
        <v>0</v>
      </c>
    </row>
    <row r="44" spans="1:36" s="5" customFormat="1" ht="24" customHeight="1" outlineLevel="1" x14ac:dyDescent="0.2">
      <c r="A44" s="56"/>
      <c r="B44" s="36"/>
      <c r="C44" s="27" t="s">
        <v>62</v>
      </c>
      <c r="D44" s="1111">
        <v>0</v>
      </c>
      <c r="E44" s="1109"/>
      <c r="F44" s="1109"/>
      <c r="G44" s="1109"/>
      <c r="H44" s="1109">
        <v>0</v>
      </c>
      <c r="I44" s="1110">
        <v>685000</v>
      </c>
      <c r="J44" s="1110">
        <v>0</v>
      </c>
      <c r="K44" s="1033"/>
      <c r="L44" s="1033"/>
      <c r="M44" s="1160"/>
      <c r="N44" s="1160">
        <v>0</v>
      </c>
      <c r="O44" s="1160"/>
      <c r="P44" s="1160"/>
      <c r="Q44" s="1160"/>
      <c r="R44" s="1160"/>
      <c r="S44" s="1160"/>
      <c r="T44" s="1091">
        <f t="shared" si="51"/>
        <v>0</v>
      </c>
      <c r="U44" s="1091">
        <f t="shared" si="52"/>
        <v>0</v>
      </c>
      <c r="V44" s="1091">
        <f t="shared" si="11"/>
        <v>0</v>
      </c>
      <c r="W44" s="1091"/>
      <c r="X44" s="1091">
        <f t="shared" si="53"/>
        <v>0</v>
      </c>
      <c r="Y44" s="1091">
        <f t="shared" si="54"/>
        <v>0</v>
      </c>
      <c r="Z44" s="1091">
        <f t="shared" si="55"/>
        <v>0</v>
      </c>
      <c r="AA44" s="1091">
        <f t="shared" si="56"/>
        <v>0</v>
      </c>
      <c r="AB44" s="1091">
        <f t="shared" si="57"/>
        <v>0</v>
      </c>
      <c r="AD44" s="650">
        <f t="shared" si="9"/>
        <v>0</v>
      </c>
      <c r="AI44" s="1277">
        <f>VLOOKUP(K44,'[2]ผลการเบิกจ่ายสะสม พ.ย. 66'!$C:$N,12,0)</f>
        <v>0</v>
      </c>
      <c r="AJ44" s="1274">
        <f t="shared" si="12"/>
        <v>0</v>
      </c>
    </row>
    <row r="45" spans="1:36" s="5" customFormat="1" x14ac:dyDescent="0.2">
      <c r="A45" s="33"/>
      <c r="B45" s="34" t="s">
        <v>841</v>
      </c>
      <c r="C45" s="896"/>
      <c r="D45" s="1096">
        <v>150000000</v>
      </c>
      <c r="E45" s="1097">
        <v>83317816.530000001</v>
      </c>
      <c r="F45" s="1097"/>
      <c r="G45" s="1097"/>
      <c r="H45" s="1097">
        <v>138058000</v>
      </c>
      <c r="I45" s="1098">
        <v>150000000</v>
      </c>
      <c r="J45" s="1098">
        <v>89764700</v>
      </c>
      <c r="K45" s="1029" t="s">
        <v>1317</v>
      </c>
      <c r="L45" s="1029" t="s">
        <v>1422</v>
      </c>
      <c r="M45" s="1097">
        <v>89279700</v>
      </c>
      <c r="N45" s="1097">
        <v>89764700</v>
      </c>
      <c r="O45" s="1097"/>
      <c r="P45" s="1097"/>
      <c r="Q45" s="1268">
        <f>237920</f>
        <v>237920</v>
      </c>
      <c r="R45" s="1097"/>
      <c r="S45" s="1268">
        <f>247948.39+3532902</f>
        <v>3780850.39</v>
      </c>
      <c r="T45" s="1091">
        <f t="shared" si="51"/>
        <v>3780850.39</v>
      </c>
      <c r="U45" s="1091">
        <f t="shared" si="52"/>
        <v>85983849.609999999</v>
      </c>
      <c r="V45" s="1091">
        <f t="shared" si="11"/>
        <v>4.2119568048464489</v>
      </c>
      <c r="W45" s="1091"/>
      <c r="X45" s="1091">
        <f t="shared" si="53"/>
        <v>4018770.39</v>
      </c>
      <c r="Y45" s="1091">
        <f t="shared" si="54"/>
        <v>85745929.609999999</v>
      </c>
      <c r="Z45" s="1091">
        <f t="shared" si="55"/>
        <v>4018770.39</v>
      </c>
      <c r="AA45" s="1091">
        <f t="shared" si="56"/>
        <v>85745929.609999999</v>
      </c>
      <c r="AB45" s="1091">
        <f t="shared" si="57"/>
        <v>4.4770053150069016</v>
      </c>
      <c r="AD45" s="650">
        <f t="shared" si="9"/>
        <v>0</v>
      </c>
      <c r="AI45" s="1277">
        <f>VLOOKUP(K45,'[2]ผลการเบิกจ่ายสะสม พ.ย. 66'!$C:$N,12,0)</f>
        <v>3780850.39</v>
      </c>
      <c r="AJ45" s="1274">
        <f t="shared" si="12"/>
        <v>0</v>
      </c>
    </row>
    <row r="46" spans="1:36" s="5" customFormat="1" x14ac:dyDescent="0.2">
      <c r="A46" s="96"/>
      <c r="B46" s="97" t="s">
        <v>770</v>
      </c>
      <c r="C46" s="97"/>
      <c r="D46" s="1112">
        <f>SUM(D47:D53)</f>
        <v>3928200</v>
      </c>
      <c r="E46" s="1113">
        <f>SUM(E47:E53)</f>
        <v>4888134</v>
      </c>
      <c r="F46" s="1113"/>
      <c r="G46" s="1113"/>
      <c r="H46" s="1113">
        <f>SUM(H47:H53)</f>
        <v>3928200</v>
      </c>
      <c r="I46" s="1114">
        <v>5627500</v>
      </c>
      <c r="J46" s="1114">
        <f>SUM(J47:J53)</f>
        <v>3928200</v>
      </c>
      <c r="K46" s="1029" t="s">
        <v>1318</v>
      </c>
      <c r="L46" s="1029" t="s">
        <v>1422</v>
      </c>
      <c r="M46" s="1130">
        <v>2491000</v>
      </c>
      <c r="N46" s="1130">
        <f>SUM(N47:N53)</f>
        <v>2491000</v>
      </c>
      <c r="O46" s="1130">
        <f>SUM(O47:O53)</f>
        <v>345484</v>
      </c>
      <c r="P46" s="1130"/>
      <c r="Q46" s="1130"/>
      <c r="R46" s="1130"/>
      <c r="S46" s="1270">
        <f>284245.45+325285.59</f>
        <v>609531.04</v>
      </c>
      <c r="T46" s="1091">
        <f t="shared" si="51"/>
        <v>609531.04</v>
      </c>
      <c r="U46" s="1091">
        <f t="shared" si="52"/>
        <v>2226952.96</v>
      </c>
      <c r="V46" s="1091">
        <f t="shared" si="11"/>
        <v>21.488964506762599</v>
      </c>
      <c r="W46" s="1091"/>
      <c r="X46" s="1091">
        <f t="shared" si="53"/>
        <v>609531.04</v>
      </c>
      <c r="Y46" s="1091">
        <f t="shared" si="54"/>
        <v>2226952.96</v>
      </c>
      <c r="Z46" s="1091">
        <f t="shared" si="55"/>
        <v>609531.04</v>
      </c>
      <c r="AA46" s="1091">
        <f t="shared" si="56"/>
        <v>2226952.96</v>
      </c>
      <c r="AB46" s="1091">
        <f t="shared" si="57"/>
        <v>21.488964506762599</v>
      </c>
      <c r="AD46" s="650">
        <f t="shared" si="9"/>
        <v>0</v>
      </c>
      <c r="AI46" s="1277">
        <f>VLOOKUP(K46,'[2]ผลการเบิกจ่ายสะสม พ.ย. 66'!$C:$N,12,0)</f>
        <v>609531.04</v>
      </c>
      <c r="AJ46" s="1274">
        <f t="shared" si="12"/>
        <v>0</v>
      </c>
    </row>
    <row r="47" spans="1:36" s="5" customFormat="1" ht="21" customHeight="1" outlineLevel="1" x14ac:dyDescent="0.2">
      <c r="A47" s="56"/>
      <c r="B47" s="36"/>
      <c r="C47" s="27" t="s">
        <v>68</v>
      </c>
      <c r="D47" s="1090">
        <v>450000</v>
      </c>
      <c r="E47" s="1108">
        <v>381912</v>
      </c>
      <c r="F47" s="1108"/>
      <c r="G47" s="1108"/>
      <c r="H47" s="1108">
        <v>513500</v>
      </c>
      <c r="I47" s="1092">
        <v>1393300</v>
      </c>
      <c r="J47" s="1092">
        <v>342400</v>
      </c>
      <c r="K47" s="1032"/>
      <c r="L47" s="1032"/>
      <c r="M47" s="1091">
        <v>217100</v>
      </c>
      <c r="N47" s="1091">
        <v>217100</v>
      </c>
      <c r="O47" s="1091">
        <v>345484</v>
      </c>
      <c r="P47" s="1091"/>
      <c r="Q47" s="1091"/>
      <c r="R47" s="1091"/>
      <c r="S47" s="1283">
        <f>92251</f>
        <v>92251</v>
      </c>
      <c r="T47" s="1091">
        <f t="shared" si="51"/>
        <v>92251</v>
      </c>
      <c r="U47" s="1091">
        <f t="shared" si="52"/>
        <v>470333</v>
      </c>
      <c r="V47" s="1091">
        <f t="shared" si="11"/>
        <v>16.397729050239608</v>
      </c>
      <c r="W47" s="1091"/>
      <c r="X47" s="1091">
        <f t="shared" si="53"/>
        <v>92251</v>
      </c>
      <c r="Y47" s="1091">
        <f t="shared" si="54"/>
        <v>470333</v>
      </c>
      <c r="Z47" s="1091">
        <f t="shared" si="55"/>
        <v>92251</v>
      </c>
      <c r="AA47" s="1091">
        <f t="shared" si="56"/>
        <v>470333</v>
      </c>
      <c r="AB47" s="1091">
        <f t="shared" si="57"/>
        <v>16.397729050239608</v>
      </c>
      <c r="AC47" s="5" t="s">
        <v>1446</v>
      </c>
      <c r="AD47" s="650">
        <f t="shared" si="9"/>
        <v>0</v>
      </c>
      <c r="AI47" s="1277">
        <f>VLOOKUP(K47,'[2]ผลการเบิกจ่ายสะสม พ.ย. 66'!$C:$N,12,0)</f>
        <v>0</v>
      </c>
      <c r="AJ47" s="1274">
        <f t="shared" si="12"/>
        <v>-92251</v>
      </c>
    </row>
    <row r="48" spans="1:36" s="5" customFormat="1" ht="21" customHeight="1" outlineLevel="1" x14ac:dyDescent="0.2">
      <c r="A48" s="56"/>
      <c r="B48" s="36"/>
      <c r="C48" s="27" t="s">
        <v>285</v>
      </c>
      <c r="D48" s="1090">
        <v>1000000</v>
      </c>
      <c r="E48" s="1109">
        <v>586846</v>
      </c>
      <c r="F48" s="1109"/>
      <c r="G48" s="1109"/>
      <c r="H48" s="1109">
        <v>330000</v>
      </c>
      <c r="I48" s="1110">
        <v>765000</v>
      </c>
      <c r="J48" s="1110">
        <v>443300</v>
      </c>
      <c r="K48" s="1033"/>
      <c r="L48" s="1033"/>
      <c r="M48" s="1160">
        <v>281100</v>
      </c>
      <c r="N48" s="1160">
        <v>281100</v>
      </c>
      <c r="O48" s="1160"/>
      <c r="P48" s="1160"/>
      <c r="Q48" s="1160"/>
      <c r="R48" s="1160"/>
      <c r="S48" s="1283">
        <f>61081.13</f>
        <v>61081.13</v>
      </c>
      <c r="T48" s="1091">
        <f t="shared" si="51"/>
        <v>61081.13</v>
      </c>
      <c r="U48" s="1091">
        <f t="shared" si="52"/>
        <v>220018.87</v>
      </c>
      <c r="V48" s="1091">
        <f t="shared" si="11"/>
        <v>21.729324083955888</v>
      </c>
      <c r="W48" s="1091"/>
      <c r="X48" s="1091">
        <f t="shared" si="53"/>
        <v>61081.13</v>
      </c>
      <c r="Y48" s="1091">
        <f t="shared" si="54"/>
        <v>220018.87</v>
      </c>
      <c r="Z48" s="1091">
        <f t="shared" si="55"/>
        <v>61081.13</v>
      </c>
      <c r="AA48" s="1091">
        <f t="shared" si="56"/>
        <v>220018.87</v>
      </c>
      <c r="AB48" s="1091">
        <f t="shared" si="57"/>
        <v>21.729324083955888</v>
      </c>
      <c r="AD48" s="650">
        <f t="shared" si="9"/>
        <v>0</v>
      </c>
      <c r="AI48" s="1277">
        <f>VLOOKUP(K48,'[2]ผลการเบิกจ่ายสะสม พ.ย. 66'!$C:$N,12,0)</f>
        <v>0</v>
      </c>
      <c r="AJ48" s="1274">
        <f t="shared" si="12"/>
        <v>-61081.13</v>
      </c>
    </row>
    <row r="49" spans="1:36" s="5" customFormat="1" ht="21" customHeight="1" outlineLevel="1" x14ac:dyDescent="0.2">
      <c r="A49" s="56"/>
      <c r="B49" s="36"/>
      <c r="C49" s="27" t="s">
        <v>49</v>
      </c>
      <c r="D49" s="1090">
        <v>170000</v>
      </c>
      <c r="E49" s="1108">
        <v>165000</v>
      </c>
      <c r="F49" s="1108"/>
      <c r="G49" s="1108"/>
      <c r="H49" s="1108">
        <v>223000</v>
      </c>
      <c r="I49" s="1092">
        <v>360000</v>
      </c>
      <c r="J49" s="1092">
        <v>137200</v>
      </c>
      <c r="K49" s="1032"/>
      <c r="L49" s="1032"/>
      <c r="M49" s="1091">
        <v>87000</v>
      </c>
      <c r="N49" s="1091">
        <v>87000</v>
      </c>
      <c r="O49" s="1091"/>
      <c r="P49" s="1091"/>
      <c r="Q49" s="1091"/>
      <c r="R49" s="1091"/>
      <c r="S49" s="1283">
        <f>30402</f>
        <v>30402</v>
      </c>
      <c r="T49" s="1091">
        <f t="shared" si="51"/>
        <v>30402</v>
      </c>
      <c r="U49" s="1091">
        <f t="shared" si="52"/>
        <v>56598</v>
      </c>
      <c r="V49" s="1091">
        <f t="shared" si="11"/>
        <v>34.944827586206898</v>
      </c>
      <c r="W49" s="1091"/>
      <c r="X49" s="1091">
        <f t="shared" si="53"/>
        <v>30402</v>
      </c>
      <c r="Y49" s="1091">
        <f t="shared" si="54"/>
        <v>56598</v>
      </c>
      <c r="Z49" s="1091">
        <f t="shared" si="55"/>
        <v>30402</v>
      </c>
      <c r="AA49" s="1091">
        <f t="shared" si="56"/>
        <v>56598</v>
      </c>
      <c r="AB49" s="1091">
        <f t="shared" si="57"/>
        <v>34.944827586206898</v>
      </c>
      <c r="AD49" s="650">
        <f t="shared" si="9"/>
        <v>0</v>
      </c>
      <c r="AI49" s="1277">
        <f>VLOOKUP(K49,'[2]ผลการเบิกจ่ายสะสม พ.ย. 66'!$C:$N,12,0)</f>
        <v>0</v>
      </c>
      <c r="AJ49" s="1274">
        <f t="shared" si="12"/>
        <v>-30402</v>
      </c>
    </row>
    <row r="50" spans="1:36" s="5" customFormat="1" ht="21" customHeight="1" outlineLevel="1" x14ac:dyDescent="0.2">
      <c r="A50" s="56"/>
      <c r="B50" s="36"/>
      <c r="C50" s="27" t="s">
        <v>52</v>
      </c>
      <c r="D50" s="1090">
        <v>300000</v>
      </c>
      <c r="E50" s="1108">
        <v>360000</v>
      </c>
      <c r="F50" s="1108"/>
      <c r="G50" s="1108"/>
      <c r="H50" s="1108">
        <v>272500</v>
      </c>
      <c r="I50" s="1092">
        <v>460000</v>
      </c>
      <c r="J50" s="1092">
        <v>288400</v>
      </c>
      <c r="K50" s="1032"/>
      <c r="L50" s="1032"/>
      <c r="M50" s="1091">
        <v>182900</v>
      </c>
      <c r="N50" s="1091">
        <v>182900</v>
      </c>
      <c r="O50" s="1091"/>
      <c r="P50" s="1091"/>
      <c r="Q50" s="1091"/>
      <c r="R50" s="1091"/>
      <c r="S50" s="1283">
        <f>29516.12</f>
        <v>29516.12</v>
      </c>
      <c r="T50" s="1091">
        <f t="shared" si="51"/>
        <v>29516.12</v>
      </c>
      <c r="U50" s="1091">
        <f t="shared" si="52"/>
        <v>153383.88</v>
      </c>
      <c r="V50" s="1091">
        <f t="shared" si="11"/>
        <v>16.137845817386552</v>
      </c>
      <c r="W50" s="1091"/>
      <c r="X50" s="1091">
        <f t="shared" si="53"/>
        <v>29516.12</v>
      </c>
      <c r="Y50" s="1091">
        <f t="shared" si="54"/>
        <v>153383.88</v>
      </c>
      <c r="Z50" s="1091">
        <f t="shared" si="55"/>
        <v>29516.12</v>
      </c>
      <c r="AA50" s="1091">
        <f t="shared" si="56"/>
        <v>153383.88</v>
      </c>
      <c r="AB50" s="1091">
        <f t="shared" si="57"/>
        <v>16.137845817386552</v>
      </c>
      <c r="AD50" s="650">
        <f t="shared" si="9"/>
        <v>0</v>
      </c>
      <c r="AI50" s="1277">
        <f>VLOOKUP(K50,'[2]ผลการเบิกจ่ายสะสม พ.ย. 66'!$C:$N,12,0)</f>
        <v>0</v>
      </c>
      <c r="AJ50" s="1274">
        <f t="shared" si="12"/>
        <v>-29516.12</v>
      </c>
    </row>
    <row r="51" spans="1:36" s="5" customFormat="1" ht="21" customHeight="1" outlineLevel="1" x14ac:dyDescent="0.2">
      <c r="A51" s="56"/>
      <c r="B51" s="36"/>
      <c r="C51" s="27" t="s">
        <v>69</v>
      </c>
      <c r="D51" s="1090">
        <v>230000</v>
      </c>
      <c r="E51" s="1108">
        <v>221376</v>
      </c>
      <c r="F51" s="1108"/>
      <c r="G51" s="1108"/>
      <c r="H51" s="1108">
        <v>240000</v>
      </c>
      <c r="I51" s="1092">
        <v>300000</v>
      </c>
      <c r="J51" s="1092">
        <v>173700</v>
      </c>
      <c r="K51" s="1032"/>
      <c r="L51" s="1032"/>
      <c r="M51" s="1091">
        <v>110200</v>
      </c>
      <c r="N51" s="1091">
        <v>110200</v>
      </c>
      <c r="O51" s="1091"/>
      <c r="P51" s="1091"/>
      <c r="Q51" s="1091"/>
      <c r="R51" s="1091"/>
      <c r="S51" s="1283">
        <f>38510.74</f>
        <v>38510.74</v>
      </c>
      <c r="T51" s="1091">
        <f t="shared" si="51"/>
        <v>38510.74</v>
      </c>
      <c r="U51" s="1091">
        <f t="shared" si="52"/>
        <v>71689.260000000009</v>
      </c>
      <c r="V51" s="1091">
        <f t="shared" si="11"/>
        <v>34.946225045372053</v>
      </c>
      <c r="W51" s="1091"/>
      <c r="X51" s="1091">
        <f t="shared" si="53"/>
        <v>38510.74</v>
      </c>
      <c r="Y51" s="1091">
        <f t="shared" si="54"/>
        <v>71689.260000000009</v>
      </c>
      <c r="Z51" s="1091">
        <f t="shared" si="55"/>
        <v>38510.74</v>
      </c>
      <c r="AA51" s="1091">
        <f t="shared" si="56"/>
        <v>71689.260000000009</v>
      </c>
      <c r="AB51" s="1091">
        <f t="shared" si="57"/>
        <v>34.946225045372053</v>
      </c>
      <c r="AD51" s="650">
        <f t="shared" si="9"/>
        <v>0</v>
      </c>
      <c r="AI51" s="1277">
        <f>VLOOKUP(K51,'[2]ผลการเบิกจ่ายสะสม พ.ย. 66'!$C:$N,12,0)</f>
        <v>0</v>
      </c>
      <c r="AJ51" s="1274">
        <f t="shared" si="12"/>
        <v>-38510.74</v>
      </c>
    </row>
    <row r="52" spans="1:36" s="5" customFormat="1" ht="21" customHeight="1" outlineLevel="1" x14ac:dyDescent="0.2">
      <c r="A52" s="56"/>
      <c r="B52" s="36"/>
      <c r="C52" s="897" t="s">
        <v>842</v>
      </c>
      <c r="D52" s="1090">
        <v>178200</v>
      </c>
      <c r="E52" s="1115">
        <v>0</v>
      </c>
      <c r="F52" s="1115"/>
      <c r="G52" s="1115"/>
      <c r="H52" s="1115">
        <v>0</v>
      </c>
      <c r="I52" s="1116"/>
      <c r="J52" s="1116"/>
      <c r="K52" s="1032"/>
      <c r="L52" s="1032"/>
      <c r="M52" s="1227">
        <v>0</v>
      </c>
      <c r="N52" s="1227">
        <v>0</v>
      </c>
      <c r="O52" s="1227"/>
      <c r="P52" s="1227"/>
      <c r="Q52" s="1227"/>
      <c r="R52" s="1227"/>
      <c r="S52" s="1250"/>
      <c r="T52" s="1091">
        <f t="shared" si="51"/>
        <v>0</v>
      </c>
      <c r="U52" s="1091">
        <f t="shared" si="52"/>
        <v>0</v>
      </c>
      <c r="V52" s="1091">
        <f t="shared" si="11"/>
        <v>0</v>
      </c>
      <c r="W52" s="1091"/>
      <c r="X52" s="1091">
        <f t="shared" si="53"/>
        <v>0</v>
      </c>
      <c r="Y52" s="1091">
        <f t="shared" si="54"/>
        <v>0</v>
      </c>
      <c r="Z52" s="1091">
        <f t="shared" si="55"/>
        <v>0</v>
      </c>
      <c r="AA52" s="1091">
        <f t="shared" si="56"/>
        <v>0</v>
      </c>
      <c r="AB52" s="1091">
        <f t="shared" si="57"/>
        <v>0</v>
      </c>
      <c r="AD52" s="650">
        <f t="shared" si="9"/>
        <v>0</v>
      </c>
      <c r="AI52" s="1277">
        <f>VLOOKUP(K52,'[2]ผลการเบิกจ่ายสะสม พ.ย. 66'!$C:$N,12,0)</f>
        <v>0</v>
      </c>
      <c r="AJ52" s="1274">
        <f t="shared" si="12"/>
        <v>0</v>
      </c>
    </row>
    <row r="53" spans="1:36" s="5" customFormat="1" ht="21" customHeight="1" outlineLevel="1" x14ac:dyDescent="0.2">
      <c r="A53" s="56"/>
      <c r="B53" s="36"/>
      <c r="C53" s="27" t="s">
        <v>70</v>
      </c>
      <c r="D53" s="1090">
        <v>1600000</v>
      </c>
      <c r="E53" s="1108">
        <v>3173000</v>
      </c>
      <c r="F53" s="1108"/>
      <c r="G53" s="1108"/>
      <c r="H53" s="1108">
        <v>2349200</v>
      </c>
      <c r="I53" s="1092">
        <v>2349200</v>
      </c>
      <c r="J53" s="1092">
        <v>2543200</v>
      </c>
      <c r="K53" s="1032"/>
      <c r="L53" s="1032"/>
      <c r="M53" s="1091">
        <v>1612700</v>
      </c>
      <c r="N53" s="1091">
        <v>1612700</v>
      </c>
      <c r="O53" s="1091"/>
      <c r="P53" s="1091"/>
      <c r="Q53" s="1091"/>
      <c r="R53" s="1091"/>
      <c r="S53" s="1283">
        <f>357770.05</f>
        <v>357770.05</v>
      </c>
      <c r="T53" s="1091">
        <f t="shared" si="51"/>
        <v>357770.05</v>
      </c>
      <c r="U53" s="1091">
        <f t="shared" si="52"/>
        <v>1254929.95</v>
      </c>
      <c r="V53" s="1091">
        <f t="shared" si="11"/>
        <v>22.18453835183233</v>
      </c>
      <c r="W53" s="1091"/>
      <c r="X53" s="1091">
        <f t="shared" si="53"/>
        <v>357770.05</v>
      </c>
      <c r="Y53" s="1091">
        <f t="shared" si="54"/>
        <v>1254929.95</v>
      </c>
      <c r="Z53" s="1091">
        <f t="shared" si="55"/>
        <v>357770.05</v>
      </c>
      <c r="AA53" s="1091">
        <f t="shared" si="56"/>
        <v>1254929.95</v>
      </c>
      <c r="AB53" s="1091">
        <f t="shared" si="57"/>
        <v>22.18453835183233</v>
      </c>
      <c r="AD53" s="650">
        <f t="shared" si="9"/>
        <v>0</v>
      </c>
      <c r="AI53" s="1277">
        <f>VLOOKUP(K53,'[2]ผลการเบิกจ่ายสะสม พ.ย. 66'!$C:$N,12,0)</f>
        <v>0</v>
      </c>
      <c r="AJ53" s="1274">
        <f t="shared" si="12"/>
        <v>-357770.05</v>
      </c>
    </row>
    <row r="54" spans="1:36" s="5" customFormat="1" x14ac:dyDescent="0.2">
      <c r="A54" s="33"/>
      <c r="B54" s="34" t="s">
        <v>771</v>
      </c>
      <c r="C54" s="34"/>
      <c r="D54" s="1096">
        <v>12000000</v>
      </c>
      <c r="E54" s="1117">
        <v>14063616.68</v>
      </c>
      <c r="F54" s="1117"/>
      <c r="G54" s="1117"/>
      <c r="H54" s="1117">
        <v>12000000</v>
      </c>
      <c r="I54" s="1098">
        <v>12000000</v>
      </c>
      <c r="J54" s="1098">
        <v>12000000</v>
      </c>
      <c r="K54" s="1029" t="s">
        <v>1319</v>
      </c>
      <c r="L54" s="1029" t="s">
        <v>1422</v>
      </c>
      <c r="M54" s="1097">
        <v>11900000</v>
      </c>
      <c r="N54" s="1097">
        <v>12000000</v>
      </c>
      <c r="O54" s="1097"/>
      <c r="P54" s="1097"/>
      <c r="Q54" s="1097"/>
      <c r="R54" s="1097"/>
      <c r="S54" s="1268">
        <f>589733.07</f>
        <v>589733.06999999995</v>
      </c>
      <c r="T54" s="1091">
        <f t="shared" si="51"/>
        <v>589733.06999999995</v>
      </c>
      <c r="U54" s="1091">
        <f t="shared" si="52"/>
        <v>11410266.93</v>
      </c>
      <c r="V54" s="1091">
        <f t="shared" si="11"/>
        <v>4.9144422499999996</v>
      </c>
      <c r="W54" s="1091"/>
      <c r="X54" s="1091">
        <f t="shared" si="53"/>
        <v>589733.06999999995</v>
      </c>
      <c r="Y54" s="1091">
        <f t="shared" si="54"/>
        <v>11410266.93</v>
      </c>
      <c r="Z54" s="1091">
        <f t="shared" si="55"/>
        <v>589733.06999999995</v>
      </c>
      <c r="AA54" s="1091">
        <f t="shared" si="56"/>
        <v>11410266.93</v>
      </c>
      <c r="AB54" s="1091">
        <f t="shared" si="57"/>
        <v>4.9144422499999996</v>
      </c>
      <c r="AD54" s="650">
        <f t="shared" si="9"/>
        <v>0</v>
      </c>
      <c r="AI54" s="1277">
        <f>VLOOKUP(K54,'[2]ผลการเบิกจ่ายสะสม พ.ย. 66'!$C:$N,12,0)</f>
        <v>589733.06999999995</v>
      </c>
      <c r="AJ54" s="1274">
        <f t="shared" si="12"/>
        <v>0</v>
      </c>
    </row>
    <row r="55" spans="1:36" s="5" customFormat="1" x14ac:dyDescent="0.2">
      <c r="A55" s="96"/>
      <c r="B55" s="97" t="s">
        <v>772</v>
      </c>
      <c r="C55" s="97"/>
      <c r="D55" s="1112">
        <v>30000000</v>
      </c>
      <c r="E55" s="1113">
        <v>28809504.379999999</v>
      </c>
      <c r="F55" s="1113"/>
      <c r="G55" s="1113"/>
      <c r="H55" s="1113">
        <v>10000000</v>
      </c>
      <c r="I55" s="1114">
        <v>30000000</v>
      </c>
      <c r="J55" s="1114">
        <v>10000000</v>
      </c>
      <c r="K55" s="1029" t="s">
        <v>1320</v>
      </c>
      <c r="L55" s="1029" t="s">
        <v>1422</v>
      </c>
      <c r="M55" s="1130">
        <v>6666600</v>
      </c>
      <c r="N55" s="1130">
        <v>6666600</v>
      </c>
      <c r="O55" s="1130"/>
      <c r="P55" s="1130"/>
      <c r="Q55" s="1130"/>
      <c r="R55" s="1130"/>
      <c r="S55" s="1270">
        <f>5910400</f>
        <v>5910400</v>
      </c>
      <c r="T55" s="1091">
        <f t="shared" si="51"/>
        <v>5910400</v>
      </c>
      <c r="U55" s="1091">
        <f t="shared" si="52"/>
        <v>756200</v>
      </c>
      <c r="V55" s="1091">
        <f t="shared" si="11"/>
        <v>88.656886568865687</v>
      </c>
      <c r="W55" s="1091"/>
      <c r="X55" s="1091">
        <f t="shared" si="53"/>
        <v>5910400</v>
      </c>
      <c r="Y55" s="1091">
        <f t="shared" si="54"/>
        <v>756200</v>
      </c>
      <c r="Z55" s="1091">
        <f t="shared" si="55"/>
        <v>5910400</v>
      </c>
      <c r="AA55" s="1091">
        <f t="shared" si="56"/>
        <v>756200</v>
      </c>
      <c r="AB55" s="1091">
        <f t="shared" si="57"/>
        <v>88.656886568865687</v>
      </c>
      <c r="AD55" s="650">
        <f t="shared" si="9"/>
        <v>0</v>
      </c>
      <c r="AI55" s="1277">
        <f>VLOOKUP(K55,'[2]ผลการเบิกจ่ายสะสม พ.ย. 66'!$C:$N,12,0)</f>
        <v>5910400</v>
      </c>
      <c r="AJ55" s="1274">
        <f t="shared" si="12"/>
        <v>0</v>
      </c>
    </row>
    <row r="56" spans="1:36" s="5" customFormat="1" x14ac:dyDescent="0.2">
      <c r="A56" s="96"/>
      <c r="B56" s="97" t="s">
        <v>773</v>
      </c>
      <c r="C56" s="97"/>
      <c r="D56" s="1112">
        <f>SUM(D57:D58)</f>
        <v>3082700</v>
      </c>
      <c r="E56" s="1113">
        <f>SUM(E57:E59)</f>
        <v>1580154.2</v>
      </c>
      <c r="F56" s="1113"/>
      <c r="G56" s="1113"/>
      <c r="H56" s="1113">
        <f>SUM(H57:H59)</f>
        <v>1943800</v>
      </c>
      <c r="I56" s="1114">
        <v>2994000</v>
      </c>
      <c r="J56" s="1114">
        <f>SUM(J57:J59)</f>
        <v>1943800</v>
      </c>
      <c r="K56" s="1029" t="s">
        <v>1321</v>
      </c>
      <c r="L56" s="1029" t="s">
        <v>1422</v>
      </c>
      <c r="M56" s="1130">
        <f t="shared" ref="M56:U56" si="58">SUM(M57:M59)</f>
        <v>786000</v>
      </c>
      <c r="N56" s="1130">
        <f>SUM(N57:N59)</f>
        <v>786000</v>
      </c>
      <c r="O56" s="1130">
        <f t="shared" si="58"/>
        <v>0</v>
      </c>
      <c r="P56" s="1130">
        <f t="shared" si="58"/>
        <v>0</v>
      </c>
      <c r="Q56" s="1130">
        <f t="shared" si="58"/>
        <v>0</v>
      </c>
      <c r="R56" s="1130">
        <f t="shared" si="58"/>
        <v>0</v>
      </c>
      <c r="S56" s="1270">
        <f>58064+60000</f>
        <v>118064</v>
      </c>
      <c r="T56" s="1130">
        <f t="shared" si="58"/>
        <v>118064</v>
      </c>
      <c r="U56" s="1130">
        <f t="shared" si="58"/>
        <v>667936</v>
      </c>
      <c r="V56" s="1130">
        <f t="shared" si="11"/>
        <v>15.020865139949109</v>
      </c>
      <c r="W56" s="1130">
        <f t="shared" ref="W56:AB56" si="59">SUM(W57:W59)</f>
        <v>0</v>
      </c>
      <c r="X56" s="1130">
        <f t="shared" si="59"/>
        <v>118064</v>
      </c>
      <c r="Y56" s="1130">
        <f t="shared" si="59"/>
        <v>667936</v>
      </c>
      <c r="Z56" s="1130">
        <f t="shared" si="59"/>
        <v>118064</v>
      </c>
      <c r="AA56" s="1130">
        <f t="shared" si="59"/>
        <v>667936</v>
      </c>
      <c r="AB56" s="1130">
        <f t="shared" si="59"/>
        <v>15.020865139949109</v>
      </c>
      <c r="AD56" s="650">
        <f t="shared" si="9"/>
        <v>0</v>
      </c>
      <c r="AI56" s="1277">
        <f>VLOOKUP(K56,'[2]ผลการเบิกจ่ายสะสม พ.ย. 66'!$C:$N,12,0)</f>
        <v>118064</v>
      </c>
      <c r="AJ56" s="1274">
        <f t="shared" si="12"/>
        <v>0</v>
      </c>
    </row>
    <row r="57" spans="1:36" s="5" customFormat="1" ht="21" customHeight="1" outlineLevel="1" x14ac:dyDescent="0.2">
      <c r="A57" s="56"/>
      <c r="B57" s="36"/>
      <c r="C57" s="27" t="s">
        <v>54</v>
      </c>
      <c r="D57" s="1090">
        <v>1582700</v>
      </c>
      <c r="E57" s="1108">
        <v>715692</v>
      </c>
      <c r="F57" s="1108"/>
      <c r="G57" s="1108"/>
      <c r="H57" s="1108">
        <v>1532800</v>
      </c>
      <c r="I57" s="1092">
        <v>2994000</v>
      </c>
      <c r="J57" s="1092">
        <v>1943800</v>
      </c>
      <c r="K57" s="1032"/>
      <c r="L57" s="1032"/>
      <c r="M57" s="1091">
        <v>786000</v>
      </c>
      <c r="N57" s="1091">
        <v>786000</v>
      </c>
      <c r="O57" s="1091"/>
      <c r="P57" s="1091"/>
      <c r="Q57" s="1091"/>
      <c r="R57" s="1091"/>
      <c r="S57" s="1289">
        <v>118064</v>
      </c>
      <c r="T57" s="1091">
        <f>+R57+S57</f>
        <v>118064</v>
      </c>
      <c r="U57" s="1091">
        <f>+N57+O57-T57</f>
        <v>667936</v>
      </c>
      <c r="V57" s="1091">
        <f t="shared" si="11"/>
        <v>15.020865139949109</v>
      </c>
      <c r="W57" s="1091"/>
      <c r="X57" s="1091">
        <f>+T57+Q57</f>
        <v>118064</v>
      </c>
      <c r="Y57" s="1091">
        <f>+U57-Q57</f>
        <v>667936</v>
      </c>
      <c r="Z57" s="1091">
        <f>+T57+Q57+P57</f>
        <v>118064</v>
      </c>
      <c r="AA57" s="1091">
        <f>+U57-Q57-P57</f>
        <v>667936</v>
      </c>
      <c r="AB57" s="1091">
        <f>IFERROR(Z57*100/(N57+O57),0)</f>
        <v>15.020865139949109</v>
      </c>
      <c r="AD57" s="650">
        <f t="shared" si="9"/>
        <v>0</v>
      </c>
      <c r="AI57" s="1277">
        <f>VLOOKUP(K57,'[2]ผลการเบิกจ่ายสะสม พ.ย. 66'!$C:$N,12,0)</f>
        <v>0</v>
      </c>
      <c r="AJ57" s="1274">
        <f t="shared" si="12"/>
        <v>-118064</v>
      </c>
    </row>
    <row r="58" spans="1:36" s="5" customFormat="1" ht="21" customHeight="1" outlineLevel="1" collapsed="1" x14ac:dyDescent="0.2">
      <c r="A58" s="56"/>
      <c r="B58" s="36"/>
      <c r="C58" s="897" t="s">
        <v>843</v>
      </c>
      <c r="D58" s="1090">
        <v>1500000</v>
      </c>
      <c r="E58" s="1108">
        <v>68000</v>
      </c>
      <c r="F58" s="1108"/>
      <c r="G58" s="1108"/>
      <c r="H58" s="1108">
        <v>211000</v>
      </c>
      <c r="I58" s="1092"/>
      <c r="J58" s="1092"/>
      <c r="K58" s="1032"/>
      <c r="L58" s="1032"/>
      <c r="M58" s="1091"/>
      <c r="N58" s="1091"/>
      <c r="O58" s="1091"/>
      <c r="P58" s="1091"/>
      <c r="Q58" s="1091"/>
      <c r="R58" s="1091"/>
      <c r="S58" s="1160"/>
      <c r="T58" s="1091"/>
      <c r="U58" s="1091"/>
      <c r="V58" s="1091">
        <f t="shared" si="11"/>
        <v>0</v>
      </c>
      <c r="W58" s="1091"/>
      <c r="X58" s="1091"/>
      <c r="Y58" s="1091"/>
      <c r="Z58" s="1091"/>
      <c r="AA58" s="1091"/>
      <c r="AB58" s="1091"/>
      <c r="AD58" s="650">
        <f t="shared" si="9"/>
        <v>0</v>
      </c>
      <c r="AI58" s="1277">
        <f>VLOOKUP(K58,'[2]ผลการเบิกจ่ายสะสม พ.ย. 66'!$C:$N,12,0)</f>
        <v>0</v>
      </c>
      <c r="AJ58" s="1274">
        <f t="shared" si="12"/>
        <v>0</v>
      </c>
    </row>
    <row r="59" spans="1:36" s="5" customFormat="1" ht="21" customHeight="1" outlineLevel="1" x14ac:dyDescent="0.2">
      <c r="A59" s="56"/>
      <c r="B59" s="36"/>
      <c r="C59" s="897" t="s">
        <v>844</v>
      </c>
      <c r="D59" s="1090"/>
      <c r="E59" s="1108">
        <v>796462.2</v>
      </c>
      <c r="F59" s="1108"/>
      <c r="G59" s="1108"/>
      <c r="H59" s="1108">
        <v>200000</v>
      </c>
      <c r="I59" s="1092"/>
      <c r="J59" s="1092"/>
      <c r="K59" s="1032"/>
      <c r="L59" s="1032"/>
      <c r="M59" s="1091"/>
      <c r="N59" s="1091"/>
      <c r="O59" s="1091"/>
      <c r="P59" s="1091"/>
      <c r="Q59" s="1091"/>
      <c r="R59" s="1091"/>
      <c r="S59" s="1160"/>
      <c r="T59" s="1091"/>
      <c r="U59" s="1091"/>
      <c r="V59" s="1091">
        <f t="shared" si="11"/>
        <v>0</v>
      </c>
      <c r="W59" s="1091"/>
      <c r="X59" s="1091"/>
      <c r="Y59" s="1091"/>
      <c r="Z59" s="1091"/>
      <c r="AA59" s="1091"/>
      <c r="AB59" s="1091"/>
      <c r="AD59" s="650">
        <f t="shared" si="9"/>
        <v>0</v>
      </c>
      <c r="AI59" s="1277">
        <f>VLOOKUP(K59,'[2]ผลการเบิกจ่ายสะสม พ.ย. 66'!$C:$N,12,0)</f>
        <v>0</v>
      </c>
      <c r="AJ59" s="1274">
        <f t="shared" si="12"/>
        <v>0</v>
      </c>
    </row>
    <row r="60" spans="1:36" s="5" customFormat="1" x14ac:dyDescent="0.2">
      <c r="A60" s="33"/>
      <c r="B60" s="34" t="s">
        <v>774</v>
      </c>
      <c r="C60" s="34"/>
      <c r="D60" s="1118">
        <f>SUM(D61:D63)</f>
        <v>45268800</v>
      </c>
      <c r="E60" s="1119">
        <f>SUM(E61:E63)</f>
        <v>25050250.899999999</v>
      </c>
      <c r="F60" s="1119"/>
      <c r="G60" s="1119"/>
      <c r="H60" s="1119">
        <f>SUM(H61:H63)</f>
        <v>15000000</v>
      </c>
      <c r="I60" s="1106">
        <v>59737800</v>
      </c>
      <c r="J60" s="1106">
        <f>SUM(J61:J63)</f>
        <v>15000000</v>
      </c>
      <c r="K60" s="1029" t="s">
        <v>1322</v>
      </c>
      <c r="L60" s="1029" t="s">
        <v>1422</v>
      </c>
      <c r="M60" s="1105">
        <f t="shared" ref="M60:U60" si="60">SUM(M61:M63)</f>
        <v>9860000</v>
      </c>
      <c r="N60" s="1105">
        <f>SUM(N61:N63)</f>
        <v>9860000</v>
      </c>
      <c r="O60" s="1240">
        <f t="shared" si="60"/>
        <v>0</v>
      </c>
      <c r="P60" s="1105">
        <f t="shared" si="60"/>
        <v>0</v>
      </c>
      <c r="Q60" s="1105">
        <f t="shared" si="60"/>
        <v>0</v>
      </c>
      <c r="R60" s="1105">
        <f t="shared" si="60"/>
        <v>0</v>
      </c>
      <c r="S60" s="1268">
        <f>29032.24+5369329.53</f>
        <v>5398361.7700000005</v>
      </c>
      <c r="T60" s="1105">
        <f t="shared" si="60"/>
        <v>5398361.7700000005</v>
      </c>
      <c r="U60" s="1105">
        <f t="shared" si="60"/>
        <v>4461638.2299999995</v>
      </c>
      <c r="V60" s="1105">
        <f t="shared" si="11"/>
        <v>54.750119371196753</v>
      </c>
      <c r="W60" s="1105">
        <f t="shared" ref="W60:AB60" si="61">SUM(W61:W63)</f>
        <v>0</v>
      </c>
      <c r="X60" s="1105">
        <f t="shared" si="61"/>
        <v>5398361.7700000005</v>
      </c>
      <c r="Y60" s="1105">
        <f t="shared" si="61"/>
        <v>4461638.2299999995</v>
      </c>
      <c r="Z60" s="1105">
        <f t="shared" si="61"/>
        <v>5398361.7700000005</v>
      </c>
      <c r="AA60" s="1105">
        <f t="shared" si="61"/>
        <v>4461638.2299999995</v>
      </c>
      <c r="AB60" s="1105">
        <f t="shared" si="61"/>
        <v>72.338245188944839</v>
      </c>
      <c r="AD60" s="650">
        <f t="shared" si="9"/>
        <v>0</v>
      </c>
      <c r="AI60" s="1277">
        <f>VLOOKUP(K60,'[2]ผลการเบิกจ่ายสะสม พ.ย. 66'!$C:$N,12,0)</f>
        <v>5398361.7699999996</v>
      </c>
      <c r="AJ60" s="1274">
        <f t="shared" si="12"/>
        <v>0</v>
      </c>
    </row>
    <row r="61" spans="1:36" s="5" customFormat="1" ht="21" customHeight="1" outlineLevel="1" x14ac:dyDescent="0.2">
      <c r="A61" s="56"/>
      <c r="B61" s="36"/>
      <c r="C61" s="27" t="s">
        <v>52</v>
      </c>
      <c r="D61" s="1090">
        <v>7000000</v>
      </c>
      <c r="E61" s="1108">
        <v>3033653.5</v>
      </c>
      <c r="F61" s="1108"/>
      <c r="G61" s="1108"/>
      <c r="H61" s="1108">
        <v>782500</v>
      </c>
      <c r="I61" s="1092">
        <v>4635800</v>
      </c>
      <c r="J61" s="1092">
        <v>1691800</v>
      </c>
      <c r="K61" s="1032"/>
      <c r="L61" s="1032"/>
      <c r="M61" s="1091">
        <v>1112100</v>
      </c>
      <c r="N61" s="1091">
        <v>1112100</v>
      </c>
      <c r="O61" s="1239"/>
      <c r="P61" s="1091"/>
      <c r="Q61" s="1091"/>
      <c r="R61" s="1091"/>
      <c r="S61" s="1283">
        <f>78762.24</f>
        <v>78762.240000000005</v>
      </c>
      <c r="T61" s="1091">
        <f t="shared" ref="T61:T64" si="62">+R61+S61</f>
        <v>78762.240000000005</v>
      </c>
      <c r="U61" s="1091">
        <f t="shared" ref="U61:U64" si="63">+N61+O61-T61</f>
        <v>1033337.76</v>
      </c>
      <c r="V61" s="1091">
        <f t="shared" si="11"/>
        <v>7.0822983544645277</v>
      </c>
      <c r="W61" s="1091"/>
      <c r="X61" s="1091">
        <f t="shared" ref="X61:X64" si="64">+T61+Q61</f>
        <v>78762.240000000005</v>
      </c>
      <c r="Y61" s="1091">
        <f t="shared" ref="Y61:Y64" si="65">+U61-Q61</f>
        <v>1033337.76</v>
      </c>
      <c r="Z61" s="1091">
        <f t="shared" ref="Z61:Z64" si="66">+T61+Q61+P61</f>
        <v>78762.240000000005</v>
      </c>
      <c r="AA61" s="1091">
        <f t="shared" ref="AA61:AA64" si="67">+U61-Q61-P61</f>
        <v>1033337.76</v>
      </c>
      <c r="AB61" s="1091">
        <f t="shared" ref="AB61:AB64" si="68">IFERROR(Z61*100/(N61+O61),0)</f>
        <v>7.0822983544645277</v>
      </c>
      <c r="AD61" s="650">
        <f t="shared" si="9"/>
        <v>0</v>
      </c>
      <c r="AI61" s="1277">
        <f>VLOOKUP(K61,'[2]ผลการเบิกจ่ายสะสม พ.ย. 66'!$C:$N,12,0)</f>
        <v>0</v>
      </c>
      <c r="AJ61" s="1274">
        <f t="shared" si="12"/>
        <v>-78762.240000000005</v>
      </c>
    </row>
    <row r="62" spans="1:36" s="5" customFormat="1" ht="21" customHeight="1" outlineLevel="1" x14ac:dyDescent="0.2">
      <c r="A62" s="56"/>
      <c r="B62" s="36"/>
      <c r="C62" s="27" t="s">
        <v>50</v>
      </c>
      <c r="D62" s="1090">
        <v>1000000</v>
      </c>
      <c r="E62" s="1108">
        <v>924999.82</v>
      </c>
      <c r="F62" s="1108"/>
      <c r="G62" s="1108"/>
      <c r="H62" s="1108">
        <v>3135500</v>
      </c>
      <c r="I62" s="1092">
        <v>15102000</v>
      </c>
      <c r="J62" s="1092">
        <v>906600</v>
      </c>
      <c r="K62" s="1032"/>
      <c r="L62" s="1032"/>
      <c r="M62" s="1091">
        <v>596000</v>
      </c>
      <c r="N62" s="1091">
        <v>596000</v>
      </c>
      <c r="O62" s="1091"/>
      <c r="P62" s="1091"/>
      <c r="Q62" s="1091"/>
      <c r="R62" s="1091"/>
      <c r="S62" s="1160"/>
      <c r="T62" s="1091">
        <f t="shared" si="62"/>
        <v>0</v>
      </c>
      <c r="U62" s="1091">
        <f t="shared" si="63"/>
        <v>596000</v>
      </c>
      <c r="V62" s="1091">
        <f t="shared" si="11"/>
        <v>0</v>
      </c>
      <c r="W62" s="1091"/>
      <c r="X62" s="1091">
        <f t="shared" si="64"/>
        <v>0</v>
      </c>
      <c r="Y62" s="1091">
        <f t="shared" si="65"/>
        <v>596000</v>
      </c>
      <c r="Z62" s="1091">
        <f t="shared" si="66"/>
        <v>0</v>
      </c>
      <c r="AA62" s="1091">
        <f t="shared" si="67"/>
        <v>596000</v>
      </c>
      <c r="AB62" s="1091">
        <f t="shared" si="68"/>
        <v>0</v>
      </c>
      <c r="AD62" s="650">
        <f t="shared" si="9"/>
        <v>0</v>
      </c>
      <c r="AI62" s="1277">
        <f>VLOOKUP(K62,'[2]ผลการเบิกจ่ายสะสม พ.ย. 66'!$C:$N,12,0)</f>
        <v>0</v>
      </c>
      <c r="AJ62" s="1274">
        <f t="shared" si="12"/>
        <v>0</v>
      </c>
    </row>
    <row r="63" spans="1:36" s="5" customFormat="1" ht="21" customHeight="1" outlineLevel="1" x14ac:dyDescent="0.2">
      <c r="A63" s="56"/>
      <c r="B63" s="36"/>
      <c r="C63" s="27" t="s">
        <v>69</v>
      </c>
      <c r="D63" s="1090">
        <v>37268800</v>
      </c>
      <c r="E63" s="1108">
        <v>21091597.579999998</v>
      </c>
      <c r="F63" s="1108"/>
      <c r="G63" s="1108"/>
      <c r="H63" s="1108">
        <v>11082000</v>
      </c>
      <c r="I63" s="1092">
        <v>40000000</v>
      </c>
      <c r="J63" s="1092">
        <v>12401600</v>
      </c>
      <c r="K63" s="1032"/>
      <c r="L63" s="1032"/>
      <c r="M63" s="1091">
        <v>8151900</v>
      </c>
      <c r="N63" s="1091">
        <v>8151900</v>
      </c>
      <c r="O63" s="1091"/>
      <c r="P63" s="1091"/>
      <c r="Q63" s="1091"/>
      <c r="R63" s="1091"/>
      <c r="S63" s="1283">
        <f>5319599.53</f>
        <v>5319599.53</v>
      </c>
      <c r="T63" s="1091">
        <f t="shared" si="62"/>
        <v>5319599.53</v>
      </c>
      <c r="U63" s="1091">
        <f t="shared" si="63"/>
        <v>2832300.4699999997</v>
      </c>
      <c r="V63" s="1091">
        <f t="shared" si="11"/>
        <v>65.255946834480312</v>
      </c>
      <c r="W63" s="1091"/>
      <c r="X63" s="1091">
        <f t="shared" si="64"/>
        <v>5319599.53</v>
      </c>
      <c r="Y63" s="1091">
        <f t="shared" si="65"/>
        <v>2832300.4699999997</v>
      </c>
      <c r="Z63" s="1091">
        <f t="shared" si="66"/>
        <v>5319599.53</v>
      </c>
      <c r="AA63" s="1091">
        <f t="shared" si="67"/>
        <v>2832300.4699999997</v>
      </c>
      <c r="AB63" s="1091">
        <f t="shared" si="68"/>
        <v>65.255946834480312</v>
      </c>
      <c r="AD63" s="650">
        <f t="shared" si="9"/>
        <v>0</v>
      </c>
      <c r="AI63" s="1277">
        <f>VLOOKUP(K63,'[2]ผลการเบิกจ่ายสะสม พ.ย. 66'!$C:$N,12,0)</f>
        <v>0</v>
      </c>
      <c r="AJ63" s="1274">
        <f t="shared" si="12"/>
        <v>-5319599.53</v>
      </c>
    </row>
    <row r="64" spans="1:36" s="5" customFormat="1" x14ac:dyDescent="0.2">
      <c r="A64" s="33"/>
      <c r="B64" s="34" t="s">
        <v>775</v>
      </c>
      <c r="C64" s="34"/>
      <c r="D64" s="1096">
        <v>3000000</v>
      </c>
      <c r="E64" s="1117">
        <v>597550</v>
      </c>
      <c r="F64" s="1117"/>
      <c r="G64" s="1117"/>
      <c r="H64" s="1117">
        <v>0</v>
      </c>
      <c r="I64" s="1098">
        <v>4825000</v>
      </c>
      <c r="J64" s="1098">
        <v>1833800</v>
      </c>
      <c r="K64" s="1029" t="s">
        <v>1323</v>
      </c>
      <c r="L64" s="1029" t="s">
        <v>1422</v>
      </c>
      <c r="M64" s="1097"/>
      <c r="N64" s="1097">
        <v>780600</v>
      </c>
      <c r="O64" s="1097"/>
      <c r="P64" s="1097"/>
      <c r="Q64" s="1097"/>
      <c r="R64" s="1097"/>
      <c r="S64" s="1105"/>
      <c r="T64" s="1091">
        <f t="shared" si="62"/>
        <v>0</v>
      </c>
      <c r="U64" s="1091">
        <f t="shared" si="63"/>
        <v>780600</v>
      </c>
      <c r="V64" s="1091">
        <f t="shared" si="11"/>
        <v>0</v>
      </c>
      <c r="W64" s="1091"/>
      <c r="X64" s="1091">
        <f t="shared" si="64"/>
        <v>0</v>
      </c>
      <c r="Y64" s="1091">
        <f t="shared" si="65"/>
        <v>780600</v>
      </c>
      <c r="Z64" s="1091">
        <f t="shared" si="66"/>
        <v>0</v>
      </c>
      <c r="AA64" s="1091">
        <f t="shared" si="67"/>
        <v>780600</v>
      </c>
      <c r="AB64" s="1091">
        <f t="shared" si="68"/>
        <v>0</v>
      </c>
      <c r="AD64" s="650">
        <f t="shared" si="9"/>
        <v>0</v>
      </c>
      <c r="AI64" s="1277" t="e">
        <f>VLOOKUP(K64,'[2]ผลการเบิกจ่ายสะสม พ.ย. 66'!$C:$N,12,0)</f>
        <v>#N/A</v>
      </c>
      <c r="AJ64" s="1274" t="e">
        <f t="shared" si="12"/>
        <v>#N/A</v>
      </c>
    </row>
    <row r="65" spans="1:36" s="5" customFormat="1" x14ac:dyDescent="0.2">
      <c r="A65" s="96"/>
      <c r="B65" s="97" t="s">
        <v>776</v>
      </c>
      <c r="C65" s="97"/>
      <c r="D65" s="1096">
        <f>SUM(D66:D69)</f>
        <v>6287100</v>
      </c>
      <c r="E65" s="1117">
        <f>SUM(E66:E69)</f>
        <v>1352347.2</v>
      </c>
      <c r="F65" s="1117"/>
      <c r="G65" s="1117"/>
      <c r="H65" s="1117">
        <f>SUM(H66:H69)</f>
        <v>353300</v>
      </c>
      <c r="I65" s="1098">
        <v>7885500</v>
      </c>
      <c r="J65" s="1098">
        <f>SUM(J66:J69)</f>
        <v>353300</v>
      </c>
      <c r="K65" s="1029" t="s">
        <v>1324</v>
      </c>
      <c r="L65" s="1029" t="s">
        <v>1422</v>
      </c>
      <c r="M65" s="1097">
        <f t="shared" ref="M65:U65" si="69">SUM(M66:M69)</f>
        <v>220000</v>
      </c>
      <c r="N65" s="1097">
        <f>SUM(N66:N69)</f>
        <v>296600</v>
      </c>
      <c r="O65" s="1097">
        <f t="shared" si="69"/>
        <v>80000</v>
      </c>
      <c r="P65" s="1097">
        <f t="shared" si="69"/>
        <v>0</v>
      </c>
      <c r="Q65" s="1097">
        <f t="shared" si="69"/>
        <v>0</v>
      </c>
      <c r="R65" s="1097">
        <f t="shared" si="69"/>
        <v>0</v>
      </c>
      <c r="S65" s="1268">
        <f>43548.24+45000</f>
        <v>88548.239999999991</v>
      </c>
      <c r="T65" s="1097">
        <f t="shared" si="69"/>
        <v>88548.24</v>
      </c>
      <c r="U65" s="1097">
        <f t="shared" si="69"/>
        <v>288051.76</v>
      </c>
      <c r="V65" s="1097">
        <f t="shared" si="11"/>
        <v>23.512543813064259</v>
      </c>
      <c r="W65" s="1097">
        <f t="shared" ref="W65:AB65" si="70">SUM(W66:W69)</f>
        <v>0</v>
      </c>
      <c r="X65" s="1097">
        <f t="shared" si="70"/>
        <v>88548.24</v>
      </c>
      <c r="Y65" s="1097">
        <f t="shared" si="70"/>
        <v>288051.76</v>
      </c>
      <c r="Z65" s="1097">
        <f t="shared" si="70"/>
        <v>88548.24</v>
      </c>
      <c r="AA65" s="1097">
        <f t="shared" si="70"/>
        <v>288051.76</v>
      </c>
      <c r="AB65" s="1097">
        <f t="shared" si="70"/>
        <v>65.591311111111111</v>
      </c>
      <c r="AD65" s="650">
        <f t="shared" si="9"/>
        <v>0</v>
      </c>
      <c r="AI65" s="1277">
        <f>VLOOKUP(K65,'[2]ผลการเบิกจ่ายสะสม พ.ย. 66'!$C:$N,12,0)</f>
        <v>88548.24</v>
      </c>
      <c r="AJ65" s="1274">
        <f t="shared" si="12"/>
        <v>0</v>
      </c>
    </row>
    <row r="66" spans="1:36" s="5" customFormat="1" ht="21" customHeight="1" outlineLevel="1" x14ac:dyDescent="0.2">
      <c r="A66" s="56"/>
      <c r="B66" s="36"/>
      <c r="C66" s="27" t="s">
        <v>52</v>
      </c>
      <c r="D66" s="1090">
        <v>2733000</v>
      </c>
      <c r="E66" s="1108">
        <v>642524.62</v>
      </c>
      <c r="F66" s="1108"/>
      <c r="G66" s="1108"/>
      <c r="H66" s="1108">
        <v>120000</v>
      </c>
      <c r="I66" s="1092">
        <v>2640000</v>
      </c>
      <c r="J66" s="1092">
        <v>120000</v>
      </c>
      <c r="K66" s="1032"/>
      <c r="L66" s="1032"/>
      <c r="M66" s="1091">
        <v>120000</v>
      </c>
      <c r="N66" s="1091">
        <v>120000</v>
      </c>
      <c r="O66" s="1091"/>
      <c r="P66" s="1091"/>
      <c r="Q66" s="1091"/>
      <c r="R66" s="1091"/>
      <c r="S66" s="1289">
        <v>59032.240000000005</v>
      </c>
      <c r="T66" s="1091">
        <f t="shared" ref="T66:T69" si="71">+R66+S66</f>
        <v>59032.240000000005</v>
      </c>
      <c r="U66" s="1091">
        <f t="shared" ref="U66:U69" si="72">+N66+O66-T66</f>
        <v>60967.759999999995</v>
      </c>
      <c r="V66" s="1091">
        <f t="shared" si="11"/>
        <v>49.193533333333342</v>
      </c>
      <c r="W66" s="1091"/>
      <c r="X66" s="1091">
        <f t="shared" ref="X66:X69" si="73">+T66+Q66</f>
        <v>59032.240000000005</v>
      </c>
      <c r="Y66" s="1091">
        <f t="shared" ref="Y66:Y69" si="74">+U66-Q66</f>
        <v>60967.759999999995</v>
      </c>
      <c r="Z66" s="1091">
        <f t="shared" ref="Z66:Z69" si="75">+T66+Q66+P66</f>
        <v>59032.240000000005</v>
      </c>
      <c r="AA66" s="1091">
        <f t="shared" ref="AA66:AA69" si="76">+U66-Q66-P66</f>
        <v>60967.759999999995</v>
      </c>
      <c r="AB66" s="1091">
        <f t="shared" ref="AB66:AB69" si="77">IFERROR(Z66*100/(N66+O66),0)</f>
        <v>49.193533333333342</v>
      </c>
      <c r="AD66" s="650">
        <f t="shared" si="9"/>
        <v>0</v>
      </c>
      <c r="AI66" s="1277">
        <f>VLOOKUP(K66,'[2]ผลการเบิกจ่ายสะสม พ.ย. 66'!$C:$N,12,0)</f>
        <v>0</v>
      </c>
      <c r="AJ66" s="1274">
        <f t="shared" si="12"/>
        <v>-59032.240000000005</v>
      </c>
    </row>
    <row r="67" spans="1:36" s="5" customFormat="1" ht="21" customHeight="1" outlineLevel="1" x14ac:dyDescent="0.2">
      <c r="A67" s="56"/>
      <c r="B67" s="36"/>
      <c r="C67" s="27" t="s">
        <v>49</v>
      </c>
      <c r="D67" s="1090">
        <v>509000</v>
      </c>
      <c r="E67" s="1108">
        <v>0</v>
      </c>
      <c r="F67" s="1108"/>
      <c r="G67" s="1108"/>
      <c r="H67" s="1108">
        <v>76600</v>
      </c>
      <c r="I67" s="1092">
        <v>390000</v>
      </c>
      <c r="J67" s="1092">
        <v>76600</v>
      </c>
      <c r="K67" s="1032"/>
      <c r="L67" s="1032"/>
      <c r="M67" s="1091">
        <v>0</v>
      </c>
      <c r="N67" s="1091">
        <v>76600</v>
      </c>
      <c r="O67" s="1091"/>
      <c r="P67" s="1091"/>
      <c r="Q67" s="1091"/>
      <c r="R67" s="1091"/>
      <c r="S67" s="1289">
        <v>0</v>
      </c>
      <c r="T67" s="1091">
        <f t="shared" si="71"/>
        <v>0</v>
      </c>
      <c r="U67" s="1091">
        <f t="shared" si="72"/>
        <v>76600</v>
      </c>
      <c r="V67" s="1091">
        <f t="shared" si="11"/>
        <v>0</v>
      </c>
      <c r="W67" s="1091"/>
      <c r="X67" s="1091">
        <f t="shared" si="73"/>
        <v>0</v>
      </c>
      <c r="Y67" s="1091">
        <f t="shared" si="74"/>
        <v>76600</v>
      </c>
      <c r="Z67" s="1091">
        <f t="shared" si="75"/>
        <v>0</v>
      </c>
      <c r="AA67" s="1091">
        <f t="shared" si="76"/>
        <v>76600</v>
      </c>
      <c r="AB67" s="1091">
        <f t="shared" si="77"/>
        <v>0</v>
      </c>
      <c r="AD67" s="650">
        <f t="shared" si="9"/>
        <v>0</v>
      </c>
      <c r="AI67" s="1277">
        <f>VLOOKUP(K67,'[2]ผลการเบิกจ่ายสะสม พ.ย. 66'!$C:$N,12,0)</f>
        <v>0</v>
      </c>
      <c r="AJ67" s="1274">
        <f t="shared" si="12"/>
        <v>0</v>
      </c>
    </row>
    <row r="68" spans="1:36" s="5" customFormat="1" ht="21" customHeight="1" outlineLevel="1" x14ac:dyDescent="0.2">
      <c r="A68" s="56"/>
      <c r="B68" s="36"/>
      <c r="C68" s="27" t="s">
        <v>54</v>
      </c>
      <c r="D68" s="1090">
        <v>1117700</v>
      </c>
      <c r="E68" s="1108">
        <v>709822.58</v>
      </c>
      <c r="F68" s="1108"/>
      <c r="G68" s="1108"/>
      <c r="H68" s="1108">
        <v>100000</v>
      </c>
      <c r="I68" s="1092">
        <v>1883100</v>
      </c>
      <c r="J68" s="1092">
        <v>100000</v>
      </c>
      <c r="K68" s="1032"/>
      <c r="L68" s="1032"/>
      <c r="M68" s="1091">
        <v>100000</v>
      </c>
      <c r="N68" s="1091">
        <v>100000</v>
      </c>
      <c r="O68" s="1091">
        <v>80000</v>
      </c>
      <c r="P68" s="1091"/>
      <c r="Q68" s="1091"/>
      <c r="R68" s="1091"/>
      <c r="S68" s="1289">
        <v>29516</v>
      </c>
      <c r="T68" s="1091">
        <f t="shared" si="71"/>
        <v>29516</v>
      </c>
      <c r="U68" s="1091">
        <f t="shared" si="72"/>
        <v>150484</v>
      </c>
      <c r="V68" s="1091">
        <f t="shared" si="11"/>
        <v>16.397777777777776</v>
      </c>
      <c r="W68" s="1091"/>
      <c r="X68" s="1091">
        <f t="shared" si="73"/>
        <v>29516</v>
      </c>
      <c r="Y68" s="1091">
        <f t="shared" si="74"/>
        <v>150484</v>
      </c>
      <c r="Z68" s="1091">
        <f t="shared" si="75"/>
        <v>29516</v>
      </c>
      <c r="AA68" s="1091">
        <f t="shared" si="76"/>
        <v>150484</v>
      </c>
      <c r="AB68" s="1091">
        <f t="shared" si="77"/>
        <v>16.397777777777776</v>
      </c>
      <c r="AC68" s="5" t="s">
        <v>1446</v>
      </c>
      <c r="AD68" s="650">
        <f>+N68+O68-R68-S68-U68</f>
        <v>0</v>
      </c>
      <c r="AI68" s="1277">
        <f>VLOOKUP(K68,'[2]ผลการเบิกจ่ายสะสม พ.ย. 66'!$C:$N,12,0)</f>
        <v>0</v>
      </c>
      <c r="AJ68" s="1274">
        <f t="shared" si="12"/>
        <v>-29516</v>
      </c>
    </row>
    <row r="69" spans="1:36" s="5" customFormat="1" ht="24" customHeight="1" outlineLevel="1" x14ac:dyDescent="0.2">
      <c r="A69" s="56"/>
      <c r="B69" s="36"/>
      <c r="C69" s="27" t="s">
        <v>66</v>
      </c>
      <c r="D69" s="1090">
        <v>1927400</v>
      </c>
      <c r="E69" s="1109">
        <v>0</v>
      </c>
      <c r="F69" s="1109"/>
      <c r="G69" s="1109"/>
      <c r="H69" s="1109">
        <v>56700</v>
      </c>
      <c r="I69" s="1110">
        <v>2972400</v>
      </c>
      <c r="J69" s="1110">
        <v>56700</v>
      </c>
      <c r="K69" s="1033"/>
      <c r="L69" s="1033"/>
      <c r="M69" s="1160"/>
      <c r="N69" s="1160">
        <v>0</v>
      </c>
      <c r="O69" s="1160"/>
      <c r="P69" s="1160"/>
      <c r="Q69" s="1160"/>
      <c r="R69" s="1160"/>
      <c r="S69" s="1289">
        <v>0</v>
      </c>
      <c r="T69" s="1091">
        <f t="shared" si="71"/>
        <v>0</v>
      </c>
      <c r="U69" s="1091">
        <f t="shared" si="72"/>
        <v>0</v>
      </c>
      <c r="V69" s="1091">
        <f t="shared" si="11"/>
        <v>0</v>
      </c>
      <c r="W69" s="1091"/>
      <c r="X69" s="1091">
        <f t="shared" si="73"/>
        <v>0</v>
      </c>
      <c r="Y69" s="1091">
        <f t="shared" si="74"/>
        <v>0</v>
      </c>
      <c r="Z69" s="1091">
        <f t="shared" si="75"/>
        <v>0</v>
      </c>
      <c r="AA69" s="1091">
        <f t="shared" si="76"/>
        <v>0</v>
      </c>
      <c r="AB69" s="1091">
        <f t="shared" si="77"/>
        <v>0</v>
      </c>
      <c r="AD69" s="650">
        <f t="shared" si="9"/>
        <v>0</v>
      </c>
      <c r="AI69" s="1277">
        <f>VLOOKUP(K69,'[2]ผลการเบิกจ่ายสะสม พ.ย. 66'!$C:$N,12,0)</f>
        <v>0</v>
      </c>
      <c r="AJ69" s="1274">
        <f t="shared" si="12"/>
        <v>0</v>
      </c>
    </row>
    <row r="70" spans="1:36" s="5" customFormat="1" x14ac:dyDescent="0.2">
      <c r="A70" s="14" t="s">
        <v>129</v>
      </c>
      <c r="B70" s="15"/>
      <c r="C70" s="15"/>
      <c r="D70" s="1084">
        <f>SUM(D71+D78)</f>
        <v>77014600</v>
      </c>
      <c r="E70" s="1085">
        <f>SUM(E71+E78)</f>
        <v>29890416.43</v>
      </c>
      <c r="F70" s="1085"/>
      <c r="G70" s="1085"/>
      <c r="H70" s="1085">
        <f>SUM(H71+H78)</f>
        <v>36101500</v>
      </c>
      <c r="I70" s="1086">
        <v>91982000</v>
      </c>
      <c r="J70" s="1086">
        <f>SUM(J71+J78)</f>
        <v>30023600</v>
      </c>
      <c r="K70" s="1027"/>
      <c r="L70" s="1027" t="s">
        <v>1423</v>
      </c>
      <c r="M70" s="1085">
        <f t="shared" ref="M70:U70" si="78">SUM(M71+M78)</f>
        <v>23265500</v>
      </c>
      <c r="N70" s="1085">
        <f>SUM(N71+N78)</f>
        <v>25348900</v>
      </c>
      <c r="O70" s="1085">
        <f t="shared" si="78"/>
        <v>0</v>
      </c>
      <c r="P70" s="1085">
        <f t="shared" si="78"/>
        <v>0</v>
      </c>
      <c r="Q70" s="1085">
        <f t="shared" si="78"/>
        <v>0</v>
      </c>
      <c r="R70" s="1085">
        <f t="shared" si="78"/>
        <v>0</v>
      </c>
      <c r="S70" s="1085">
        <f t="shared" si="78"/>
        <v>1182440.08</v>
      </c>
      <c r="T70" s="1085">
        <f t="shared" si="78"/>
        <v>1182440.08</v>
      </c>
      <c r="U70" s="1085">
        <f t="shared" si="78"/>
        <v>24166459.920000002</v>
      </c>
      <c r="V70" s="1085">
        <f t="shared" si="11"/>
        <v>4.6646603205661785</v>
      </c>
      <c r="W70" s="1085">
        <f t="shared" ref="W70:AB70" si="79">SUM(W71+W78)</f>
        <v>0</v>
      </c>
      <c r="X70" s="1085">
        <f t="shared" si="79"/>
        <v>1182440.08</v>
      </c>
      <c r="Y70" s="1085">
        <f t="shared" si="79"/>
        <v>24166459.920000002</v>
      </c>
      <c r="Z70" s="1085">
        <f t="shared" si="79"/>
        <v>1182440.08</v>
      </c>
      <c r="AA70" s="1085">
        <f t="shared" si="79"/>
        <v>24166459.920000002</v>
      </c>
      <c r="AB70" s="1085">
        <f t="shared" si="79"/>
        <v>72.323325441816451</v>
      </c>
      <c r="AD70" s="650">
        <f t="shared" si="9"/>
        <v>0</v>
      </c>
      <c r="AI70" s="1277">
        <f>VLOOKUP(K70,'[2]ผลการเบิกจ่ายสะสม พ.ย. 66'!$C:$N,12,0)</f>
        <v>0</v>
      </c>
      <c r="AJ70" s="1274">
        <f t="shared" si="12"/>
        <v>-1182440.08</v>
      </c>
    </row>
    <row r="71" spans="1:36" s="5" customFormat="1" x14ac:dyDescent="0.2">
      <c r="A71" s="20" t="s">
        <v>45</v>
      </c>
      <c r="B71" s="21"/>
      <c r="C71" s="21"/>
      <c r="D71" s="1087">
        <f>SUM(D72:D74)</f>
        <v>60704600</v>
      </c>
      <c r="E71" s="1088">
        <f>SUM(E72:E74)</f>
        <v>13890416.429999998</v>
      </c>
      <c r="F71" s="1088"/>
      <c r="G71" s="1088"/>
      <c r="H71" s="1088">
        <f>SUM(H72:H74)</f>
        <v>19801500</v>
      </c>
      <c r="I71" s="1089">
        <v>75982000</v>
      </c>
      <c r="J71" s="1089">
        <f>SUM(J72:J74)</f>
        <v>14023600</v>
      </c>
      <c r="K71" s="1028"/>
      <c r="L71" s="1028"/>
      <c r="M71" s="1088">
        <f t="shared" ref="M71:U71" si="80">SUM(M72:M74)</f>
        <v>7265500</v>
      </c>
      <c r="N71" s="1088">
        <f>SUM(N72:N74)</f>
        <v>9348900</v>
      </c>
      <c r="O71" s="1088">
        <f t="shared" si="80"/>
        <v>0</v>
      </c>
      <c r="P71" s="1088">
        <f t="shared" si="80"/>
        <v>0</v>
      </c>
      <c r="Q71" s="1088">
        <f t="shared" si="80"/>
        <v>0</v>
      </c>
      <c r="R71" s="1088">
        <f t="shared" si="80"/>
        <v>0</v>
      </c>
      <c r="S71" s="1088">
        <f t="shared" si="80"/>
        <v>1182440.08</v>
      </c>
      <c r="T71" s="1088">
        <f t="shared" si="80"/>
        <v>1182440.08</v>
      </c>
      <c r="U71" s="1088">
        <f t="shared" si="80"/>
        <v>8166459.9199999999</v>
      </c>
      <c r="V71" s="1088">
        <f t="shared" si="11"/>
        <v>12.647905956850538</v>
      </c>
      <c r="W71" s="1088">
        <f t="shared" ref="W71:AB71" si="81">SUM(W72:W74)</f>
        <v>0</v>
      </c>
      <c r="X71" s="1088">
        <f t="shared" si="81"/>
        <v>1182440.08</v>
      </c>
      <c r="Y71" s="1088">
        <f t="shared" si="81"/>
        <v>8166459.9199999999</v>
      </c>
      <c r="Z71" s="1088">
        <f t="shared" si="81"/>
        <v>1182440.08</v>
      </c>
      <c r="AA71" s="1088">
        <f t="shared" si="81"/>
        <v>8166459.9199999999</v>
      </c>
      <c r="AB71" s="1088">
        <f t="shared" si="81"/>
        <v>72.323325441816451</v>
      </c>
      <c r="AD71" s="650">
        <f t="shared" si="9"/>
        <v>0</v>
      </c>
      <c r="AI71" s="1277">
        <f>VLOOKUP(K71,'[2]ผลการเบิกจ่ายสะสม พ.ย. 66'!$C:$N,12,0)</f>
        <v>0</v>
      </c>
      <c r="AJ71" s="1274">
        <f t="shared" si="12"/>
        <v>-1182440.08</v>
      </c>
    </row>
    <row r="72" spans="1:36" s="5" customFormat="1" x14ac:dyDescent="0.2">
      <c r="A72" s="33"/>
      <c r="B72" s="34" t="s">
        <v>184</v>
      </c>
      <c r="C72" s="273"/>
      <c r="D72" s="1096">
        <v>5000000</v>
      </c>
      <c r="E72" s="1097">
        <v>823435.4</v>
      </c>
      <c r="F72" s="1097"/>
      <c r="G72" s="1097"/>
      <c r="H72" s="1097">
        <v>2801500</v>
      </c>
      <c r="I72" s="1098">
        <v>6000000</v>
      </c>
      <c r="J72" s="1098">
        <v>823400</v>
      </c>
      <c r="K72" s="1029" t="s">
        <v>1325</v>
      </c>
      <c r="L72" s="1029" t="s">
        <v>1423</v>
      </c>
      <c r="M72" s="1097">
        <v>548900</v>
      </c>
      <c r="N72" s="1097">
        <v>548900</v>
      </c>
      <c r="O72" s="1097"/>
      <c r="P72" s="1097"/>
      <c r="Q72" s="1097"/>
      <c r="R72" s="1097"/>
      <c r="S72" s="1268">
        <f>51366.59+122758.81</f>
        <v>174125.4</v>
      </c>
      <c r="T72" s="1091">
        <f t="shared" ref="T72:T73" si="82">+R72+S72</f>
        <v>174125.4</v>
      </c>
      <c r="U72" s="1091">
        <f t="shared" ref="U72:U73" si="83">+N72+O72-T72</f>
        <v>374774.6</v>
      </c>
      <c r="V72" s="1091">
        <f t="shared" si="11"/>
        <v>31.72260885407178</v>
      </c>
      <c r="W72" s="1091"/>
      <c r="X72" s="1091">
        <f t="shared" ref="X72:X73" si="84">+T72+Q72</f>
        <v>174125.4</v>
      </c>
      <c r="Y72" s="1091">
        <f t="shared" ref="Y72:Y73" si="85">+U72-Q72</f>
        <v>374774.6</v>
      </c>
      <c r="Z72" s="1091">
        <f t="shared" ref="Z72:Z73" si="86">+T72+Q72+P72</f>
        <v>174125.4</v>
      </c>
      <c r="AA72" s="1091">
        <f t="shared" ref="AA72:AA73" si="87">+U72-Q72-P72</f>
        <v>374774.6</v>
      </c>
      <c r="AB72" s="1091">
        <f t="shared" ref="AB72:AB73" si="88">IFERROR(Z72*100/(N72+O72),0)</f>
        <v>31.72260885407178</v>
      </c>
      <c r="AD72" s="650">
        <f t="shared" si="9"/>
        <v>0</v>
      </c>
      <c r="AI72" s="1277">
        <f>VLOOKUP(K72,'[2]ผลการเบิกจ่ายสะสม พ.ย. 66'!$C:$N,12,0)</f>
        <v>174125.4</v>
      </c>
      <c r="AJ72" s="1274">
        <f t="shared" si="12"/>
        <v>0</v>
      </c>
    </row>
    <row r="73" spans="1:36" s="5" customFormat="1" x14ac:dyDescent="0.2">
      <c r="A73" s="33"/>
      <c r="B73" s="34" t="s">
        <v>185</v>
      </c>
      <c r="C73" s="34"/>
      <c r="D73" s="1096">
        <v>26500000</v>
      </c>
      <c r="E73" s="1117">
        <v>3200192.95</v>
      </c>
      <c r="F73" s="1117"/>
      <c r="G73" s="1117"/>
      <c r="H73" s="1117">
        <v>7000000</v>
      </c>
      <c r="I73" s="1098">
        <v>45060000</v>
      </c>
      <c r="J73" s="1098">
        <v>3200200</v>
      </c>
      <c r="K73" s="1029" t="s">
        <v>1326</v>
      </c>
      <c r="L73" s="1029" t="s">
        <v>1423</v>
      </c>
      <c r="M73" s="1097">
        <v>495000</v>
      </c>
      <c r="N73" s="1097">
        <v>2133400</v>
      </c>
      <c r="O73" s="1097"/>
      <c r="P73" s="1097"/>
      <c r="Q73" s="1097"/>
      <c r="R73" s="1097"/>
      <c r="S73" s="1268">
        <f>70182.24+189351</f>
        <v>259533.24</v>
      </c>
      <c r="T73" s="1091">
        <f t="shared" si="82"/>
        <v>259533.24</v>
      </c>
      <c r="U73" s="1091">
        <f t="shared" si="83"/>
        <v>1873866.76</v>
      </c>
      <c r="V73" s="1091">
        <f t="shared" si="11"/>
        <v>12.165240461235586</v>
      </c>
      <c r="W73" s="1091"/>
      <c r="X73" s="1091">
        <f t="shared" si="84"/>
        <v>259533.24</v>
      </c>
      <c r="Y73" s="1091">
        <f t="shared" si="85"/>
        <v>1873866.76</v>
      </c>
      <c r="Z73" s="1091">
        <f t="shared" si="86"/>
        <v>259533.24</v>
      </c>
      <c r="AA73" s="1091">
        <f t="shared" si="87"/>
        <v>1873866.76</v>
      </c>
      <c r="AB73" s="1091">
        <f t="shared" si="88"/>
        <v>12.165240461235586</v>
      </c>
      <c r="AD73" s="650">
        <f t="shared" si="9"/>
        <v>0</v>
      </c>
      <c r="AI73" s="1277">
        <f>VLOOKUP(K73,'[2]ผลการเบิกจ่ายสะสม พ.ย. 66'!$C:$N,12,0)</f>
        <v>259533.24</v>
      </c>
      <c r="AJ73" s="1274">
        <f t="shared" si="12"/>
        <v>0</v>
      </c>
    </row>
    <row r="74" spans="1:36" s="5" customFormat="1" x14ac:dyDescent="0.2">
      <c r="A74" s="96"/>
      <c r="B74" s="97" t="s">
        <v>186</v>
      </c>
      <c r="C74" s="97"/>
      <c r="D74" s="1096">
        <f>SUM(D75:D77)</f>
        <v>29204600</v>
      </c>
      <c r="E74" s="1117">
        <f>SUM(E75:E77)</f>
        <v>9866788.0799999982</v>
      </c>
      <c r="F74" s="1117"/>
      <c r="G74" s="1117"/>
      <c r="H74" s="1117">
        <f>SUM(H75:H77)</f>
        <v>10000000</v>
      </c>
      <c r="I74" s="1098">
        <v>24922000</v>
      </c>
      <c r="J74" s="1098">
        <f>SUM(J75:J77)</f>
        <v>10000000</v>
      </c>
      <c r="K74" s="1029" t="s">
        <v>1327</v>
      </c>
      <c r="L74" s="1029" t="s">
        <v>1423</v>
      </c>
      <c r="M74" s="1097">
        <f t="shared" ref="M74:U74" si="89">SUM(M75:M77)</f>
        <v>6221600</v>
      </c>
      <c r="N74" s="1097">
        <f>SUM(N75:N77)</f>
        <v>6666600</v>
      </c>
      <c r="O74" s="1097">
        <f t="shared" si="89"/>
        <v>0</v>
      </c>
      <c r="P74" s="1097">
        <f t="shared" si="89"/>
        <v>0</v>
      </c>
      <c r="Q74" s="1097">
        <f t="shared" si="89"/>
        <v>0</v>
      </c>
      <c r="R74" s="1097">
        <f t="shared" si="89"/>
        <v>0</v>
      </c>
      <c r="S74" s="1268">
        <f>165599.99+583181.45</f>
        <v>748781.44</v>
      </c>
      <c r="T74" s="1097">
        <f t="shared" si="89"/>
        <v>748781.44</v>
      </c>
      <c r="U74" s="1097">
        <f t="shared" si="89"/>
        <v>5917818.5599999996</v>
      </c>
      <c r="V74" s="1097">
        <f t="shared" si="11"/>
        <v>11.231833918339184</v>
      </c>
      <c r="W74" s="1097">
        <f t="shared" ref="W74:AB74" si="90">SUM(W75:W77)</f>
        <v>0</v>
      </c>
      <c r="X74" s="1097">
        <f t="shared" si="90"/>
        <v>748781.44</v>
      </c>
      <c r="Y74" s="1097">
        <f t="shared" si="90"/>
        <v>5917818.5599999996</v>
      </c>
      <c r="Z74" s="1097">
        <f t="shared" si="90"/>
        <v>748781.44</v>
      </c>
      <c r="AA74" s="1097">
        <f t="shared" si="90"/>
        <v>5917818.5599999996</v>
      </c>
      <c r="AB74" s="1097">
        <f t="shared" si="90"/>
        <v>28.435476126509094</v>
      </c>
      <c r="AD74" s="650">
        <f>+N74+O74-R74-S74-U74</f>
        <v>0</v>
      </c>
      <c r="AI74" s="1277">
        <f>VLOOKUP(K74,'[2]ผลการเบิกจ่ายสะสม พ.ย. 66'!$C:$N,12,0)</f>
        <v>748781.44</v>
      </c>
      <c r="AJ74" s="1274">
        <f t="shared" si="12"/>
        <v>0</v>
      </c>
    </row>
    <row r="75" spans="1:36" s="5" customFormat="1" ht="21" customHeight="1" outlineLevel="1" x14ac:dyDescent="0.2">
      <c r="A75" s="90"/>
      <c r="B75" s="91"/>
      <c r="C75" s="405" t="s">
        <v>63</v>
      </c>
      <c r="D75" s="1090">
        <v>20000000</v>
      </c>
      <c r="E75" s="1108">
        <v>6420904.5099999998</v>
      </c>
      <c r="F75" s="1108"/>
      <c r="G75" s="1108"/>
      <c r="H75" s="1108">
        <v>6561000</v>
      </c>
      <c r="I75" s="1092">
        <v>16800000</v>
      </c>
      <c r="J75" s="1092">
        <v>6501100</v>
      </c>
      <c r="K75" s="1032"/>
      <c r="L75" s="1032"/>
      <c r="M75" s="1091">
        <v>3889000</v>
      </c>
      <c r="N75" s="1091">
        <v>4334000</v>
      </c>
      <c r="O75" s="1091"/>
      <c r="P75" s="1091"/>
      <c r="Q75" s="1091"/>
      <c r="R75" s="1091"/>
      <c r="S75" s="1289">
        <v>719265.32</v>
      </c>
      <c r="T75" s="1091">
        <f t="shared" ref="T75:T77" si="91">+R75+S75</f>
        <v>719265.32</v>
      </c>
      <c r="U75" s="1091">
        <f t="shared" ref="U75:U77" si="92">+N75+O75-T75</f>
        <v>3614734.68</v>
      </c>
      <c r="V75" s="1091">
        <f t="shared" si="11"/>
        <v>16.595877249653899</v>
      </c>
      <c r="W75" s="1091"/>
      <c r="X75" s="1091">
        <f t="shared" ref="X75:X77" si="93">+T75+Q75</f>
        <v>719265.32</v>
      </c>
      <c r="Y75" s="1091">
        <f t="shared" ref="Y75:Y77" si="94">+U75-Q75</f>
        <v>3614734.68</v>
      </c>
      <c r="Z75" s="1091">
        <f t="shared" ref="Z75:Z77" si="95">+T75+Q75+P75</f>
        <v>719265.32</v>
      </c>
      <c r="AA75" s="1091">
        <f t="shared" ref="AA75:AA77" si="96">+U75-Q75-P75</f>
        <v>3614734.68</v>
      </c>
      <c r="AB75" s="1091">
        <f t="shared" ref="AB75:AB77" si="97">IFERROR(Z75*100/(N75+O75),0)</f>
        <v>16.595877249653899</v>
      </c>
      <c r="AD75" s="650">
        <f t="shared" ref="AD75:AD138" si="98">+N75+O75-R75-S75-U75</f>
        <v>0</v>
      </c>
      <c r="AI75" s="1277">
        <f>VLOOKUP(K75,'[2]ผลการเบิกจ่ายสะสม พ.ย. 66'!$C:$N,12,0)</f>
        <v>0</v>
      </c>
      <c r="AJ75" s="1274">
        <f t="shared" si="12"/>
        <v>-719265.32</v>
      </c>
    </row>
    <row r="76" spans="1:36" s="5" customFormat="1" ht="21" customHeight="1" outlineLevel="1" x14ac:dyDescent="0.2">
      <c r="A76" s="90"/>
      <c r="B76" s="91"/>
      <c r="C76" s="405" t="s">
        <v>50</v>
      </c>
      <c r="D76" s="1090">
        <v>8604600</v>
      </c>
      <c r="E76" s="1108">
        <v>3078301.8</v>
      </c>
      <c r="F76" s="1108"/>
      <c r="G76" s="1108"/>
      <c r="H76" s="1108">
        <v>2991000</v>
      </c>
      <c r="I76" s="1092">
        <v>7570000</v>
      </c>
      <c r="J76" s="1092">
        <v>3125000</v>
      </c>
      <c r="K76" s="1032"/>
      <c r="L76" s="1032"/>
      <c r="M76" s="1091">
        <v>2083300</v>
      </c>
      <c r="N76" s="1091">
        <v>2083300</v>
      </c>
      <c r="O76" s="1091"/>
      <c r="P76" s="1091"/>
      <c r="Q76" s="1091"/>
      <c r="R76" s="1091"/>
      <c r="S76" s="1289">
        <v>0</v>
      </c>
      <c r="T76" s="1091">
        <f t="shared" si="91"/>
        <v>0</v>
      </c>
      <c r="U76" s="1091">
        <f t="shared" si="92"/>
        <v>2083300</v>
      </c>
      <c r="V76" s="1091">
        <f t="shared" si="11"/>
        <v>0</v>
      </c>
      <c r="W76" s="1091"/>
      <c r="X76" s="1091">
        <f t="shared" si="93"/>
        <v>0</v>
      </c>
      <c r="Y76" s="1091">
        <f t="shared" si="94"/>
        <v>2083300</v>
      </c>
      <c r="Z76" s="1091">
        <f t="shared" si="95"/>
        <v>0</v>
      </c>
      <c r="AA76" s="1091">
        <f t="shared" si="96"/>
        <v>2083300</v>
      </c>
      <c r="AB76" s="1091">
        <f t="shared" si="97"/>
        <v>0</v>
      </c>
      <c r="AD76" s="650">
        <f t="shared" si="98"/>
        <v>0</v>
      </c>
      <c r="AI76" s="1277">
        <f>VLOOKUP(K76,'[2]ผลการเบิกจ่ายสะสม พ.ย. 66'!$C:$N,12,0)</f>
        <v>0</v>
      </c>
      <c r="AJ76" s="1274">
        <f t="shared" si="12"/>
        <v>0</v>
      </c>
    </row>
    <row r="77" spans="1:36" s="5" customFormat="1" ht="21" customHeight="1" outlineLevel="1" x14ac:dyDescent="0.2">
      <c r="A77" s="90"/>
      <c r="B77" s="91"/>
      <c r="C77" s="405" t="s">
        <v>62</v>
      </c>
      <c r="D77" s="1090">
        <v>600000</v>
      </c>
      <c r="E77" s="1108">
        <v>367581.77</v>
      </c>
      <c r="F77" s="1108"/>
      <c r="G77" s="1108"/>
      <c r="H77" s="1108">
        <v>448000</v>
      </c>
      <c r="I77" s="1092">
        <v>552000</v>
      </c>
      <c r="J77" s="1092">
        <v>373900</v>
      </c>
      <c r="K77" s="1032"/>
      <c r="L77" s="1032"/>
      <c r="M77" s="1091">
        <v>249300</v>
      </c>
      <c r="N77" s="1091">
        <v>249300</v>
      </c>
      <c r="O77" s="1091"/>
      <c r="P77" s="1091"/>
      <c r="Q77" s="1091"/>
      <c r="R77" s="1091"/>
      <c r="S77" s="1289">
        <v>29516.120000000003</v>
      </c>
      <c r="T77" s="1091">
        <f t="shared" si="91"/>
        <v>29516.120000000003</v>
      </c>
      <c r="U77" s="1091">
        <f t="shared" si="92"/>
        <v>219783.88</v>
      </c>
      <c r="V77" s="1091">
        <f t="shared" si="11"/>
        <v>11.839598876855197</v>
      </c>
      <c r="W77" s="1091"/>
      <c r="X77" s="1091">
        <f t="shared" si="93"/>
        <v>29516.120000000003</v>
      </c>
      <c r="Y77" s="1091">
        <f t="shared" si="94"/>
        <v>219783.88</v>
      </c>
      <c r="Z77" s="1091">
        <f t="shared" si="95"/>
        <v>29516.120000000003</v>
      </c>
      <c r="AA77" s="1091">
        <f t="shared" si="96"/>
        <v>219783.88</v>
      </c>
      <c r="AB77" s="1091">
        <f t="shared" si="97"/>
        <v>11.839598876855197</v>
      </c>
      <c r="AD77" s="650">
        <f t="shared" si="98"/>
        <v>0</v>
      </c>
      <c r="AI77" s="1277">
        <f>VLOOKUP(K77,'[2]ผลการเบิกจ่ายสะสม พ.ย. 66'!$C:$N,12,0)</f>
        <v>0</v>
      </c>
      <c r="AJ77" s="1274">
        <f t="shared" si="12"/>
        <v>-29516.120000000003</v>
      </c>
    </row>
    <row r="78" spans="1:36" s="5" customFormat="1" x14ac:dyDescent="0.2">
      <c r="A78" s="20" t="s">
        <v>183</v>
      </c>
      <c r="B78" s="21"/>
      <c r="C78" s="21"/>
      <c r="D78" s="1087">
        <f>SUM(D79:D81)</f>
        <v>16310000</v>
      </c>
      <c r="E78" s="1088">
        <f>SUM(E79:E81)</f>
        <v>16000000</v>
      </c>
      <c r="F78" s="1088"/>
      <c r="G78" s="1088"/>
      <c r="H78" s="1088">
        <f>SUM(H79:H81)</f>
        <v>16300000</v>
      </c>
      <c r="I78" s="1089">
        <v>16000000</v>
      </c>
      <c r="J78" s="1089">
        <f>SUM(J79:J81)</f>
        <v>16000000</v>
      </c>
      <c r="K78" s="1028"/>
      <c r="L78" s="1028"/>
      <c r="M78" s="1088">
        <f t="shared" ref="M78:U78" si="99">SUM(M79:M81)</f>
        <v>16000000</v>
      </c>
      <c r="N78" s="1088">
        <f>SUM(N79:N81)</f>
        <v>16000000</v>
      </c>
      <c r="O78" s="1088">
        <f t="shared" si="99"/>
        <v>0</v>
      </c>
      <c r="P78" s="1088">
        <f t="shared" si="99"/>
        <v>0</v>
      </c>
      <c r="Q78" s="1088">
        <f t="shared" si="99"/>
        <v>0</v>
      </c>
      <c r="R78" s="1088">
        <f t="shared" si="99"/>
        <v>0</v>
      </c>
      <c r="S78" s="1088">
        <f t="shared" si="99"/>
        <v>0</v>
      </c>
      <c r="T78" s="1088">
        <f t="shared" si="99"/>
        <v>0</v>
      </c>
      <c r="U78" s="1088">
        <f t="shared" si="99"/>
        <v>16000000</v>
      </c>
      <c r="V78" s="1088">
        <f t="shared" si="11"/>
        <v>0</v>
      </c>
      <c r="W78" s="1088">
        <f t="shared" ref="W78:AB78" si="100">SUM(W79:W81)</f>
        <v>0</v>
      </c>
      <c r="X78" s="1088">
        <f t="shared" si="100"/>
        <v>0</v>
      </c>
      <c r="Y78" s="1088">
        <f t="shared" si="100"/>
        <v>16000000</v>
      </c>
      <c r="Z78" s="1088">
        <f t="shared" si="100"/>
        <v>0</v>
      </c>
      <c r="AA78" s="1088">
        <f t="shared" si="100"/>
        <v>16000000</v>
      </c>
      <c r="AB78" s="1088">
        <f t="shared" si="100"/>
        <v>0</v>
      </c>
      <c r="AD78" s="650">
        <f t="shared" si="98"/>
        <v>0</v>
      </c>
      <c r="AI78" s="1277">
        <f>VLOOKUP(K78,'[2]ผลการเบิกจ่ายสะสม พ.ย. 66'!$C:$N,12,0)</f>
        <v>0</v>
      </c>
      <c r="AJ78" s="1274">
        <f t="shared" si="12"/>
        <v>0</v>
      </c>
    </row>
    <row r="79" spans="1:36" s="5" customFormat="1" x14ac:dyDescent="0.2">
      <c r="A79" s="33"/>
      <c r="B79" s="34" t="s">
        <v>187</v>
      </c>
      <c r="C79" s="273"/>
      <c r="D79" s="1090">
        <v>5000000</v>
      </c>
      <c r="E79" s="1108">
        <v>5000000</v>
      </c>
      <c r="F79" s="1108"/>
      <c r="G79" s="1108"/>
      <c r="H79" s="1108">
        <v>5000000</v>
      </c>
      <c r="I79" s="1092">
        <v>5000000</v>
      </c>
      <c r="J79" s="1092">
        <v>5000000</v>
      </c>
      <c r="K79" s="1029" t="s">
        <v>1328</v>
      </c>
      <c r="L79" s="1029" t="s">
        <v>1423</v>
      </c>
      <c r="M79" s="1091">
        <v>5000000</v>
      </c>
      <c r="N79" s="1091">
        <v>5000000</v>
      </c>
      <c r="O79" s="1091"/>
      <c r="P79" s="1091"/>
      <c r="Q79" s="1091"/>
      <c r="R79" s="1091"/>
      <c r="S79" s="1091"/>
      <c r="T79" s="1091">
        <f t="shared" ref="T79:T80" si="101">+R79+S79</f>
        <v>0</v>
      </c>
      <c r="U79" s="1091">
        <f t="shared" ref="U79:U80" si="102">+N79+O79-T79</f>
        <v>5000000</v>
      </c>
      <c r="V79" s="1091">
        <f t="shared" ref="V79:V142" si="103">IFERROR(T79*100/(N79+O79),0)</f>
        <v>0</v>
      </c>
      <c r="W79" s="1091"/>
      <c r="X79" s="1091">
        <f t="shared" ref="X79:X80" si="104">+T79+Q79</f>
        <v>0</v>
      </c>
      <c r="Y79" s="1091">
        <f t="shared" ref="Y79:Y80" si="105">+U79-Q79</f>
        <v>5000000</v>
      </c>
      <c r="Z79" s="1091">
        <f t="shared" ref="Z79:Z80" si="106">+T79+Q79+P79</f>
        <v>0</v>
      </c>
      <c r="AA79" s="1091">
        <f t="shared" ref="AA79:AA80" si="107">+U79-Q79-P79</f>
        <v>5000000</v>
      </c>
      <c r="AB79" s="1091">
        <f t="shared" ref="AB79:AB80" si="108">IFERROR(Z79*100/(N79+O79),0)</f>
        <v>0</v>
      </c>
      <c r="AD79" s="650">
        <f t="shared" si="98"/>
        <v>0</v>
      </c>
      <c r="AI79" s="1277">
        <f>VLOOKUP(K79,'[2]ผลการเบิกจ่ายสะสม พ.ย. 66'!$C:$N,12,0)</f>
        <v>0</v>
      </c>
      <c r="AJ79" s="1274">
        <f t="shared" ref="AJ79:AJ142" si="109">+AI79-S79</f>
        <v>0</v>
      </c>
    </row>
    <row r="80" spans="1:36" s="5" customFormat="1" x14ac:dyDescent="0.2">
      <c r="A80" s="33"/>
      <c r="B80" s="34" t="s">
        <v>845</v>
      </c>
      <c r="C80" s="273"/>
      <c r="D80" s="1090">
        <v>11000000</v>
      </c>
      <c r="E80" s="1108">
        <v>11000000</v>
      </c>
      <c r="F80" s="1108"/>
      <c r="G80" s="1108"/>
      <c r="H80" s="1108">
        <v>11000000</v>
      </c>
      <c r="I80" s="1092">
        <v>11000000</v>
      </c>
      <c r="J80" s="1092">
        <v>11000000</v>
      </c>
      <c r="K80" s="1029" t="s">
        <v>1329</v>
      </c>
      <c r="L80" s="1029" t="s">
        <v>1423</v>
      </c>
      <c r="M80" s="1091">
        <v>11000000</v>
      </c>
      <c r="N80" s="1091">
        <v>11000000</v>
      </c>
      <c r="O80" s="1091"/>
      <c r="P80" s="1091"/>
      <c r="Q80" s="1091"/>
      <c r="R80" s="1091"/>
      <c r="S80" s="1091"/>
      <c r="T80" s="1091">
        <f t="shared" si="101"/>
        <v>0</v>
      </c>
      <c r="U80" s="1091">
        <f t="shared" si="102"/>
        <v>11000000</v>
      </c>
      <c r="V80" s="1091">
        <f t="shared" si="103"/>
        <v>0</v>
      </c>
      <c r="W80" s="1091"/>
      <c r="X80" s="1091">
        <f t="shared" si="104"/>
        <v>0</v>
      </c>
      <c r="Y80" s="1091">
        <f t="shared" si="105"/>
        <v>11000000</v>
      </c>
      <c r="Z80" s="1091">
        <f t="shared" si="106"/>
        <v>0</v>
      </c>
      <c r="AA80" s="1091">
        <f t="shared" si="107"/>
        <v>11000000</v>
      </c>
      <c r="AB80" s="1091">
        <f t="shared" si="108"/>
        <v>0</v>
      </c>
      <c r="AD80" s="650">
        <f t="shared" si="98"/>
        <v>0</v>
      </c>
      <c r="AI80" s="1277">
        <f>VLOOKUP(K80,'[2]ผลการเบิกจ่ายสะสม พ.ย. 66'!$C:$N,12,0)</f>
        <v>0</v>
      </c>
      <c r="AJ80" s="1274">
        <f t="shared" si="109"/>
        <v>0</v>
      </c>
    </row>
    <row r="81" spans="1:36" s="5" customFormat="1" ht="21" customHeight="1" outlineLevel="1" x14ac:dyDescent="0.2">
      <c r="A81" s="104"/>
      <c r="B81" s="898" t="s">
        <v>846</v>
      </c>
      <c r="C81" s="899"/>
      <c r="D81" s="1120">
        <v>310000</v>
      </c>
      <c r="E81" s="1121">
        <v>0</v>
      </c>
      <c r="F81" s="1121"/>
      <c r="G81" s="1121"/>
      <c r="H81" s="1121">
        <v>300000</v>
      </c>
      <c r="I81" s="1122"/>
      <c r="J81" s="1122"/>
      <c r="K81" s="1032" t="s">
        <v>1330</v>
      </c>
      <c r="L81" s="1041"/>
      <c r="M81" s="1143"/>
      <c r="N81" s="1143"/>
      <c r="O81" s="1143"/>
      <c r="P81" s="1143"/>
      <c r="Q81" s="1143"/>
      <c r="R81" s="1143"/>
      <c r="S81" s="1143"/>
      <c r="T81" s="1143"/>
      <c r="U81" s="1143"/>
      <c r="V81" s="1143">
        <f t="shared" si="103"/>
        <v>0</v>
      </c>
      <c r="W81" s="1143"/>
      <c r="X81" s="1143"/>
      <c r="Y81" s="1143"/>
      <c r="Z81" s="1143"/>
      <c r="AA81" s="1143"/>
      <c r="AB81" s="1143"/>
      <c r="AD81" s="650">
        <f t="shared" si="98"/>
        <v>0</v>
      </c>
      <c r="AI81" s="1277" t="e">
        <f>VLOOKUP(K81,'[2]ผลการเบิกจ่ายสะสม พ.ย. 66'!$C:$N,12,0)</f>
        <v>#N/A</v>
      </c>
      <c r="AJ81" s="1274" t="e">
        <f t="shared" si="109"/>
        <v>#N/A</v>
      </c>
    </row>
    <row r="82" spans="1:36" s="5" customFormat="1" x14ac:dyDescent="0.2">
      <c r="A82" s="900" t="s">
        <v>166</v>
      </c>
      <c r="B82" s="901"/>
      <c r="C82" s="901"/>
      <c r="D82" s="1123">
        <f>+D83+D114</f>
        <v>1130557100</v>
      </c>
      <c r="E82" s="1124">
        <f>+E83+E114</f>
        <v>975456337.86000001</v>
      </c>
      <c r="F82" s="1124"/>
      <c r="G82" s="1124"/>
      <c r="H82" s="1124">
        <f>+H83+H114</f>
        <v>1048794700</v>
      </c>
      <c r="I82" s="1125">
        <v>2219722500</v>
      </c>
      <c r="J82" s="1125">
        <f>+J83+J114</f>
        <v>1061152200</v>
      </c>
      <c r="K82" s="1034" t="s">
        <v>1331</v>
      </c>
      <c r="L82" s="1034"/>
      <c r="M82" s="1124">
        <f t="shared" ref="M82:U82" si="110">+M83+M114</f>
        <v>381792900</v>
      </c>
      <c r="N82" s="1124">
        <f t="shared" si="110"/>
        <v>463858200</v>
      </c>
      <c r="O82" s="1124">
        <f t="shared" si="110"/>
        <v>0</v>
      </c>
      <c r="P82" s="1124">
        <f t="shared" si="110"/>
        <v>0</v>
      </c>
      <c r="Q82" s="1124">
        <f t="shared" si="110"/>
        <v>13528.96</v>
      </c>
      <c r="R82" s="1124">
        <f t="shared" si="110"/>
        <v>0</v>
      </c>
      <c r="S82" s="1124">
        <f t="shared" si="110"/>
        <v>184950587.12</v>
      </c>
      <c r="T82" s="1124">
        <f t="shared" si="110"/>
        <v>184950587.12</v>
      </c>
      <c r="U82" s="1124">
        <f t="shared" si="110"/>
        <v>278907612.88</v>
      </c>
      <c r="V82" s="1124">
        <f t="shared" si="103"/>
        <v>39.872225417164124</v>
      </c>
      <c r="W82" s="1124">
        <f t="shared" ref="W82:AB82" si="111">+W83+W114</f>
        <v>0</v>
      </c>
      <c r="X82" s="1124">
        <f t="shared" si="111"/>
        <v>184964116.07999998</v>
      </c>
      <c r="Y82" s="1124">
        <f t="shared" si="111"/>
        <v>278894083.92000002</v>
      </c>
      <c r="Z82" s="1124">
        <f t="shared" si="111"/>
        <v>184964116.07999998</v>
      </c>
      <c r="AA82" s="1124">
        <f t="shared" si="111"/>
        <v>278894083.92000002</v>
      </c>
      <c r="AB82" s="1124">
        <f t="shared" si="111"/>
        <v>795.78719967444454</v>
      </c>
      <c r="AD82" s="650">
        <f t="shared" si="98"/>
        <v>0</v>
      </c>
      <c r="AI82" s="1277" t="e">
        <f>VLOOKUP(K82,'[2]ผลการเบิกจ่ายสะสม พ.ย. 66'!$C:$N,12,0)</f>
        <v>#N/A</v>
      </c>
      <c r="AJ82" s="1274" t="e">
        <f t="shared" si="109"/>
        <v>#N/A</v>
      </c>
    </row>
    <row r="83" spans="1:36" s="5" customFormat="1" x14ac:dyDescent="0.2">
      <c r="A83" s="14" t="s">
        <v>131</v>
      </c>
      <c r="B83" s="15"/>
      <c r="C83" s="15"/>
      <c r="D83" s="1084">
        <f>SUM(D84)</f>
        <v>395195200</v>
      </c>
      <c r="E83" s="1085">
        <f>SUM(E84)</f>
        <v>185582664.56000003</v>
      </c>
      <c r="F83" s="1085"/>
      <c r="G83" s="1085"/>
      <c r="H83" s="1085">
        <f>SUM(H84)</f>
        <v>685668800</v>
      </c>
      <c r="I83" s="1086">
        <v>1283237500</v>
      </c>
      <c r="J83" s="1086">
        <f>SUM(J84)</f>
        <v>660976000</v>
      </c>
      <c r="K83" s="1027"/>
      <c r="L83" s="1027" t="s">
        <v>1424</v>
      </c>
      <c r="M83" s="1085">
        <f t="shared" ref="M83:AB83" si="112">SUM(M84)</f>
        <v>204972800</v>
      </c>
      <c r="N83" s="1085">
        <f>SUM(N84)</f>
        <v>208767600</v>
      </c>
      <c r="O83" s="1085">
        <f t="shared" si="112"/>
        <v>0</v>
      </c>
      <c r="P83" s="1085">
        <f t="shared" si="112"/>
        <v>0</v>
      </c>
      <c r="Q83" s="1085">
        <f t="shared" si="112"/>
        <v>13528.96</v>
      </c>
      <c r="R83" s="1085">
        <f t="shared" si="112"/>
        <v>0</v>
      </c>
      <c r="S83" s="1085">
        <f t="shared" si="112"/>
        <v>28883180.119999997</v>
      </c>
      <c r="T83" s="1085">
        <f t="shared" si="112"/>
        <v>28883180.119999997</v>
      </c>
      <c r="U83" s="1085">
        <f t="shared" si="112"/>
        <v>179884419.88</v>
      </c>
      <c r="V83" s="1085">
        <f t="shared" si="103"/>
        <v>13.83508749441963</v>
      </c>
      <c r="W83" s="1085">
        <f t="shared" si="112"/>
        <v>0</v>
      </c>
      <c r="X83" s="1085">
        <f t="shared" si="112"/>
        <v>28896709.079999998</v>
      </c>
      <c r="Y83" s="1085">
        <f t="shared" si="112"/>
        <v>179870890.92000002</v>
      </c>
      <c r="Z83" s="1085">
        <f t="shared" si="112"/>
        <v>28896709.079999998</v>
      </c>
      <c r="AA83" s="1085">
        <f t="shared" si="112"/>
        <v>179870890.92000002</v>
      </c>
      <c r="AB83" s="1085">
        <f t="shared" si="112"/>
        <v>185.8852503876908</v>
      </c>
      <c r="AD83" s="650">
        <f t="shared" si="98"/>
        <v>0</v>
      </c>
      <c r="AI83" s="1277">
        <f>VLOOKUP(K83,'[2]ผลการเบิกจ่ายสะสม พ.ย. 66'!$C:$N,12,0)</f>
        <v>0</v>
      </c>
      <c r="AJ83" s="1274">
        <f t="shared" si="109"/>
        <v>-28883180.119999997</v>
      </c>
    </row>
    <row r="84" spans="1:36" s="5" customFormat="1" x14ac:dyDescent="0.2">
      <c r="A84" s="20" t="s">
        <v>45</v>
      </c>
      <c r="B84" s="65"/>
      <c r="C84" s="21"/>
      <c r="D84" s="1087">
        <f>+D87+D85+D88+D92+D93+D95+D97+D89+D101+D107+D113</f>
        <v>395195200</v>
      </c>
      <c r="E84" s="1087">
        <f>+E87+E85+E88+E92+E93+E95+E97+E89+E101+E107+E113</f>
        <v>185582664.56000003</v>
      </c>
      <c r="F84" s="1087">
        <f>+F87+F85+F88+F92+F93+F95+F97+F89+F101+F107+F113</f>
        <v>0</v>
      </c>
      <c r="G84" s="1087">
        <f>+G87+G85+G88+G92+G93+G95+G97+G89+G101+G107+G113</f>
        <v>0</v>
      </c>
      <c r="H84" s="1087">
        <f>+H87+H85+H88+H92+H93+H95+H97+H89+H101+H107+H113</f>
        <v>685668800</v>
      </c>
      <c r="I84" s="1126">
        <v>1283237500</v>
      </c>
      <c r="J84" s="1126">
        <f>+J87+J85+J88+J92+J93+J95+J97+J89+J101+J107+J113+J104</f>
        <v>660976000</v>
      </c>
      <c r="K84" s="1035"/>
      <c r="L84" s="1035"/>
      <c r="M84" s="1087">
        <f>+M85+M87+M88+M89+M92+M95+M107+M113</f>
        <v>204972800</v>
      </c>
      <c r="N84" s="1087">
        <f>+N87+N85+N88+N92+N93+N95+N97+N89+N101+N107+N113+N104</f>
        <v>208767600</v>
      </c>
      <c r="O84" s="1087">
        <f t="shared" ref="O84:U84" si="113">+O85+O87+O88+O89+O92+O95+O107+O113</f>
        <v>0</v>
      </c>
      <c r="P84" s="1087">
        <f t="shared" si="113"/>
        <v>0</v>
      </c>
      <c r="Q84" s="1087">
        <f t="shared" si="113"/>
        <v>13528.96</v>
      </c>
      <c r="R84" s="1087">
        <f t="shared" si="113"/>
        <v>0</v>
      </c>
      <c r="S84" s="1087">
        <f t="shared" si="113"/>
        <v>28883180.119999997</v>
      </c>
      <c r="T84" s="1087">
        <f t="shared" si="113"/>
        <v>28883180.119999997</v>
      </c>
      <c r="U84" s="1087">
        <f t="shared" si="113"/>
        <v>179884419.88</v>
      </c>
      <c r="V84" s="1087">
        <f t="shared" si="103"/>
        <v>13.83508749441963</v>
      </c>
      <c r="W84" s="1087">
        <f t="shared" ref="W84:AB84" si="114">+W85+W87+W88+W89+W92+W95+W107+W113</f>
        <v>0</v>
      </c>
      <c r="X84" s="1087">
        <f t="shared" si="114"/>
        <v>28896709.079999998</v>
      </c>
      <c r="Y84" s="1087">
        <f t="shared" si="114"/>
        <v>179870890.92000002</v>
      </c>
      <c r="Z84" s="1087">
        <f t="shared" si="114"/>
        <v>28896709.079999998</v>
      </c>
      <c r="AA84" s="1087">
        <f t="shared" si="114"/>
        <v>179870890.92000002</v>
      </c>
      <c r="AB84" s="1087">
        <f t="shared" si="114"/>
        <v>185.8852503876908</v>
      </c>
      <c r="AD84" s="650">
        <f t="shared" si="98"/>
        <v>0</v>
      </c>
      <c r="AI84" s="1277">
        <f>VLOOKUP(K84,'[2]ผลการเบิกจ่ายสะสม พ.ย. 66'!$C:$N,12,0)</f>
        <v>0</v>
      </c>
      <c r="AJ84" s="1274">
        <f t="shared" si="109"/>
        <v>-28883180.119999997</v>
      </c>
    </row>
    <row r="85" spans="1:36" s="5" customFormat="1" x14ac:dyDescent="0.2">
      <c r="A85" s="33"/>
      <c r="B85" s="34" t="s">
        <v>296</v>
      </c>
      <c r="C85" s="902"/>
      <c r="D85" s="1096">
        <v>18859800</v>
      </c>
      <c r="E85" s="1097">
        <v>13710789.67</v>
      </c>
      <c r="F85" s="1097"/>
      <c r="G85" s="1097"/>
      <c r="H85" s="1097">
        <v>5266600</v>
      </c>
      <c r="I85" s="1098">
        <v>15000000</v>
      </c>
      <c r="J85" s="1098">
        <v>5000000</v>
      </c>
      <c r="K85" s="1029" t="s">
        <v>1332</v>
      </c>
      <c r="L85" s="1029" t="s">
        <v>1424</v>
      </c>
      <c r="M85" s="1097">
        <v>3990000</v>
      </c>
      <c r="N85" s="1097">
        <v>5000000</v>
      </c>
      <c r="O85" s="1097"/>
      <c r="P85" s="1097"/>
      <c r="Q85" s="1097"/>
      <c r="R85" s="1097"/>
      <c r="S85" s="1268">
        <f>2239999.67</f>
        <v>2239999.67</v>
      </c>
      <c r="T85" s="1091">
        <f t="shared" ref="T85:T88" si="115">+R85+S85</f>
        <v>2239999.67</v>
      </c>
      <c r="U85" s="1091">
        <f t="shared" ref="U85:U88" si="116">+N85+O85-T85</f>
        <v>2760000.33</v>
      </c>
      <c r="V85" s="1091">
        <f t="shared" si="103"/>
        <v>44.799993399999998</v>
      </c>
      <c r="W85" s="1091"/>
      <c r="X85" s="1091">
        <f t="shared" ref="X85:X88" si="117">+T85+Q85</f>
        <v>2239999.67</v>
      </c>
      <c r="Y85" s="1091">
        <f t="shared" ref="Y85:Y88" si="118">+U85-Q85</f>
        <v>2760000.33</v>
      </c>
      <c r="Z85" s="1091">
        <f t="shared" ref="Z85:Z88" si="119">+T85+Q85+P85</f>
        <v>2239999.67</v>
      </c>
      <c r="AA85" s="1091">
        <f t="shared" ref="AA85:AA88" si="120">+U85-Q85-P85</f>
        <v>2760000.33</v>
      </c>
      <c r="AB85" s="1091">
        <f t="shared" ref="AB85:AB88" si="121">IFERROR(Z85*100/(N85+O85),0)</f>
        <v>44.799993399999998</v>
      </c>
      <c r="AD85" s="650">
        <f t="shared" si="98"/>
        <v>0</v>
      </c>
      <c r="AI85" s="1277">
        <f>VLOOKUP(K85,'[2]ผลการเบิกจ่ายสะสม พ.ย. 66'!$C:$N,12,0)</f>
        <v>2239999.67</v>
      </c>
      <c r="AJ85" s="1274">
        <f t="shared" si="109"/>
        <v>0</v>
      </c>
    </row>
    <row r="86" spans="1:36" s="5" customFormat="1" x14ac:dyDescent="0.35">
      <c r="A86" s="33"/>
      <c r="B86" s="34"/>
      <c r="C86" s="27" t="s">
        <v>847</v>
      </c>
      <c r="D86" s="1096"/>
      <c r="E86" s="1097"/>
      <c r="F86" s="1097"/>
      <c r="G86" s="1097"/>
      <c r="H86" s="1097"/>
      <c r="I86" s="1098"/>
      <c r="J86" s="1098"/>
      <c r="K86" s="1029"/>
      <c r="L86" s="1029"/>
      <c r="M86" s="1097"/>
      <c r="N86" s="1097"/>
      <c r="O86" s="1097"/>
      <c r="P86" s="1097"/>
      <c r="Q86" s="1097"/>
      <c r="R86" s="1097"/>
      <c r="S86" s="1284"/>
      <c r="T86" s="1091">
        <f t="shared" si="115"/>
        <v>0</v>
      </c>
      <c r="U86" s="1091">
        <f t="shared" si="116"/>
        <v>0</v>
      </c>
      <c r="V86" s="1091">
        <f t="shared" si="103"/>
        <v>0</v>
      </c>
      <c r="W86" s="1091"/>
      <c r="X86" s="1091">
        <f t="shared" si="117"/>
        <v>0</v>
      </c>
      <c r="Y86" s="1091">
        <f t="shared" si="118"/>
        <v>0</v>
      </c>
      <c r="Z86" s="1091">
        <f t="shared" si="119"/>
        <v>0</v>
      </c>
      <c r="AA86" s="1091">
        <f t="shared" si="120"/>
        <v>0</v>
      </c>
      <c r="AB86" s="1091">
        <f t="shared" si="121"/>
        <v>0</v>
      </c>
      <c r="AD86" s="650">
        <f t="shared" si="98"/>
        <v>0</v>
      </c>
      <c r="AI86" s="1277">
        <f>VLOOKUP(K86,'[2]ผลการเบิกจ่ายสะสม พ.ย. 66'!$C:$N,12,0)</f>
        <v>0</v>
      </c>
      <c r="AJ86" s="1274">
        <f t="shared" si="109"/>
        <v>0</v>
      </c>
    </row>
    <row r="87" spans="1:36" s="5" customFormat="1" x14ac:dyDescent="0.2">
      <c r="A87" s="33"/>
      <c r="B87" s="34" t="s">
        <v>848</v>
      </c>
      <c r="C87" s="902"/>
      <c r="D87" s="1096">
        <v>7000000</v>
      </c>
      <c r="E87" s="1097">
        <v>2438999.71</v>
      </c>
      <c r="F87" s="1097"/>
      <c r="G87" s="1097"/>
      <c r="H87" s="1097">
        <v>2972500</v>
      </c>
      <c r="I87" s="1098">
        <v>7000000</v>
      </c>
      <c r="J87" s="1098">
        <v>2934000</v>
      </c>
      <c r="K87" s="1029" t="s">
        <v>1333</v>
      </c>
      <c r="L87" s="1029" t="s">
        <v>1424</v>
      </c>
      <c r="M87" s="1097">
        <v>1056000</v>
      </c>
      <c r="N87" s="1097">
        <v>1956000</v>
      </c>
      <c r="O87" s="1097"/>
      <c r="P87" s="1097"/>
      <c r="Q87" s="1097"/>
      <c r="R87" s="1097"/>
      <c r="S87" s="1268">
        <f>600000</f>
        <v>600000</v>
      </c>
      <c r="T87" s="1091">
        <f t="shared" si="115"/>
        <v>600000</v>
      </c>
      <c r="U87" s="1091">
        <f t="shared" si="116"/>
        <v>1356000</v>
      </c>
      <c r="V87" s="1091">
        <f t="shared" si="103"/>
        <v>30.674846625766872</v>
      </c>
      <c r="W87" s="1091"/>
      <c r="X87" s="1091">
        <f t="shared" si="117"/>
        <v>600000</v>
      </c>
      <c r="Y87" s="1091">
        <f t="shared" si="118"/>
        <v>1356000</v>
      </c>
      <c r="Z87" s="1091">
        <f t="shared" si="119"/>
        <v>600000</v>
      </c>
      <c r="AA87" s="1091">
        <f t="shared" si="120"/>
        <v>1356000</v>
      </c>
      <c r="AB87" s="1091">
        <f t="shared" si="121"/>
        <v>30.674846625766872</v>
      </c>
      <c r="AD87" s="650">
        <f t="shared" si="98"/>
        <v>0</v>
      </c>
      <c r="AI87" s="1277">
        <f>VLOOKUP(K87,'[2]ผลการเบิกจ่ายสะสม พ.ย. 66'!$C:$N,12,0)</f>
        <v>600000</v>
      </c>
      <c r="AJ87" s="1274">
        <f t="shared" si="109"/>
        <v>0</v>
      </c>
    </row>
    <row r="88" spans="1:36" s="5" customFormat="1" x14ac:dyDescent="0.2">
      <c r="A88" s="33"/>
      <c r="B88" s="34" t="s">
        <v>195</v>
      </c>
      <c r="C88" s="902"/>
      <c r="D88" s="1096">
        <v>10000000</v>
      </c>
      <c r="E88" s="1097">
        <v>9202376.8900000006</v>
      </c>
      <c r="F88" s="1097"/>
      <c r="G88" s="1097"/>
      <c r="H88" s="1097">
        <v>4000000</v>
      </c>
      <c r="I88" s="1098">
        <v>4000000</v>
      </c>
      <c r="J88" s="1098">
        <v>4000000</v>
      </c>
      <c r="K88" s="1029" t="s">
        <v>1334</v>
      </c>
      <c r="L88" s="1029" t="s">
        <v>1424</v>
      </c>
      <c r="M88" s="1097">
        <v>3300000</v>
      </c>
      <c r="N88" s="1097">
        <v>4000000</v>
      </c>
      <c r="O88" s="1097"/>
      <c r="P88" s="1097"/>
      <c r="Q88" s="1097"/>
      <c r="R88" s="1097"/>
      <c r="S88" s="1268">
        <f>101645.14+1018480.18</f>
        <v>1120125.32</v>
      </c>
      <c r="T88" s="1091">
        <f t="shared" si="115"/>
        <v>1120125.32</v>
      </c>
      <c r="U88" s="1091">
        <f t="shared" si="116"/>
        <v>2879874.6799999997</v>
      </c>
      <c r="V88" s="1091">
        <f t="shared" si="103"/>
        <v>28.003132999999998</v>
      </c>
      <c r="W88" s="1091"/>
      <c r="X88" s="1091">
        <f t="shared" si="117"/>
        <v>1120125.32</v>
      </c>
      <c r="Y88" s="1091">
        <f t="shared" si="118"/>
        <v>2879874.6799999997</v>
      </c>
      <c r="Z88" s="1091">
        <f t="shared" si="119"/>
        <v>1120125.32</v>
      </c>
      <c r="AA88" s="1091">
        <f t="shared" si="120"/>
        <v>2879874.6799999997</v>
      </c>
      <c r="AB88" s="1091">
        <f t="shared" si="121"/>
        <v>28.003132999999998</v>
      </c>
      <c r="AD88" s="650">
        <f t="shared" si="98"/>
        <v>0</v>
      </c>
      <c r="AI88" s="1277">
        <f>VLOOKUP(K88,'[2]ผลการเบิกจ่ายสะสม พ.ย. 66'!$C:$N,12,0)</f>
        <v>1120125.32</v>
      </c>
      <c r="AJ88" s="1274">
        <f t="shared" si="109"/>
        <v>0</v>
      </c>
    </row>
    <row r="89" spans="1:36" s="5" customFormat="1" x14ac:dyDescent="0.2">
      <c r="A89" s="33"/>
      <c r="B89" s="34" t="s">
        <v>327</v>
      </c>
      <c r="C89" s="902"/>
      <c r="D89" s="1096">
        <f>SUM(D90:D91)</f>
        <v>35864300</v>
      </c>
      <c r="E89" s="1096">
        <f>SUM(E90:E91)</f>
        <v>2136205.46</v>
      </c>
      <c r="F89" s="1096">
        <f>SUM(F90:F91)</f>
        <v>0</v>
      </c>
      <c r="G89" s="1096">
        <f>SUM(G90:G91)</f>
        <v>0</v>
      </c>
      <c r="H89" s="1096">
        <f>SUM(H90:H91)</f>
        <v>2383500</v>
      </c>
      <c r="I89" s="1127">
        <v>45947100</v>
      </c>
      <c r="J89" s="1127">
        <f>SUM(J90:J91)</f>
        <v>2383500</v>
      </c>
      <c r="K89" s="1029" t="s">
        <v>1335</v>
      </c>
      <c r="L89" s="1029" t="s">
        <v>1424</v>
      </c>
      <c r="M89" s="1096">
        <f t="shared" ref="M89:U89" si="122">SUM(M90:M91)</f>
        <v>1485000</v>
      </c>
      <c r="N89" s="1096">
        <f t="shared" si="122"/>
        <v>1485000</v>
      </c>
      <c r="O89" s="1096">
        <f t="shared" si="122"/>
        <v>0</v>
      </c>
      <c r="P89" s="1096">
        <f t="shared" si="122"/>
        <v>0</v>
      </c>
      <c r="Q89" s="1096">
        <f t="shared" si="122"/>
        <v>0</v>
      </c>
      <c r="R89" s="1096">
        <f t="shared" si="122"/>
        <v>0</v>
      </c>
      <c r="S89" s="1271">
        <f>50322.56+222870.25</f>
        <v>273192.81</v>
      </c>
      <c r="T89" s="1096">
        <f t="shared" si="122"/>
        <v>273192.81</v>
      </c>
      <c r="U89" s="1096">
        <f t="shared" si="122"/>
        <v>1211807.19</v>
      </c>
      <c r="V89" s="1096">
        <f t="shared" si="103"/>
        <v>18.396822222222223</v>
      </c>
      <c r="W89" s="1096">
        <f t="shared" ref="W89:AB89" si="123">SUM(W90:W91)</f>
        <v>0</v>
      </c>
      <c r="X89" s="1096">
        <f t="shared" si="123"/>
        <v>273192.81</v>
      </c>
      <c r="Y89" s="1096">
        <f t="shared" si="123"/>
        <v>1211807.19</v>
      </c>
      <c r="Z89" s="1096">
        <f t="shared" si="123"/>
        <v>273192.81</v>
      </c>
      <c r="AA89" s="1096">
        <f t="shared" si="123"/>
        <v>1211807.19</v>
      </c>
      <c r="AB89" s="1096">
        <f t="shared" si="123"/>
        <v>35.259991695312351</v>
      </c>
      <c r="AD89" s="650">
        <f t="shared" si="98"/>
        <v>0</v>
      </c>
      <c r="AI89" s="1277">
        <f>VLOOKUP(K89,'[2]ผลการเบิกจ่ายสะสม พ.ย. 66'!$C:$N,12,0)</f>
        <v>273192.81</v>
      </c>
      <c r="AJ89" s="1274">
        <f t="shared" si="109"/>
        <v>0</v>
      </c>
    </row>
    <row r="90" spans="1:36" s="5" customFormat="1" ht="21" customHeight="1" outlineLevel="1" x14ac:dyDescent="0.2">
      <c r="A90" s="33"/>
      <c r="B90" s="27"/>
      <c r="C90" s="27" t="s">
        <v>51</v>
      </c>
      <c r="D90" s="1090">
        <v>35864300</v>
      </c>
      <c r="E90" s="1091">
        <v>2136205.46</v>
      </c>
      <c r="F90" s="1091"/>
      <c r="G90" s="1091"/>
      <c r="H90" s="1091">
        <v>2383500</v>
      </c>
      <c r="I90" s="1092">
        <v>19451800</v>
      </c>
      <c r="J90" s="1092">
        <f>1085000-1500</f>
        <v>1083500</v>
      </c>
      <c r="K90" s="1032"/>
      <c r="L90" s="1032"/>
      <c r="M90" s="1091">
        <v>675100</v>
      </c>
      <c r="N90" s="1091">
        <v>675100</v>
      </c>
      <c r="O90" s="1091"/>
      <c r="P90" s="1091"/>
      <c r="Q90" s="1091"/>
      <c r="R90" s="1091"/>
      <c r="S90" s="1283">
        <f>61990.32</f>
        <v>61990.32</v>
      </c>
      <c r="T90" s="1091">
        <f t="shared" ref="T90:T102" si="124">+R90+S90</f>
        <v>61990.32</v>
      </c>
      <c r="U90" s="1091">
        <f t="shared" ref="U90:U102" si="125">+N90+O90-T90</f>
        <v>613109.68000000005</v>
      </c>
      <c r="V90" s="1091">
        <f t="shared" si="103"/>
        <v>9.1823907569248995</v>
      </c>
      <c r="W90" s="1091"/>
      <c r="X90" s="1091">
        <f t="shared" ref="X90:X102" si="126">+T90+Q90</f>
        <v>61990.32</v>
      </c>
      <c r="Y90" s="1091">
        <f t="shared" ref="Y90:Y102" si="127">+U90-Q90</f>
        <v>613109.68000000005</v>
      </c>
      <c r="Z90" s="1091">
        <f t="shared" ref="Z90:Z102" si="128">+T90+Q90+P90</f>
        <v>61990.32</v>
      </c>
      <c r="AA90" s="1091">
        <f t="shared" ref="AA90:AA102" si="129">+U90-Q90-P90</f>
        <v>613109.68000000005</v>
      </c>
      <c r="AB90" s="1091">
        <f t="shared" ref="AB90:AB102" si="130">IFERROR(Z90*100/(N90+O90),0)</f>
        <v>9.1823907569248995</v>
      </c>
      <c r="AD90" s="650">
        <f t="shared" si="98"/>
        <v>0</v>
      </c>
      <c r="AI90" s="1277">
        <f>VLOOKUP(K90,'[2]ผลการเบิกจ่ายสะสม พ.ย. 66'!$C:$N,12,0)</f>
        <v>0</v>
      </c>
      <c r="AJ90" s="1274">
        <f t="shared" si="109"/>
        <v>-61990.32</v>
      </c>
    </row>
    <row r="91" spans="1:36" s="5" customFormat="1" ht="21" customHeight="1" outlineLevel="1" x14ac:dyDescent="0.2">
      <c r="A91" s="33"/>
      <c r="B91" s="27"/>
      <c r="C91" s="27" t="s">
        <v>849</v>
      </c>
      <c r="D91" s="1090"/>
      <c r="E91" s="1091"/>
      <c r="F91" s="1091"/>
      <c r="G91" s="1091"/>
      <c r="H91" s="1091"/>
      <c r="I91" s="1092">
        <v>26495300</v>
      </c>
      <c r="J91" s="1092">
        <v>1300000</v>
      </c>
      <c r="K91" s="1032"/>
      <c r="L91" s="1032"/>
      <c r="M91" s="1091">
        <v>809900</v>
      </c>
      <c r="N91" s="1091">
        <v>809900</v>
      </c>
      <c r="O91" s="1091"/>
      <c r="P91" s="1091"/>
      <c r="Q91" s="1091"/>
      <c r="R91" s="1091"/>
      <c r="S91" s="1283">
        <f>211202.49</f>
        <v>211202.49</v>
      </c>
      <c r="T91" s="1091">
        <f t="shared" si="124"/>
        <v>211202.49</v>
      </c>
      <c r="U91" s="1091">
        <f t="shared" si="125"/>
        <v>598697.51</v>
      </c>
      <c r="V91" s="1091">
        <f t="shared" si="103"/>
        <v>26.077600938387455</v>
      </c>
      <c r="W91" s="1091"/>
      <c r="X91" s="1091">
        <f t="shared" si="126"/>
        <v>211202.49</v>
      </c>
      <c r="Y91" s="1091">
        <f t="shared" si="127"/>
        <v>598697.51</v>
      </c>
      <c r="Z91" s="1091">
        <f t="shared" si="128"/>
        <v>211202.49</v>
      </c>
      <c r="AA91" s="1091">
        <f t="shared" si="129"/>
        <v>598697.51</v>
      </c>
      <c r="AB91" s="1091">
        <f t="shared" si="130"/>
        <v>26.077600938387455</v>
      </c>
      <c r="AD91" s="650">
        <f t="shared" si="98"/>
        <v>0</v>
      </c>
      <c r="AI91" s="1277">
        <f>VLOOKUP(K91,'[2]ผลการเบิกจ่ายสะสม พ.ย. 66'!$C:$N,12,0)</f>
        <v>0</v>
      </c>
      <c r="AJ91" s="1274">
        <f t="shared" si="109"/>
        <v>-211202.49</v>
      </c>
    </row>
    <row r="92" spans="1:36" s="5" customFormat="1" x14ac:dyDescent="0.2">
      <c r="A92" s="33"/>
      <c r="B92" s="34" t="s">
        <v>197</v>
      </c>
      <c r="C92" s="902"/>
      <c r="D92" s="1096">
        <v>14990300</v>
      </c>
      <c r="E92" s="1097">
        <v>69380.12</v>
      </c>
      <c r="F92" s="1097"/>
      <c r="G92" s="1097"/>
      <c r="H92" s="1097">
        <v>0</v>
      </c>
      <c r="I92" s="1098">
        <v>7659000</v>
      </c>
      <c r="J92" s="1098">
        <v>347800</v>
      </c>
      <c r="K92" s="1029" t="s">
        <v>1336</v>
      </c>
      <c r="L92" s="1029" t="s">
        <v>1424</v>
      </c>
      <c r="M92" s="1097">
        <v>333000</v>
      </c>
      <c r="N92" s="1097">
        <v>347800</v>
      </c>
      <c r="O92" s="1097"/>
      <c r="P92" s="1097"/>
      <c r="Q92" s="1097"/>
      <c r="R92" s="1097"/>
      <c r="S92" s="1268">
        <f>12600+40936.8</f>
        <v>53536.800000000003</v>
      </c>
      <c r="T92" s="1091">
        <f t="shared" si="124"/>
        <v>53536.800000000003</v>
      </c>
      <c r="U92" s="1091">
        <f t="shared" si="125"/>
        <v>294263.2</v>
      </c>
      <c r="V92" s="1091">
        <f t="shared" si="103"/>
        <v>15.392984473835538</v>
      </c>
      <c r="W92" s="1091"/>
      <c r="X92" s="1091">
        <f t="shared" si="126"/>
        <v>53536.800000000003</v>
      </c>
      <c r="Y92" s="1091">
        <f t="shared" si="127"/>
        <v>294263.2</v>
      </c>
      <c r="Z92" s="1091">
        <f t="shared" si="128"/>
        <v>53536.800000000003</v>
      </c>
      <c r="AA92" s="1091">
        <f t="shared" si="129"/>
        <v>294263.2</v>
      </c>
      <c r="AB92" s="1091">
        <f t="shared" si="130"/>
        <v>15.392984473835538</v>
      </c>
      <c r="AD92" s="650">
        <f t="shared" si="98"/>
        <v>0</v>
      </c>
      <c r="AI92" s="1277">
        <f>VLOOKUP(K92,'[2]ผลการเบิกจ่ายสะสม พ.ย. 66'!$C:$N,12,0)</f>
        <v>53536.800000000003</v>
      </c>
      <c r="AJ92" s="1274">
        <f t="shared" si="109"/>
        <v>0</v>
      </c>
    </row>
    <row r="93" spans="1:36" s="5" customFormat="1" ht="21" customHeight="1" outlineLevel="1" x14ac:dyDescent="0.2">
      <c r="A93" s="71"/>
      <c r="B93" s="903" t="s">
        <v>850</v>
      </c>
      <c r="C93" s="904"/>
      <c r="D93" s="1096">
        <v>5000000</v>
      </c>
      <c r="E93" s="1128">
        <v>0</v>
      </c>
      <c r="F93" s="1128"/>
      <c r="G93" s="1128"/>
      <c r="H93" s="1128"/>
      <c r="I93" s="1129"/>
      <c r="J93" s="1129"/>
      <c r="K93" s="1029" t="s">
        <v>1337</v>
      </c>
      <c r="L93" s="1029" t="s">
        <v>1424</v>
      </c>
      <c r="M93" s="1128"/>
      <c r="N93" s="1128"/>
      <c r="O93" s="1128"/>
      <c r="P93" s="1128"/>
      <c r="Q93" s="1128"/>
      <c r="R93" s="1128"/>
      <c r="S93" s="1251"/>
      <c r="T93" s="1091">
        <f t="shared" si="124"/>
        <v>0</v>
      </c>
      <c r="U93" s="1091">
        <f t="shared" si="125"/>
        <v>0</v>
      </c>
      <c r="V93" s="1091">
        <f t="shared" si="103"/>
        <v>0</v>
      </c>
      <c r="W93" s="1091"/>
      <c r="X93" s="1091">
        <f t="shared" si="126"/>
        <v>0</v>
      </c>
      <c r="Y93" s="1091">
        <f t="shared" si="127"/>
        <v>0</v>
      </c>
      <c r="Z93" s="1091">
        <f t="shared" si="128"/>
        <v>0</v>
      </c>
      <c r="AA93" s="1091">
        <f t="shared" si="129"/>
        <v>0</v>
      </c>
      <c r="AB93" s="1091">
        <f t="shared" si="130"/>
        <v>0</v>
      </c>
      <c r="AD93" s="650">
        <f t="shared" si="98"/>
        <v>0</v>
      </c>
      <c r="AI93" s="1277" t="e">
        <f>VLOOKUP(K93,'[2]ผลการเบิกจ่ายสะสม พ.ย. 66'!$C:$N,12,0)</f>
        <v>#N/A</v>
      </c>
      <c r="AJ93" s="1274" t="e">
        <f t="shared" si="109"/>
        <v>#N/A</v>
      </c>
    </row>
    <row r="94" spans="1:36" s="5" customFormat="1" ht="21" customHeight="1" outlineLevel="1" x14ac:dyDescent="0.2">
      <c r="A94" s="71"/>
      <c r="B94" s="903" t="s">
        <v>851</v>
      </c>
      <c r="C94" s="904"/>
      <c r="D94" s="1096"/>
      <c r="E94" s="1097"/>
      <c r="F94" s="1097"/>
      <c r="G94" s="1097"/>
      <c r="H94" s="1097"/>
      <c r="I94" s="1098"/>
      <c r="J94" s="1098"/>
      <c r="K94" s="1029" t="s">
        <v>1337</v>
      </c>
      <c r="L94" s="1029" t="s">
        <v>1424</v>
      </c>
      <c r="M94" s="1097"/>
      <c r="N94" s="1097"/>
      <c r="O94" s="1097"/>
      <c r="P94" s="1097"/>
      <c r="Q94" s="1097"/>
      <c r="R94" s="1097"/>
      <c r="S94" s="1105"/>
      <c r="T94" s="1091">
        <f t="shared" si="124"/>
        <v>0</v>
      </c>
      <c r="U94" s="1091">
        <f t="shared" si="125"/>
        <v>0</v>
      </c>
      <c r="V94" s="1091">
        <f t="shared" si="103"/>
        <v>0</v>
      </c>
      <c r="W94" s="1091"/>
      <c r="X94" s="1091">
        <f t="shared" si="126"/>
        <v>0</v>
      </c>
      <c r="Y94" s="1091">
        <f t="shared" si="127"/>
        <v>0</v>
      </c>
      <c r="Z94" s="1091">
        <f t="shared" si="128"/>
        <v>0</v>
      </c>
      <c r="AA94" s="1091">
        <f t="shared" si="129"/>
        <v>0</v>
      </c>
      <c r="AB94" s="1091">
        <f t="shared" si="130"/>
        <v>0</v>
      </c>
      <c r="AD94" s="650">
        <f t="shared" si="98"/>
        <v>0</v>
      </c>
      <c r="AI94" s="1277" t="e">
        <f>VLOOKUP(K94,'[2]ผลการเบิกจ่ายสะสม พ.ย. 66'!$C:$N,12,0)</f>
        <v>#N/A</v>
      </c>
      <c r="AJ94" s="1274" t="e">
        <f t="shared" si="109"/>
        <v>#N/A</v>
      </c>
    </row>
    <row r="95" spans="1:36" s="5" customFormat="1" x14ac:dyDescent="0.2">
      <c r="A95" s="71"/>
      <c r="B95" s="72" t="s">
        <v>852</v>
      </c>
      <c r="C95" s="905"/>
      <c r="D95" s="1096">
        <v>24980700</v>
      </c>
      <c r="E95" s="1097">
        <v>760436</v>
      </c>
      <c r="F95" s="1097"/>
      <c r="G95" s="1097"/>
      <c r="H95" s="1097">
        <v>22894400</v>
      </c>
      <c r="I95" s="1098">
        <v>292295000</v>
      </c>
      <c r="J95" s="1098">
        <v>47096100</v>
      </c>
      <c r="K95" s="1029" t="s">
        <v>1338</v>
      </c>
      <c r="L95" s="1029" t="s">
        <v>1424</v>
      </c>
      <c r="M95" s="1097">
        <v>47096100</v>
      </c>
      <c r="N95" s="1097">
        <v>47096100</v>
      </c>
      <c r="O95" s="1097"/>
      <c r="P95" s="1097"/>
      <c r="Q95" s="1268">
        <f>13528.96</f>
        <v>13528.96</v>
      </c>
      <c r="R95" s="1097"/>
      <c r="S95" s="1268">
        <f>780230.61+143517.94</f>
        <v>923748.55</v>
      </c>
      <c r="T95" s="1091">
        <f t="shared" si="124"/>
        <v>923748.55</v>
      </c>
      <c r="U95" s="1091">
        <f t="shared" si="125"/>
        <v>46172351.450000003</v>
      </c>
      <c r="V95" s="1091">
        <f t="shared" si="103"/>
        <v>1.9614119852811591</v>
      </c>
      <c r="W95" s="1091"/>
      <c r="X95" s="1091">
        <f t="shared" si="126"/>
        <v>937277.51</v>
      </c>
      <c r="Y95" s="1091">
        <f t="shared" si="127"/>
        <v>46158822.490000002</v>
      </c>
      <c r="Z95" s="1091">
        <f t="shared" si="128"/>
        <v>937277.51</v>
      </c>
      <c r="AA95" s="1091">
        <f t="shared" si="129"/>
        <v>46158822.490000002</v>
      </c>
      <c r="AB95" s="1091">
        <f t="shared" si="130"/>
        <v>1.9901382704725019</v>
      </c>
      <c r="AD95" s="650">
        <f t="shared" si="98"/>
        <v>0</v>
      </c>
      <c r="AI95" s="1277">
        <f>VLOOKUP(K95,'[2]ผลการเบิกจ่ายสะสม พ.ย. 66'!$C:$N,12,0)</f>
        <v>923748.55</v>
      </c>
      <c r="AJ95" s="1274">
        <f t="shared" si="109"/>
        <v>0</v>
      </c>
    </row>
    <row r="96" spans="1:36" s="5" customFormat="1" x14ac:dyDescent="0.2">
      <c r="A96" s="77"/>
      <c r="B96" s="111"/>
      <c r="C96" s="271" t="s">
        <v>853</v>
      </c>
      <c r="D96" s="1112"/>
      <c r="E96" s="1130"/>
      <c r="F96" s="1130"/>
      <c r="G96" s="1130"/>
      <c r="H96" s="1130"/>
      <c r="I96" s="1114"/>
      <c r="J96" s="1114"/>
      <c r="K96" s="1036"/>
      <c r="L96" s="1036"/>
      <c r="M96" s="1130"/>
      <c r="N96" s="1130"/>
      <c r="O96" s="1130"/>
      <c r="P96" s="1130"/>
      <c r="Q96" s="1130"/>
      <c r="R96" s="1130"/>
      <c r="S96" s="1249"/>
      <c r="T96" s="1091">
        <f t="shared" si="124"/>
        <v>0</v>
      </c>
      <c r="U96" s="1091">
        <f t="shared" si="125"/>
        <v>0</v>
      </c>
      <c r="V96" s="1091">
        <f t="shared" si="103"/>
        <v>0</v>
      </c>
      <c r="W96" s="1091"/>
      <c r="X96" s="1091">
        <f t="shared" si="126"/>
        <v>0</v>
      </c>
      <c r="Y96" s="1091">
        <f t="shared" si="127"/>
        <v>0</v>
      </c>
      <c r="Z96" s="1091">
        <f t="shared" si="128"/>
        <v>0</v>
      </c>
      <c r="AA96" s="1091">
        <f t="shared" si="129"/>
        <v>0</v>
      </c>
      <c r="AB96" s="1091">
        <f t="shared" si="130"/>
        <v>0</v>
      </c>
      <c r="AD96" s="650">
        <f t="shared" si="98"/>
        <v>0</v>
      </c>
      <c r="AI96" s="1277">
        <f>VLOOKUP(K96,'[2]ผลการเบิกจ่ายสะสม พ.ย. 66'!$C:$N,12,0)</f>
        <v>0</v>
      </c>
      <c r="AJ96" s="1274">
        <f t="shared" si="109"/>
        <v>0</v>
      </c>
    </row>
    <row r="97" spans="1:36" s="5" customFormat="1" x14ac:dyDescent="0.2">
      <c r="A97" s="71"/>
      <c r="B97" s="72" t="s">
        <v>854</v>
      </c>
      <c r="C97" s="905"/>
      <c r="D97" s="1096">
        <v>29796100</v>
      </c>
      <c r="E97" s="1097">
        <v>4334454.05</v>
      </c>
      <c r="F97" s="1097"/>
      <c r="G97" s="1097"/>
      <c r="H97" s="1097">
        <f>SUM(H98:H100)</f>
        <v>479252200</v>
      </c>
      <c r="I97" s="1098">
        <v>586452300</v>
      </c>
      <c r="J97" s="1098">
        <f>SUM(J98:J100)</f>
        <v>449122300</v>
      </c>
      <c r="K97" s="1029" t="s">
        <v>1339</v>
      </c>
      <c r="L97" s="1029" t="s">
        <v>1424</v>
      </c>
      <c r="M97" s="1228">
        <v>39596100</v>
      </c>
      <c r="N97" s="1097">
        <f>SUM(N98:N100)</f>
        <v>0</v>
      </c>
      <c r="O97" s="1228"/>
      <c r="P97" s="1228"/>
      <c r="Q97" s="1228"/>
      <c r="R97" s="1228"/>
      <c r="S97" s="1228"/>
      <c r="T97" s="1091">
        <f t="shared" si="124"/>
        <v>0</v>
      </c>
      <c r="U97" s="1091">
        <f t="shared" si="125"/>
        <v>0</v>
      </c>
      <c r="V97" s="1091">
        <f t="shared" si="103"/>
        <v>0</v>
      </c>
      <c r="W97" s="1091"/>
      <c r="X97" s="1091">
        <f t="shared" si="126"/>
        <v>0</v>
      </c>
      <c r="Y97" s="1091">
        <f t="shared" si="127"/>
        <v>0</v>
      </c>
      <c r="Z97" s="1091">
        <f t="shared" si="128"/>
        <v>0</v>
      </c>
      <c r="AA97" s="1091">
        <f t="shared" si="129"/>
        <v>0</v>
      </c>
      <c r="AB97" s="1091">
        <f t="shared" si="130"/>
        <v>0</v>
      </c>
      <c r="AD97" s="650">
        <f t="shared" si="98"/>
        <v>0</v>
      </c>
      <c r="AI97" s="1277" t="e">
        <f>VLOOKUP(K97,'[2]ผลการเบิกจ่ายสะสม พ.ย. 66'!$C:$N,12,0)</f>
        <v>#N/A</v>
      </c>
      <c r="AJ97" s="1274" t="e">
        <f t="shared" si="109"/>
        <v>#N/A</v>
      </c>
    </row>
    <row r="98" spans="1:36" s="5" customFormat="1" ht="21" customHeight="1" outlineLevel="1" x14ac:dyDescent="0.2">
      <c r="A98" s="90"/>
      <c r="B98" s="254"/>
      <c r="C98" s="27" t="s">
        <v>51</v>
      </c>
      <c r="D98" s="1131"/>
      <c r="E98" s="1132"/>
      <c r="F98" s="1132"/>
      <c r="G98" s="1132"/>
      <c r="H98" s="1132">
        <v>408502200</v>
      </c>
      <c r="I98" s="1133">
        <v>586452300</v>
      </c>
      <c r="J98" s="1133">
        <v>449122300</v>
      </c>
      <c r="K98" s="1037"/>
      <c r="L98" s="1037"/>
      <c r="M98" s="1228">
        <v>7500000</v>
      </c>
      <c r="N98" s="1228">
        <v>0</v>
      </c>
      <c r="O98" s="1228"/>
      <c r="P98" s="1228"/>
      <c r="Q98" s="1228"/>
      <c r="R98" s="1228"/>
      <c r="S98" s="1228"/>
      <c r="T98" s="1091">
        <f t="shared" si="124"/>
        <v>0</v>
      </c>
      <c r="U98" s="1091">
        <f t="shared" si="125"/>
        <v>0</v>
      </c>
      <c r="V98" s="1091">
        <f t="shared" si="103"/>
        <v>0</v>
      </c>
      <c r="W98" s="1091"/>
      <c r="X98" s="1091">
        <f t="shared" si="126"/>
        <v>0</v>
      </c>
      <c r="Y98" s="1091">
        <f t="shared" si="127"/>
        <v>0</v>
      </c>
      <c r="Z98" s="1091">
        <f t="shared" si="128"/>
        <v>0</v>
      </c>
      <c r="AA98" s="1091">
        <f t="shared" si="129"/>
        <v>0</v>
      </c>
      <c r="AB98" s="1091">
        <f t="shared" si="130"/>
        <v>0</v>
      </c>
      <c r="AD98" s="650">
        <f t="shared" si="98"/>
        <v>0</v>
      </c>
      <c r="AI98" s="1277">
        <f>VLOOKUP(K98,'[2]ผลการเบิกจ่ายสะสม พ.ย. 66'!$C:$N,12,0)</f>
        <v>0</v>
      </c>
      <c r="AJ98" s="1274">
        <f t="shared" si="109"/>
        <v>0</v>
      </c>
    </row>
    <row r="99" spans="1:36" s="5" customFormat="1" ht="21" customHeight="1" outlineLevel="1" x14ac:dyDescent="0.2">
      <c r="A99" s="90"/>
      <c r="B99" s="254"/>
      <c r="C99" s="906" t="s">
        <v>50</v>
      </c>
      <c r="D99" s="1131"/>
      <c r="E99" s="1132"/>
      <c r="F99" s="1132"/>
      <c r="G99" s="1132"/>
      <c r="H99" s="1132">
        <v>69850000</v>
      </c>
      <c r="I99" s="1133"/>
      <c r="J99" s="1133"/>
      <c r="K99" s="1037"/>
      <c r="L99" s="1037"/>
      <c r="M99" s="1097">
        <f t="shared" ref="M99:S99" si="131">SUM(M100:M102)</f>
        <v>0</v>
      </c>
      <c r="N99" s="1228"/>
      <c r="O99" s="1097">
        <f t="shared" si="131"/>
        <v>0</v>
      </c>
      <c r="P99" s="1097">
        <f t="shared" si="131"/>
        <v>0</v>
      </c>
      <c r="Q99" s="1097">
        <f t="shared" si="131"/>
        <v>0</v>
      </c>
      <c r="R99" s="1097">
        <f t="shared" si="131"/>
        <v>0</v>
      </c>
      <c r="S99" s="1097">
        <f t="shared" si="131"/>
        <v>0</v>
      </c>
      <c r="T99" s="1091">
        <f t="shared" si="124"/>
        <v>0</v>
      </c>
      <c r="U99" s="1091">
        <f t="shared" si="125"/>
        <v>0</v>
      </c>
      <c r="V99" s="1091">
        <f t="shared" si="103"/>
        <v>0</v>
      </c>
      <c r="W99" s="1091"/>
      <c r="X99" s="1091">
        <f t="shared" si="126"/>
        <v>0</v>
      </c>
      <c r="Y99" s="1091">
        <f t="shared" si="127"/>
        <v>0</v>
      </c>
      <c r="Z99" s="1091">
        <f t="shared" si="128"/>
        <v>0</v>
      </c>
      <c r="AA99" s="1091">
        <f t="shared" si="129"/>
        <v>0</v>
      </c>
      <c r="AB99" s="1091">
        <f t="shared" si="130"/>
        <v>0</v>
      </c>
      <c r="AD99" s="650">
        <f t="shared" si="98"/>
        <v>0</v>
      </c>
      <c r="AI99" s="1277">
        <f>VLOOKUP(K99,'[2]ผลการเบิกจ่ายสะสม พ.ย. 66'!$C:$N,12,0)</f>
        <v>0</v>
      </c>
      <c r="AJ99" s="1274">
        <f t="shared" si="109"/>
        <v>0</v>
      </c>
    </row>
    <row r="100" spans="1:36" s="5" customFormat="1" ht="21" customHeight="1" outlineLevel="1" x14ac:dyDescent="0.2">
      <c r="A100" s="90"/>
      <c r="B100" s="254"/>
      <c r="C100" s="897" t="s">
        <v>76</v>
      </c>
      <c r="D100" s="1131"/>
      <c r="E100" s="1132"/>
      <c r="F100" s="1132"/>
      <c r="G100" s="1132"/>
      <c r="H100" s="1132">
        <v>900000</v>
      </c>
      <c r="I100" s="1133"/>
      <c r="J100" s="1133"/>
      <c r="K100" s="1037"/>
      <c r="L100" s="1037"/>
      <c r="M100" s="1228"/>
      <c r="N100" s="1228"/>
      <c r="O100" s="1228"/>
      <c r="P100" s="1228"/>
      <c r="Q100" s="1228"/>
      <c r="R100" s="1228"/>
      <c r="S100" s="1228"/>
      <c r="T100" s="1091">
        <f t="shared" si="124"/>
        <v>0</v>
      </c>
      <c r="U100" s="1091">
        <f t="shared" si="125"/>
        <v>0</v>
      </c>
      <c r="V100" s="1091">
        <f t="shared" si="103"/>
        <v>0</v>
      </c>
      <c r="W100" s="1091"/>
      <c r="X100" s="1091">
        <f t="shared" si="126"/>
        <v>0</v>
      </c>
      <c r="Y100" s="1091">
        <f t="shared" si="127"/>
        <v>0</v>
      </c>
      <c r="Z100" s="1091">
        <f t="shared" si="128"/>
        <v>0</v>
      </c>
      <c r="AA100" s="1091">
        <f t="shared" si="129"/>
        <v>0</v>
      </c>
      <c r="AB100" s="1091">
        <f t="shared" si="130"/>
        <v>0</v>
      </c>
      <c r="AD100" s="650">
        <f t="shared" si="98"/>
        <v>0</v>
      </c>
      <c r="AI100" s="1277">
        <f>VLOOKUP(K100,'[2]ผลการเบิกจ่ายสะสม พ.ย. 66'!$C:$N,12,0)</f>
        <v>0</v>
      </c>
      <c r="AJ100" s="1274">
        <f t="shared" si="109"/>
        <v>0</v>
      </c>
    </row>
    <row r="101" spans="1:36" s="5" customFormat="1" ht="19.5" customHeight="1" x14ac:dyDescent="0.2">
      <c r="A101" s="90"/>
      <c r="B101" s="72" t="s">
        <v>855</v>
      </c>
      <c r="C101" s="27"/>
      <c r="D101" s="1112">
        <f>SUM(D102:D103)</f>
        <v>9204000</v>
      </c>
      <c r="E101" s="1134">
        <f>SUM(E102:E103)</f>
        <v>2412280</v>
      </c>
      <c r="F101" s="1134">
        <f>SUM(F102:F103)</f>
        <v>0</v>
      </c>
      <c r="G101" s="1134">
        <f>SUM(G102:G103)</f>
        <v>0</v>
      </c>
      <c r="H101" s="1134">
        <f>SUM(H102:H103)</f>
        <v>0</v>
      </c>
      <c r="I101" s="1135">
        <v>15711000</v>
      </c>
      <c r="J101" s="1135">
        <f>SUM(J102:J103)</f>
        <v>0</v>
      </c>
      <c r="K101" s="1029"/>
      <c r="L101" s="1029"/>
      <c r="M101" s="1228"/>
      <c r="N101" s="1229">
        <f>SUM(N102:N103)</f>
        <v>0</v>
      </c>
      <c r="O101" s="1228"/>
      <c r="P101" s="1228"/>
      <c r="Q101" s="1228"/>
      <c r="R101" s="1228"/>
      <c r="S101" s="1228"/>
      <c r="T101" s="1091">
        <f t="shared" si="124"/>
        <v>0</v>
      </c>
      <c r="U101" s="1091">
        <f t="shared" si="125"/>
        <v>0</v>
      </c>
      <c r="V101" s="1091">
        <f t="shared" si="103"/>
        <v>0</v>
      </c>
      <c r="W101" s="1091"/>
      <c r="X101" s="1091">
        <f t="shared" si="126"/>
        <v>0</v>
      </c>
      <c r="Y101" s="1091">
        <f t="shared" si="127"/>
        <v>0</v>
      </c>
      <c r="Z101" s="1091">
        <f t="shared" si="128"/>
        <v>0</v>
      </c>
      <c r="AA101" s="1091">
        <f t="shared" si="129"/>
        <v>0</v>
      </c>
      <c r="AB101" s="1091">
        <f t="shared" si="130"/>
        <v>0</v>
      </c>
      <c r="AD101" s="650">
        <f t="shared" si="98"/>
        <v>0</v>
      </c>
      <c r="AI101" s="1277">
        <f>VLOOKUP(K101,'[2]ผลการเบิกจ่ายสะสม พ.ย. 66'!$C:$N,12,0)</f>
        <v>0</v>
      </c>
      <c r="AJ101" s="1274">
        <f t="shared" si="109"/>
        <v>0</v>
      </c>
    </row>
    <row r="102" spans="1:36" s="5" customFormat="1" ht="21" customHeight="1" outlineLevel="1" x14ac:dyDescent="0.2">
      <c r="A102" s="184"/>
      <c r="B102" s="140"/>
      <c r="C102" s="27" t="s">
        <v>51</v>
      </c>
      <c r="D102" s="1090">
        <v>9204000</v>
      </c>
      <c r="E102" s="1108">
        <v>2412280</v>
      </c>
      <c r="F102" s="1108"/>
      <c r="G102" s="1108"/>
      <c r="H102" s="1108">
        <v>0</v>
      </c>
      <c r="I102" s="1092">
        <v>13236000</v>
      </c>
      <c r="J102" s="1092">
        <v>0</v>
      </c>
      <c r="K102" s="1032"/>
      <c r="L102" s="1032"/>
      <c r="M102" s="1228"/>
      <c r="N102" s="1091">
        <v>0</v>
      </c>
      <c r="O102" s="1228"/>
      <c r="P102" s="1228"/>
      <c r="Q102" s="1228"/>
      <c r="R102" s="1228"/>
      <c r="S102" s="1228"/>
      <c r="T102" s="1091">
        <f t="shared" si="124"/>
        <v>0</v>
      </c>
      <c r="U102" s="1091">
        <f t="shared" si="125"/>
        <v>0</v>
      </c>
      <c r="V102" s="1091">
        <f t="shared" si="103"/>
        <v>0</v>
      </c>
      <c r="W102" s="1091"/>
      <c r="X102" s="1091">
        <f t="shared" si="126"/>
        <v>0</v>
      </c>
      <c r="Y102" s="1091">
        <f t="shared" si="127"/>
        <v>0</v>
      </c>
      <c r="Z102" s="1091">
        <f t="shared" si="128"/>
        <v>0</v>
      </c>
      <c r="AA102" s="1091">
        <f t="shared" si="129"/>
        <v>0</v>
      </c>
      <c r="AB102" s="1091">
        <f t="shared" si="130"/>
        <v>0</v>
      </c>
      <c r="AD102" s="650">
        <f t="shared" si="98"/>
        <v>0</v>
      </c>
      <c r="AI102" s="1277">
        <f>VLOOKUP(K102,'[2]ผลการเบิกจ่ายสะสม พ.ย. 66'!$C:$N,12,0)</f>
        <v>0</v>
      </c>
      <c r="AJ102" s="1274">
        <f t="shared" si="109"/>
        <v>0</v>
      </c>
    </row>
    <row r="103" spans="1:36" s="5" customFormat="1" ht="21" customHeight="1" outlineLevel="1" x14ac:dyDescent="0.2">
      <c r="A103" s="907"/>
      <c r="B103" s="908"/>
      <c r="C103" s="27" t="s">
        <v>849</v>
      </c>
      <c r="D103" s="1131"/>
      <c r="E103" s="1132"/>
      <c r="F103" s="1132"/>
      <c r="G103" s="1132"/>
      <c r="H103" s="1132"/>
      <c r="I103" s="1133">
        <v>2475000</v>
      </c>
      <c r="J103" s="1133">
        <v>0</v>
      </c>
      <c r="K103" s="1037"/>
      <c r="L103" s="1037"/>
      <c r="M103" s="1229">
        <f t="shared" ref="M103:U103" si="132">SUM(M104:M105)</f>
        <v>0</v>
      </c>
      <c r="N103" s="1228">
        <v>0</v>
      </c>
      <c r="O103" s="1229">
        <f t="shared" si="132"/>
        <v>0</v>
      </c>
      <c r="P103" s="1229">
        <f t="shared" si="132"/>
        <v>0</v>
      </c>
      <c r="Q103" s="1229">
        <f t="shared" si="132"/>
        <v>0</v>
      </c>
      <c r="R103" s="1229">
        <f t="shared" si="132"/>
        <v>0</v>
      </c>
      <c r="S103" s="1229">
        <f t="shared" si="132"/>
        <v>0</v>
      </c>
      <c r="T103" s="1229">
        <f t="shared" si="132"/>
        <v>0</v>
      </c>
      <c r="U103" s="1229">
        <f t="shared" si="132"/>
        <v>0</v>
      </c>
      <c r="V103" s="1229">
        <f t="shared" si="103"/>
        <v>0</v>
      </c>
      <c r="W103" s="1229">
        <f t="shared" ref="W103:AB103" si="133">SUM(W104:W105)</f>
        <v>0</v>
      </c>
      <c r="X103" s="1229">
        <f t="shared" si="133"/>
        <v>0</v>
      </c>
      <c r="Y103" s="1229">
        <f t="shared" si="133"/>
        <v>0</v>
      </c>
      <c r="Z103" s="1229">
        <f t="shared" si="133"/>
        <v>0</v>
      </c>
      <c r="AA103" s="1229">
        <f t="shared" si="133"/>
        <v>0</v>
      </c>
      <c r="AB103" s="1229">
        <f t="shared" si="133"/>
        <v>0</v>
      </c>
      <c r="AD103" s="650">
        <f t="shared" si="98"/>
        <v>0</v>
      </c>
      <c r="AI103" s="1277">
        <f>VLOOKUP(K103,'[2]ผลการเบิกจ่ายสะสม พ.ย. 66'!$C:$N,12,0)</f>
        <v>0</v>
      </c>
      <c r="AJ103" s="1274">
        <f t="shared" si="109"/>
        <v>0</v>
      </c>
    </row>
    <row r="104" spans="1:36" s="112" customFormat="1" x14ac:dyDescent="0.2">
      <c r="A104" s="907"/>
      <c r="B104" s="72" t="s">
        <v>328</v>
      </c>
      <c r="C104" s="909"/>
      <c r="D104" s="1112"/>
      <c r="E104" s="1113"/>
      <c r="F104" s="1113"/>
      <c r="G104" s="1113"/>
      <c r="H104" s="1113"/>
      <c r="I104" s="1114">
        <v>2253000</v>
      </c>
      <c r="J104" s="1114">
        <f>SUM(J105:J106)</f>
        <v>0</v>
      </c>
      <c r="K104" s="1029"/>
      <c r="L104" s="1029"/>
      <c r="M104" s="1091"/>
      <c r="N104" s="1130">
        <f>SUM(N105:N106)</f>
        <v>0</v>
      </c>
      <c r="O104" s="1091"/>
      <c r="P104" s="1091"/>
      <c r="Q104" s="1091"/>
      <c r="R104" s="1091"/>
      <c r="S104" s="1160"/>
      <c r="T104" s="1091">
        <f t="shared" ref="T104:T106" si="134">+R104+S104</f>
        <v>0</v>
      </c>
      <c r="U104" s="1091">
        <f t="shared" ref="U104:U106" si="135">+N104+O104-T104</f>
        <v>0</v>
      </c>
      <c r="V104" s="1091">
        <f t="shared" si="103"/>
        <v>0</v>
      </c>
      <c r="W104" s="1091"/>
      <c r="X104" s="1091">
        <f t="shared" ref="X104:X106" si="136">+T104+Q104</f>
        <v>0</v>
      </c>
      <c r="Y104" s="1091">
        <f t="shared" ref="Y104:Y106" si="137">+U104-Q104</f>
        <v>0</v>
      </c>
      <c r="Z104" s="1091">
        <f t="shared" ref="Z104:Z106" si="138">+T104+Q104+P104</f>
        <v>0</v>
      </c>
      <c r="AA104" s="1091">
        <f t="shared" ref="AA104:AA106" si="139">+U104-Q104-P104</f>
        <v>0</v>
      </c>
      <c r="AB104" s="1091">
        <f t="shared" ref="AB104:AB106" si="140">IFERROR(Z104*100/(N104+O104),0)</f>
        <v>0</v>
      </c>
      <c r="AD104" s="650">
        <f t="shared" si="98"/>
        <v>0</v>
      </c>
      <c r="AI104" s="1277">
        <f>VLOOKUP(K104,'[2]ผลการเบิกจ่ายสะสม พ.ย. 66'!$C:$N,12,0)</f>
        <v>0</v>
      </c>
      <c r="AJ104" s="1274">
        <f t="shared" si="109"/>
        <v>0</v>
      </c>
    </row>
    <row r="105" spans="1:36" s="5" customFormat="1" ht="21" customHeight="1" outlineLevel="1" x14ac:dyDescent="0.2">
      <c r="A105" s="907"/>
      <c r="B105" s="211"/>
      <c r="C105" s="27" t="s">
        <v>51</v>
      </c>
      <c r="D105" s="1131"/>
      <c r="E105" s="1132"/>
      <c r="F105" s="1132"/>
      <c r="G105" s="1132"/>
      <c r="H105" s="1132"/>
      <c r="I105" s="1133">
        <v>2253000</v>
      </c>
      <c r="J105" s="1133">
        <v>0</v>
      </c>
      <c r="K105" s="1037"/>
      <c r="L105" s="1037"/>
      <c r="M105" s="1228"/>
      <c r="N105" s="1228">
        <v>0</v>
      </c>
      <c r="O105" s="1228"/>
      <c r="P105" s="1228"/>
      <c r="Q105" s="1228"/>
      <c r="R105" s="1228"/>
      <c r="S105" s="1252"/>
      <c r="T105" s="1091">
        <f t="shared" si="134"/>
        <v>0</v>
      </c>
      <c r="U105" s="1091">
        <f t="shared" si="135"/>
        <v>0</v>
      </c>
      <c r="V105" s="1091">
        <f t="shared" si="103"/>
        <v>0</v>
      </c>
      <c r="W105" s="1091"/>
      <c r="X105" s="1091">
        <f t="shared" si="136"/>
        <v>0</v>
      </c>
      <c r="Y105" s="1091">
        <f t="shared" si="137"/>
        <v>0</v>
      </c>
      <c r="Z105" s="1091">
        <f t="shared" si="138"/>
        <v>0</v>
      </c>
      <c r="AA105" s="1091">
        <f t="shared" si="139"/>
        <v>0</v>
      </c>
      <c r="AB105" s="1091">
        <f t="shared" si="140"/>
        <v>0</v>
      </c>
      <c r="AD105" s="650">
        <f t="shared" si="98"/>
        <v>0</v>
      </c>
      <c r="AI105" s="1277">
        <f>VLOOKUP(K105,'[2]ผลการเบิกจ่ายสะสม พ.ย. 66'!$C:$N,12,0)</f>
        <v>0</v>
      </c>
      <c r="AJ105" s="1274">
        <f t="shared" si="109"/>
        <v>0</v>
      </c>
    </row>
    <row r="106" spans="1:36" s="5" customFormat="1" ht="21" customHeight="1" outlineLevel="1" x14ac:dyDescent="0.2">
      <c r="A106" s="907"/>
      <c r="B106" s="211"/>
      <c r="C106" s="27" t="s">
        <v>849</v>
      </c>
      <c r="D106" s="1131"/>
      <c r="E106" s="1132"/>
      <c r="F106" s="1132"/>
      <c r="G106" s="1132"/>
      <c r="H106" s="1132"/>
      <c r="I106" s="1133"/>
      <c r="J106" s="1133"/>
      <c r="K106" s="1037"/>
      <c r="L106" s="1037"/>
      <c r="M106" s="1130"/>
      <c r="N106" s="1228"/>
      <c r="O106" s="1130"/>
      <c r="P106" s="1130"/>
      <c r="Q106" s="1130"/>
      <c r="R106" s="1130"/>
      <c r="S106" s="1249"/>
      <c r="T106" s="1091">
        <f t="shared" si="134"/>
        <v>0</v>
      </c>
      <c r="U106" s="1091">
        <f t="shared" si="135"/>
        <v>0</v>
      </c>
      <c r="V106" s="1091">
        <f t="shared" si="103"/>
        <v>0</v>
      </c>
      <c r="W106" s="1091"/>
      <c r="X106" s="1091">
        <f t="shared" si="136"/>
        <v>0</v>
      </c>
      <c r="Y106" s="1091">
        <f t="shared" si="137"/>
        <v>0</v>
      </c>
      <c r="Z106" s="1091">
        <f t="shared" si="138"/>
        <v>0</v>
      </c>
      <c r="AA106" s="1091">
        <f t="shared" si="139"/>
        <v>0</v>
      </c>
      <c r="AB106" s="1091">
        <f t="shared" si="140"/>
        <v>0</v>
      </c>
      <c r="AD106" s="650">
        <f t="shared" si="98"/>
        <v>0</v>
      </c>
      <c r="AI106" s="1277">
        <f>VLOOKUP(K106,'[2]ผลการเบิกจ่ายสะสม พ.ย. 66'!$C:$N,12,0)</f>
        <v>0</v>
      </c>
      <c r="AJ106" s="1274">
        <f t="shared" si="109"/>
        <v>0</v>
      </c>
    </row>
    <row r="107" spans="1:36" s="5" customFormat="1" x14ac:dyDescent="0.2">
      <c r="A107" s="96"/>
      <c r="B107" s="97" t="s">
        <v>856</v>
      </c>
      <c r="C107" s="97"/>
      <c r="D107" s="1112">
        <f>SUM(D108:D112)</f>
        <v>9500000</v>
      </c>
      <c r="E107" s="1113">
        <f>SUM(E108:E112)</f>
        <v>2879037.28</v>
      </c>
      <c r="F107" s="1113"/>
      <c r="G107" s="1113"/>
      <c r="H107" s="1113">
        <f>SUM(H108:H112)</f>
        <v>2453600</v>
      </c>
      <c r="I107" s="1114">
        <v>6920100</v>
      </c>
      <c r="J107" s="1114">
        <f>SUM(J108:J112)</f>
        <v>2453600</v>
      </c>
      <c r="K107" s="1029" t="s">
        <v>1340</v>
      </c>
      <c r="L107" s="1029" t="s">
        <v>1424</v>
      </c>
      <c r="M107" s="1130">
        <f t="shared" ref="M107:U107" si="141">SUM(M108:M112)</f>
        <v>1244000</v>
      </c>
      <c r="N107" s="1130">
        <f t="shared" si="141"/>
        <v>1244000</v>
      </c>
      <c r="O107" s="1130">
        <f t="shared" si="141"/>
        <v>0</v>
      </c>
      <c r="P107" s="1130">
        <f t="shared" si="141"/>
        <v>0</v>
      </c>
      <c r="Q107" s="1130">
        <f t="shared" si="141"/>
        <v>0</v>
      </c>
      <c r="R107" s="1130">
        <f t="shared" si="141"/>
        <v>0</v>
      </c>
      <c r="S107" s="1270">
        <f>63743.2+65868</f>
        <v>129611.2</v>
      </c>
      <c r="T107" s="1130">
        <f t="shared" si="141"/>
        <v>129611.2</v>
      </c>
      <c r="U107" s="1130">
        <f t="shared" si="141"/>
        <v>1114388.8</v>
      </c>
      <c r="V107" s="1130">
        <f t="shared" si="103"/>
        <v>10.418906752411576</v>
      </c>
      <c r="W107" s="1130">
        <f t="shared" ref="W107:AB107" si="142">SUM(W108:W112)</f>
        <v>0</v>
      </c>
      <c r="X107" s="1130">
        <f t="shared" si="142"/>
        <v>129611.2</v>
      </c>
      <c r="Y107" s="1130">
        <f t="shared" si="142"/>
        <v>1114388.8</v>
      </c>
      <c r="Z107" s="1130">
        <f t="shared" si="142"/>
        <v>129611.2</v>
      </c>
      <c r="AA107" s="1130">
        <f t="shared" si="142"/>
        <v>1114388.8</v>
      </c>
      <c r="AB107" s="1130">
        <f t="shared" si="142"/>
        <v>13.817825159914712</v>
      </c>
      <c r="AD107" s="650">
        <f t="shared" si="98"/>
        <v>0</v>
      </c>
      <c r="AI107" s="1277">
        <f>VLOOKUP(K107,'[2]ผลการเบิกจ่ายสะสม พ.ย. 66'!$C:$N,12,0)</f>
        <v>129611.2</v>
      </c>
      <c r="AJ107" s="1274">
        <f t="shared" si="109"/>
        <v>0</v>
      </c>
    </row>
    <row r="108" spans="1:36" s="5" customFormat="1" ht="21" customHeight="1" outlineLevel="1" x14ac:dyDescent="0.2">
      <c r="A108" s="56"/>
      <c r="B108" s="36"/>
      <c r="C108" s="27" t="s">
        <v>51</v>
      </c>
      <c r="D108" s="1090">
        <v>3000000</v>
      </c>
      <c r="E108" s="1108">
        <v>2507637.2799999998</v>
      </c>
      <c r="F108" s="1108"/>
      <c r="G108" s="1108"/>
      <c r="H108" s="1108">
        <v>1850000</v>
      </c>
      <c r="I108" s="1092">
        <v>3062900</v>
      </c>
      <c r="J108" s="1092">
        <v>1850000</v>
      </c>
      <c r="K108" s="1032"/>
      <c r="L108" s="1032"/>
      <c r="M108" s="1091">
        <v>938000</v>
      </c>
      <c r="N108" s="1091">
        <v>938000</v>
      </c>
      <c r="O108" s="1091"/>
      <c r="P108" s="1091"/>
      <c r="Q108" s="1091"/>
      <c r="R108" s="1091"/>
      <c r="S108" s="1283">
        <f>129611.2</f>
        <v>129611.2</v>
      </c>
      <c r="T108" s="1091">
        <f t="shared" ref="T108:T113" si="143">+R108+S108</f>
        <v>129611.2</v>
      </c>
      <c r="U108" s="1091">
        <f t="shared" ref="U108:U113" si="144">+N108+O108-T108</f>
        <v>808388.8</v>
      </c>
      <c r="V108" s="1091">
        <f t="shared" si="103"/>
        <v>13.817825159914712</v>
      </c>
      <c r="W108" s="1091"/>
      <c r="X108" s="1091">
        <f t="shared" ref="X108:X113" si="145">+T108+Q108</f>
        <v>129611.2</v>
      </c>
      <c r="Y108" s="1091">
        <f t="shared" ref="Y108:Y113" si="146">+U108-Q108</f>
        <v>808388.8</v>
      </c>
      <c r="Z108" s="1091">
        <f t="shared" ref="Z108:Z113" si="147">+T108+Q108+P108</f>
        <v>129611.2</v>
      </c>
      <c r="AA108" s="1091">
        <f t="shared" ref="AA108:AA113" si="148">+U108-Q108-P108</f>
        <v>808388.8</v>
      </c>
      <c r="AB108" s="1091">
        <f t="shared" ref="AB108:AB113" si="149">IFERROR(Z108*100/(N108+O108),0)</f>
        <v>13.817825159914712</v>
      </c>
      <c r="AD108" s="650">
        <f t="shared" si="98"/>
        <v>0</v>
      </c>
      <c r="AI108" s="1277">
        <f>VLOOKUP(K108,'[2]ผลการเบิกจ่ายสะสม พ.ย. 66'!$C:$N,12,0)</f>
        <v>0</v>
      </c>
      <c r="AJ108" s="1274">
        <f t="shared" si="109"/>
        <v>-129611.2</v>
      </c>
    </row>
    <row r="109" spans="1:36" s="5" customFormat="1" ht="21" customHeight="1" outlineLevel="1" x14ac:dyDescent="0.2">
      <c r="A109" s="56"/>
      <c r="B109" s="36"/>
      <c r="C109" s="27" t="s">
        <v>52</v>
      </c>
      <c r="D109" s="1090">
        <v>400000</v>
      </c>
      <c r="E109" s="1108">
        <v>345000</v>
      </c>
      <c r="F109" s="1108"/>
      <c r="G109" s="1108"/>
      <c r="H109" s="1108">
        <v>180000</v>
      </c>
      <c r="I109" s="1092">
        <v>960000</v>
      </c>
      <c r="J109" s="1092">
        <v>180000</v>
      </c>
      <c r="K109" s="1033"/>
      <c r="L109" s="1033"/>
      <c r="M109" s="1160">
        <v>94000</v>
      </c>
      <c r="N109" s="1160">
        <v>94000</v>
      </c>
      <c r="O109" s="1160"/>
      <c r="P109" s="1160"/>
      <c r="Q109" s="1160"/>
      <c r="R109" s="1160"/>
      <c r="S109" s="1160"/>
      <c r="T109" s="1091">
        <f t="shared" si="143"/>
        <v>0</v>
      </c>
      <c r="U109" s="1091">
        <f t="shared" si="144"/>
        <v>94000</v>
      </c>
      <c r="V109" s="1091">
        <f t="shared" si="103"/>
        <v>0</v>
      </c>
      <c r="W109" s="1091"/>
      <c r="X109" s="1091">
        <f t="shared" si="145"/>
        <v>0</v>
      </c>
      <c r="Y109" s="1091">
        <f t="shared" si="146"/>
        <v>94000</v>
      </c>
      <c r="Z109" s="1091">
        <f t="shared" si="147"/>
        <v>0</v>
      </c>
      <c r="AA109" s="1091">
        <f t="shared" si="148"/>
        <v>94000</v>
      </c>
      <c r="AB109" s="1091">
        <f t="shared" si="149"/>
        <v>0</v>
      </c>
      <c r="AD109" s="650">
        <f t="shared" si="98"/>
        <v>0</v>
      </c>
      <c r="AI109" s="1277">
        <f>VLOOKUP(K109,'[2]ผลการเบิกจ่ายสะสม พ.ย. 66'!$C:$N,12,0)</f>
        <v>0</v>
      </c>
      <c r="AJ109" s="1274">
        <f t="shared" si="109"/>
        <v>0</v>
      </c>
    </row>
    <row r="110" spans="1:36" s="5" customFormat="1" ht="21" customHeight="1" outlineLevel="1" x14ac:dyDescent="0.2">
      <c r="A110" s="56"/>
      <c r="B110" s="36"/>
      <c r="C110" s="27" t="s">
        <v>53</v>
      </c>
      <c r="D110" s="1090">
        <v>3000000</v>
      </c>
      <c r="E110" s="1108">
        <v>26400</v>
      </c>
      <c r="F110" s="1108"/>
      <c r="G110" s="1108"/>
      <c r="H110" s="1108">
        <v>203600</v>
      </c>
      <c r="I110" s="1092">
        <v>600000</v>
      </c>
      <c r="J110" s="1092">
        <v>203600</v>
      </c>
      <c r="K110" s="1033"/>
      <c r="L110" s="1033"/>
      <c r="M110" s="1160">
        <v>103200</v>
      </c>
      <c r="N110" s="1160">
        <v>103200</v>
      </c>
      <c r="O110" s="1160"/>
      <c r="P110" s="1160"/>
      <c r="Q110" s="1160"/>
      <c r="R110" s="1160"/>
      <c r="S110" s="1160"/>
      <c r="T110" s="1091">
        <f t="shared" si="143"/>
        <v>0</v>
      </c>
      <c r="U110" s="1091">
        <f t="shared" si="144"/>
        <v>103200</v>
      </c>
      <c r="V110" s="1091">
        <f t="shared" si="103"/>
        <v>0</v>
      </c>
      <c r="W110" s="1091"/>
      <c r="X110" s="1091">
        <f t="shared" si="145"/>
        <v>0</v>
      </c>
      <c r="Y110" s="1091">
        <f t="shared" si="146"/>
        <v>103200</v>
      </c>
      <c r="Z110" s="1091">
        <f t="shared" si="147"/>
        <v>0</v>
      </c>
      <c r="AA110" s="1091">
        <f t="shared" si="148"/>
        <v>103200</v>
      </c>
      <c r="AB110" s="1091">
        <f t="shared" si="149"/>
        <v>0</v>
      </c>
      <c r="AD110" s="650">
        <f t="shared" si="98"/>
        <v>0</v>
      </c>
      <c r="AI110" s="1277">
        <f>VLOOKUP(K110,'[2]ผลการเบิกจ่ายสะสม พ.ย. 66'!$C:$N,12,0)</f>
        <v>0</v>
      </c>
      <c r="AJ110" s="1274">
        <f t="shared" si="109"/>
        <v>0</v>
      </c>
    </row>
    <row r="111" spans="1:36" s="5" customFormat="1" ht="21" customHeight="1" outlineLevel="1" x14ac:dyDescent="0.2">
      <c r="A111" s="56"/>
      <c r="B111" s="36"/>
      <c r="C111" s="27" t="s">
        <v>49</v>
      </c>
      <c r="D111" s="1090">
        <v>2200000</v>
      </c>
      <c r="E111" s="1108">
        <v>0</v>
      </c>
      <c r="F111" s="1108"/>
      <c r="G111" s="1108"/>
      <c r="H111" s="1108">
        <v>120000</v>
      </c>
      <c r="I111" s="1092">
        <v>2202000</v>
      </c>
      <c r="J111" s="1092">
        <v>120000</v>
      </c>
      <c r="K111" s="1033"/>
      <c r="L111" s="1033"/>
      <c r="M111" s="1160">
        <v>58100</v>
      </c>
      <c r="N111" s="1160">
        <v>58100</v>
      </c>
      <c r="O111" s="1160"/>
      <c r="P111" s="1160"/>
      <c r="Q111" s="1160"/>
      <c r="R111" s="1160"/>
      <c r="S111" s="1160"/>
      <c r="T111" s="1091">
        <f t="shared" si="143"/>
        <v>0</v>
      </c>
      <c r="U111" s="1091">
        <f t="shared" si="144"/>
        <v>58100</v>
      </c>
      <c r="V111" s="1091">
        <f t="shared" si="103"/>
        <v>0</v>
      </c>
      <c r="W111" s="1091"/>
      <c r="X111" s="1091">
        <f t="shared" si="145"/>
        <v>0</v>
      </c>
      <c r="Y111" s="1091">
        <f t="shared" si="146"/>
        <v>58100</v>
      </c>
      <c r="Z111" s="1091">
        <f t="shared" si="147"/>
        <v>0</v>
      </c>
      <c r="AA111" s="1091">
        <f t="shared" si="148"/>
        <v>58100</v>
      </c>
      <c r="AB111" s="1091">
        <f t="shared" si="149"/>
        <v>0</v>
      </c>
      <c r="AD111" s="650">
        <f t="shared" si="98"/>
        <v>0</v>
      </c>
      <c r="AI111" s="1277">
        <f>VLOOKUP(K111,'[2]ผลการเบิกจ่ายสะสม พ.ย. 66'!$C:$N,12,0)</f>
        <v>0</v>
      </c>
      <c r="AJ111" s="1274">
        <f t="shared" si="109"/>
        <v>0</v>
      </c>
    </row>
    <row r="112" spans="1:36" s="112" customFormat="1" ht="21" customHeight="1" outlineLevel="1" x14ac:dyDescent="0.2">
      <c r="A112" s="56"/>
      <c r="B112" s="36"/>
      <c r="C112" s="27" t="s">
        <v>54</v>
      </c>
      <c r="D112" s="1090">
        <v>900000</v>
      </c>
      <c r="E112" s="1091">
        <v>0</v>
      </c>
      <c r="F112" s="1091"/>
      <c r="G112" s="1091"/>
      <c r="H112" s="1091">
        <v>100000</v>
      </c>
      <c r="I112" s="1092">
        <v>95200</v>
      </c>
      <c r="J112" s="1092">
        <v>100000</v>
      </c>
      <c r="K112" s="1032"/>
      <c r="L112" s="1032"/>
      <c r="M112" s="1091">
        <v>50700</v>
      </c>
      <c r="N112" s="1091">
        <v>50700</v>
      </c>
      <c r="O112" s="1091"/>
      <c r="P112" s="1091"/>
      <c r="Q112" s="1091"/>
      <c r="R112" s="1091"/>
      <c r="S112" s="1160"/>
      <c r="T112" s="1091">
        <f t="shared" si="143"/>
        <v>0</v>
      </c>
      <c r="U112" s="1091">
        <f t="shared" si="144"/>
        <v>50700</v>
      </c>
      <c r="V112" s="1091">
        <f t="shared" si="103"/>
        <v>0</v>
      </c>
      <c r="W112" s="1091"/>
      <c r="X112" s="1091">
        <f t="shared" si="145"/>
        <v>0</v>
      </c>
      <c r="Y112" s="1091">
        <f t="shared" si="146"/>
        <v>50700</v>
      </c>
      <c r="Z112" s="1091">
        <f t="shared" si="147"/>
        <v>0</v>
      </c>
      <c r="AA112" s="1091">
        <f t="shared" si="148"/>
        <v>50700</v>
      </c>
      <c r="AB112" s="1091">
        <f t="shared" si="149"/>
        <v>0</v>
      </c>
      <c r="AD112" s="650">
        <f t="shared" si="98"/>
        <v>0</v>
      </c>
      <c r="AI112" s="1277">
        <f>VLOOKUP(K112,'[2]ผลการเบิกจ่ายสะสม พ.ย. 66'!$C:$N,12,0)</f>
        <v>0</v>
      </c>
      <c r="AJ112" s="1274">
        <f t="shared" si="109"/>
        <v>0</v>
      </c>
    </row>
    <row r="113" spans="1:36" s="5" customFormat="1" ht="24" customHeight="1" x14ac:dyDescent="0.2">
      <c r="A113" s="104"/>
      <c r="B113" s="105" t="s">
        <v>857</v>
      </c>
      <c r="C113" s="910"/>
      <c r="D113" s="1120">
        <v>230000000</v>
      </c>
      <c r="E113" s="1121">
        <v>147638705.38000003</v>
      </c>
      <c r="F113" s="1121"/>
      <c r="G113" s="1121"/>
      <c r="H113" s="1121">
        <v>166446000</v>
      </c>
      <c r="I113" s="1122">
        <v>300000000</v>
      </c>
      <c r="J113" s="1122">
        <v>147638700</v>
      </c>
      <c r="K113" s="1029" t="s">
        <v>1341</v>
      </c>
      <c r="L113" s="1029" t="s">
        <v>1424</v>
      </c>
      <c r="M113" s="1143">
        <v>146468700</v>
      </c>
      <c r="N113" s="1143">
        <v>147638700</v>
      </c>
      <c r="O113" s="1143"/>
      <c r="P113" s="1143"/>
      <c r="Q113" s="1143"/>
      <c r="R113" s="1143"/>
      <c r="S113" s="1269">
        <f>423111.95+23119853.82</f>
        <v>23542965.77</v>
      </c>
      <c r="T113" s="1091">
        <f t="shared" si="143"/>
        <v>23542965.77</v>
      </c>
      <c r="U113" s="1091">
        <f t="shared" si="144"/>
        <v>124095734.23</v>
      </c>
      <c r="V113" s="1091">
        <f t="shared" si="103"/>
        <v>15.946337762388859</v>
      </c>
      <c r="W113" s="1091"/>
      <c r="X113" s="1091">
        <f t="shared" si="145"/>
        <v>23542965.77</v>
      </c>
      <c r="Y113" s="1091">
        <f t="shared" si="146"/>
        <v>124095734.23</v>
      </c>
      <c r="Z113" s="1091">
        <f t="shared" si="147"/>
        <v>23542965.77</v>
      </c>
      <c r="AA113" s="1091">
        <f t="shared" si="148"/>
        <v>124095734.23</v>
      </c>
      <c r="AB113" s="1091">
        <f t="shared" si="149"/>
        <v>15.946337762388859</v>
      </c>
      <c r="AD113" s="650">
        <f t="shared" si="98"/>
        <v>0</v>
      </c>
      <c r="AI113" s="1277">
        <f>VLOOKUP(K113,'[2]ผลการเบิกจ่ายสะสม พ.ย. 66'!$C:$N,12,0)</f>
        <v>23542965.77</v>
      </c>
      <c r="AJ113" s="1274">
        <f t="shared" si="109"/>
        <v>0</v>
      </c>
    </row>
    <row r="114" spans="1:36" s="5" customFormat="1" x14ac:dyDescent="0.2">
      <c r="A114" s="14" t="s">
        <v>132</v>
      </c>
      <c r="B114" s="15"/>
      <c r="C114" s="15"/>
      <c r="D114" s="1136">
        <f>+D115+D129</f>
        <v>735361900</v>
      </c>
      <c r="E114" s="1137">
        <f>+E115+E129</f>
        <v>789873673.29999995</v>
      </c>
      <c r="F114" s="1137"/>
      <c r="G114" s="1137"/>
      <c r="H114" s="1137">
        <f>+H115+H129</f>
        <v>363125900</v>
      </c>
      <c r="I114" s="1138">
        <v>936485000</v>
      </c>
      <c r="J114" s="1138">
        <f>+J115+J129</f>
        <v>400176200</v>
      </c>
      <c r="K114" s="1038"/>
      <c r="L114" s="1038" t="s">
        <v>1425</v>
      </c>
      <c r="M114" s="1137">
        <f t="shared" ref="M114:U114" si="150">+M115+M129</f>
        <v>176820100</v>
      </c>
      <c r="N114" s="1137">
        <f>+N115+N129</f>
        <v>255090600</v>
      </c>
      <c r="O114" s="1137">
        <f t="shared" si="150"/>
        <v>0</v>
      </c>
      <c r="P114" s="1137">
        <f t="shared" si="150"/>
        <v>0</v>
      </c>
      <c r="Q114" s="1137">
        <f t="shared" si="150"/>
        <v>0</v>
      </c>
      <c r="R114" s="1137">
        <f t="shared" si="150"/>
        <v>0</v>
      </c>
      <c r="S114" s="1137">
        <f t="shared" si="150"/>
        <v>156067407</v>
      </c>
      <c r="T114" s="1137">
        <f t="shared" si="150"/>
        <v>156067407</v>
      </c>
      <c r="U114" s="1137">
        <f t="shared" si="150"/>
        <v>99023193</v>
      </c>
      <c r="V114" s="1137">
        <f t="shared" si="103"/>
        <v>61.18116739699542</v>
      </c>
      <c r="W114" s="1137">
        <f t="shared" ref="W114:AB114" si="151">+W115+W129</f>
        <v>0</v>
      </c>
      <c r="X114" s="1137">
        <f t="shared" si="151"/>
        <v>156067407</v>
      </c>
      <c r="Y114" s="1137">
        <f t="shared" si="151"/>
        <v>99023193</v>
      </c>
      <c r="Z114" s="1137">
        <f t="shared" si="151"/>
        <v>156067407</v>
      </c>
      <c r="AA114" s="1137">
        <f t="shared" si="151"/>
        <v>99023193</v>
      </c>
      <c r="AB114" s="1137">
        <f t="shared" si="151"/>
        <v>609.90194928675373</v>
      </c>
      <c r="AD114" s="650">
        <f t="shared" si="98"/>
        <v>0</v>
      </c>
      <c r="AI114" s="1277">
        <f>VLOOKUP(K114,'[2]ผลการเบิกจ่ายสะสม พ.ย. 66'!$C:$N,12,0)</f>
        <v>0</v>
      </c>
      <c r="AJ114" s="1274">
        <f t="shared" si="109"/>
        <v>-156067407</v>
      </c>
    </row>
    <row r="115" spans="1:36" s="5" customFormat="1" x14ac:dyDescent="0.2">
      <c r="A115" s="20" t="s">
        <v>55</v>
      </c>
      <c r="B115" s="21"/>
      <c r="C115" s="21"/>
      <c r="D115" s="1087">
        <f>SUM(D116:D128)</f>
        <v>701024200</v>
      </c>
      <c r="E115" s="1088">
        <f>SUM(E116:E128)</f>
        <v>778965120</v>
      </c>
      <c r="F115" s="1088"/>
      <c r="G115" s="1088"/>
      <c r="H115" s="1088">
        <f>SUM(H116:H128)</f>
        <v>351643700</v>
      </c>
      <c r="I115" s="1089">
        <v>884532000</v>
      </c>
      <c r="J115" s="1089">
        <f>SUM(J116:J128)</f>
        <v>388694000</v>
      </c>
      <c r="K115" s="1028"/>
      <c r="L115" s="1028" t="s">
        <v>1425</v>
      </c>
      <c r="M115" s="1088">
        <f t="shared" ref="M115:U115" si="152">SUM(M116:M128)</f>
        <v>170348900</v>
      </c>
      <c r="N115" s="1088">
        <f>SUM(N116:N128)</f>
        <v>247511200</v>
      </c>
      <c r="O115" s="1088">
        <f t="shared" si="152"/>
        <v>0</v>
      </c>
      <c r="P115" s="1088">
        <f t="shared" si="152"/>
        <v>0</v>
      </c>
      <c r="Q115" s="1088">
        <f t="shared" si="152"/>
        <v>0</v>
      </c>
      <c r="R115" s="1088">
        <f t="shared" si="152"/>
        <v>0</v>
      </c>
      <c r="S115" s="1088">
        <f t="shared" si="152"/>
        <v>155853365</v>
      </c>
      <c r="T115" s="1088">
        <f t="shared" si="152"/>
        <v>155853365</v>
      </c>
      <c r="U115" s="1088">
        <f t="shared" si="152"/>
        <v>91657835</v>
      </c>
      <c r="V115" s="1088">
        <f t="shared" si="103"/>
        <v>62.968207095274877</v>
      </c>
      <c r="W115" s="1088">
        <f t="shared" ref="W115:AB115" si="153">SUM(W116:W128)</f>
        <v>0</v>
      </c>
      <c r="X115" s="1088">
        <f t="shared" si="153"/>
        <v>155853365</v>
      </c>
      <c r="Y115" s="1088">
        <f t="shared" si="153"/>
        <v>91657835</v>
      </c>
      <c r="Z115" s="1088">
        <f t="shared" si="153"/>
        <v>155853365</v>
      </c>
      <c r="AA115" s="1088">
        <f t="shared" si="153"/>
        <v>91657835</v>
      </c>
      <c r="AB115" s="1088">
        <f t="shared" si="153"/>
        <v>607.07795266432981</v>
      </c>
      <c r="AD115" s="650">
        <f t="shared" si="98"/>
        <v>0</v>
      </c>
      <c r="AI115" s="1277">
        <f>VLOOKUP(K115,'[2]ผลการเบิกจ่ายสะสม พ.ย. 66'!$C:$N,12,0)</f>
        <v>0</v>
      </c>
      <c r="AJ115" s="1274">
        <f t="shared" si="109"/>
        <v>-155853365</v>
      </c>
    </row>
    <row r="116" spans="1:36" s="5" customFormat="1" x14ac:dyDescent="0.2">
      <c r="A116" s="26"/>
      <c r="B116" s="27" t="s">
        <v>858</v>
      </c>
      <c r="C116" s="911"/>
      <c r="D116" s="1090">
        <v>344056000</v>
      </c>
      <c r="E116" s="1091">
        <v>407432000</v>
      </c>
      <c r="F116" s="1091"/>
      <c r="G116" s="1091"/>
      <c r="H116" s="1091">
        <v>121737200</v>
      </c>
      <c r="I116" s="1092">
        <v>580186000</v>
      </c>
      <c r="J116" s="1092">
        <v>109563500</v>
      </c>
      <c r="K116" s="1029" t="s">
        <v>1342</v>
      </c>
      <c r="L116" s="1029" t="s">
        <v>1425</v>
      </c>
      <c r="M116" s="1091">
        <v>52890400</v>
      </c>
      <c r="N116" s="1091">
        <v>72910400</v>
      </c>
      <c r="O116" s="1091"/>
      <c r="P116" s="1091"/>
      <c r="Q116" s="1091"/>
      <c r="R116" s="1091"/>
      <c r="S116" s="1160">
        <f>52890400</f>
        <v>52890400</v>
      </c>
      <c r="T116" s="1091">
        <f t="shared" ref="T116:T128" si="154">+R116+S116</f>
        <v>52890400</v>
      </c>
      <c r="U116" s="1091">
        <f t="shared" ref="U116:U128" si="155">+N116+O116-T116</f>
        <v>20020000</v>
      </c>
      <c r="V116" s="1091">
        <f t="shared" si="103"/>
        <v>72.54164015010204</v>
      </c>
      <c r="W116" s="1091"/>
      <c r="X116" s="1091">
        <f t="shared" ref="X116:X128" si="156">+T116+Q116</f>
        <v>52890400</v>
      </c>
      <c r="Y116" s="1091">
        <f t="shared" ref="Y116:Y128" si="157">+U116-Q116</f>
        <v>20020000</v>
      </c>
      <c r="Z116" s="1091">
        <f t="shared" ref="Z116:Z128" si="158">+T116+Q116+P116</f>
        <v>52890400</v>
      </c>
      <c r="AA116" s="1091">
        <f t="shared" ref="AA116:AA128" si="159">+U116-Q116-P116</f>
        <v>20020000</v>
      </c>
      <c r="AB116" s="1091">
        <f t="shared" ref="AB116:AB128" si="160">IFERROR(Z116*100/(N116+O116),0)</f>
        <v>72.54164015010204</v>
      </c>
      <c r="AD116" s="650">
        <f t="shared" si="98"/>
        <v>0</v>
      </c>
      <c r="AI116" s="1277">
        <f>VLOOKUP(K116,'[2]ผลการเบิกจ่ายสะสม พ.ย. 66'!$C:$N,12,0)</f>
        <v>52890400</v>
      </c>
      <c r="AJ116" s="1274">
        <f t="shared" si="109"/>
        <v>0</v>
      </c>
    </row>
    <row r="117" spans="1:36" s="5" customFormat="1" x14ac:dyDescent="0.2">
      <c r="A117" s="26"/>
      <c r="B117" s="27" t="s">
        <v>57</v>
      </c>
      <c r="C117" s="139"/>
      <c r="D117" s="1090">
        <v>800000</v>
      </c>
      <c r="E117" s="1091">
        <v>0</v>
      </c>
      <c r="F117" s="1091"/>
      <c r="G117" s="1091"/>
      <c r="H117" s="1091">
        <v>84500</v>
      </c>
      <c r="I117" s="1092">
        <v>800000</v>
      </c>
      <c r="J117" s="1092">
        <v>84500</v>
      </c>
      <c r="K117" s="1029" t="s">
        <v>1343</v>
      </c>
      <c r="L117" s="1029" t="s">
        <v>1425</v>
      </c>
      <c r="M117" s="1091">
        <v>84500</v>
      </c>
      <c r="N117" s="1091">
        <v>84500</v>
      </c>
      <c r="O117" s="1091"/>
      <c r="P117" s="1091"/>
      <c r="Q117" s="1091"/>
      <c r="R117" s="1091"/>
      <c r="S117" s="1160">
        <f>12965</f>
        <v>12965</v>
      </c>
      <c r="T117" s="1091">
        <f t="shared" si="154"/>
        <v>12965</v>
      </c>
      <c r="U117" s="1091">
        <f t="shared" si="155"/>
        <v>71535</v>
      </c>
      <c r="V117" s="1091">
        <f t="shared" si="103"/>
        <v>15.34319526627219</v>
      </c>
      <c r="W117" s="1091"/>
      <c r="X117" s="1091">
        <f t="shared" si="156"/>
        <v>12965</v>
      </c>
      <c r="Y117" s="1091">
        <f t="shared" si="157"/>
        <v>71535</v>
      </c>
      <c r="Z117" s="1091">
        <f t="shared" si="158"/>
        <v>12965</v>
      </c>
      <c r="AA117" s="1091">
        <f t="shared" si="159"/>
        <v>71535</v>
      </c>
      <c r="AB117" s="1091">
        <f t="shared" si="160"/>
        <v>15.34319526627219</v>
      </c>
      <c r="AD117" s="650">
        <f t="shared" si="98"/>
        <v>0</v>
      </c>
      <c r="AI117" s="1277">
        <f>VLOOKUP(K117,'[2]ผลการเบิกจ่ายสะสม พ.ย. 66'!$C:$N,12,0)</f>
        <v>12965</v>
      </c>
      <c r="AJ117" s="1274">
        <f t="shared" si="109"/>
        <v>0</v>
      </c>
    </row>
    <row r="118" spans="1:36" s="5" customFormat="1" x14ac:dyDescent="0.2">
      <c r="A118" s="26"/>
      <c r="B118" s="27" t="s">
        <v>58</v>
      </c>
      <c r="C118" s="139"/>
      <c r="D118" s="1090">
        <v>44466200</v>
      </c>
      <c r="E118" s="1091">
        <v>41831120</v>
      </c>
      <c r="F118" s="1091"/>
      <c r="G118" s="1091"/>
      <c r="H118" s="1091">
        <v>26322000</v>
      </c>
      <c r="I118" s="1092">
        <v>44886000</v>
      </c>
      <c r="J118" s="1092">
        <v>44886000</v>
      </c>
      <c r="K118" s="1029" t="s">
        <v>1344</v>
      </c>
      <c r="L118" s="1029" t="s">
        <v>1425</v>
      </c>
      <c r="M118" s="1091">
        <v>29424000</v>
      </c>
      <c r="N118" s="1091">
        <v>44886000</v>
      </c>
      <c r="O118" s="1091"/>
      <c r="P118" s="1091"/>
      <c r="Q118" s="1091"/>
      <c r="R118" s="1091"/>
      <c r="S118" s="1267">
        <f>15000000</f>
        <v>15000000</v>
      </c>
      <c r="T118" s="1091">
        <f t="shared" si="154"/>
        <v>15000000</v>
      </c>
      <c r="U118" s="1091">
        <f t="shared" si="155"/>
        <v>29886000</v>
      </c>
      <c r="V118" s="1091">
        <f t="shared" si="103"/>
        <v>33.417992247025801</v>
      </c>
      <c r="W118" s="1091"/>
      <c r="X118" s="1091">
        <f t="shared" si="156"/>
        <v>15000000</v>
      </c>
      <c r="Y118" s="1091">
        <f t="shared" si="157"/>
        <v>29886000</v>
      </c>
      <c r="Z118" s="1091">
        <f t="shared" si="158"/>
        <v>15000000</v>
      </c>
      <c r="AA118" s="1091">
        <f t="shared" si="159"/>
        <v>29886000</v>
      </c>
      <c r="AB118" s="1091">
        <f t="shared" si="160"/>
        <v>33.417992247025801</v>
      </c>
      <c r="AD118" s="650">
        <f t="shared" si="98"/>
        <v>0</v>
      </c>
      <c r="AI118" s="1277">
        <f>VLOOKUP(K118,'[2]ผลการเบิกจ่ายสะสม พ.ย. 66'!$C:$N,12,0)</f>
        <v>15000000</v>
      </c>
      <c r="AJ118" s="1274">
        <f t="shared" si="109"/>
        <v>0</v>
      </c>
    </row>
    <row r="119" spans="1:36" s="5" customFormat="1" x14ac:dyDescent="0.2">
      <c r="A119" s="26"/>
      <c r="B119" s="27" t="s">
        <v>859</v>
      </c>
      <c r="C119" s="139"/>
      <c r="D119" s="1090">
        <v>18000000</v>
      </c>
      <c r="E119" s="1091">
        <v>18000000</v>
      </c>
      <c r="F119" s="1091"/>
      <c r="G119" s="1091"/>
      <c r="H119" s="1091">
        <v>500000</v>
      </c>
      <c r="I119" s="1092">
        <v>10000000</v>
      </c>
      <c r="J119" s="1092">
        <v>500000</v>
      </c>
      <c r="K119" s="1029" t="s">
        <v>1345</v>
      </c>
      <c r="L119" s="1029" t="s">
        <v>1425</v>
      </c>
      <c r="M119" s="1091"/>
      <c r="N119" s="1091">
        <v>0</v>
      </c>
      <c r="O119" s="1091"/>
      <c r="P119" s="1091"/>
      <c r="Q119" s="1091"/>
      <c r="R119" s="1091"/>
      <c r="S119" s="1091"/>
      <c r="T119" s="1091">
        <f t="shared" si="154"/>
        <v>0</v>
      </c>
      <c r="U119" s="1091">
        <f t="shared" si="155"/>
        <v>0</v>
      </c>
      <c r="V119" s="1091">
        <f t="shared" si="103"/>
        <v>0</v>
      </c>
      <c r="W119" s="1091"/>
      <c r="X119" s="1091">
        <f t="shared" si="156"/>
        <v>0</v>
      </c>
      <c r="Y119" s="1091">
        <f t="shared" si="157"/>
        <v>0</v>
      </c>
      <c r="Z119" s="1091">
        <f t="shared" si="158"/>
        <v>0</v>
      </c>
      <c r="AA119" s="1091">
        <f t="shared" si="159"/>
        <v>0</v>
      </c>
      <c r="AB119" s="1091">
        <f t="shared" si="160"/>
        <v>0</v>
      </c>
      <c r="AD119" s="650">
        <f t="shared" si="98"/>
        <v>0</v>
      </c>
      <c r="AI119" s="1277" t="e">
        <f>VLOOKUP(K119,'[2]ผลการเบิกจ่ายสะสม พ.ย. 66'!$C:$N,12,0)</f>
        <v>#N/A</v>
      </c>
      <c r="AJ119" s="1274" t="e">
        <f t="shared" si="109"/>
        <v>#N/A</v>
      </c>
    </row>
    <row r="120" spans="1:36" s="5" customFormat="1" x14ac:dyDescent="0.2">
      <c r="A120" s="26"/>
      <c r="B120" s="27" t="s">
        <v>860</v>
      </c>
      <c r="C120" s="911"/>
      <c r="D120" s="1090">
        <v>3000000</v>
      </c>
      <c r="E120" s="1091">
        <v>3000000</v>
      </c>
      <c r="F120" s="1091"/>
      <c r="G120" s="1091"/>
      <c r="H120" s="1091">
        <v>3000000</v>
      </c>
      <c r="I120" s="1092">
        <v>2000000</v>
      </c>
      <c r="J120" s="1092">
        <v>2000000</v>
      </c>
      <c r="K120" s="1029" t="s">
        <v>1346</v>
      </c>
      <c r="L120" s="1029" t="s">
        <v>1425</v>
      </c>
      <c r="M120" s="1091">
        <v>800000</v>
      </c>
      <c r="N120" s="1091">
        <v>1200000</v>
      </c>
      <c r="O120" s="1091"/>
      <c r="P120" s="1091"/>
      <c r="Q120" s="1091"/>
      <c r="R120" s="1091"/>
      <c r="S120" s="1267">
        <f>800000</f>
        <v>800000</v>
      </c>
      <c r="T120" s="1091">
        <f t="shared" si="154"/>
        <v>800000</v>
      </c>
      <c r="U120" s="1091">
        <f t="shared" si="155"/>
        <v>400000</v>
      </c>
      <c r="V120" s="1091">
        <f t="shared" si="103"/>
        <v>66.666666666666671</v>
      </c>
      <c r="W120" s="1091"/>
      <c r="X120" s="1091">
        <f t="shared" si="156"/>
        <v>800000</v>
      </c>
      <c r="Y120" s="1091">
        <f t="shared" si="157"/>
        <v>400000</v>
      </c>
      <c r="Z120" s="1091">
        <f t="shared" si="158"/>
        <v>800000</v>
      </c>
      <c r="AA120" s="1091">
        <f t="shared" si="159"/>
        <v>400000</v>
      </c>
      <c r="AB120" s="1091">
        <f t="shared" si="160"/>
        <v>66.666666666666671</v>
      </c>
      <c r="AD120" s="650">
        <f t="shared" si="98"/>
        <v>0</v>
      </c>
      <c r="AI120" s="1277">
        <f>VLOOKUP(K120,'[2]ผลการเบิกจ่ายสะสม พ.ย. 66'!$C:$N,12,0)</f>
        <v>800000</v>
      </c>
      <c r="AJ120" s="1274">
        <f t="shared" si="109"/>
        <v>0</v>
      </c>
    </row>
    <row r="121" spans="1:36" s="5" customFormat="1" x14ac:dyDescent="0.2">
      <c r="A121" s="26"/>
      <c r="B121" s="27" t="s">
        <v>59</v>
      </c>
      <c r="C121" s="139"/>
      <c r="D121" s="1090">
        <v>10000000</v>
      </c>
      <c r="E121" s="1091">
        <v>10000000</v>
      </c>
      <c r="F121" s="1091"/>
      <c r="G121" s="1091"/>
      <c r="H121" s="1091">
        <v>5000000</v>
      </c>
      <c r="I121" s="1092">
        <v>4600000</v>
      </c>
      <c r="J121" s="1092">
        <v>4600000</v>
      </c>
      <c r="K121" s="1029" t="s">
        <v>1347</v>
      </c>
      <c r="L121" s="1029" t="s">
        <v>1425</v>
      </c>
      <c r="M121" s="1091">
        <v>1000000</v>
      </c>
      <c r="N121" s="1091">
        <v>3000000</v>
      </c>
      <c r="O121" s="1091"/>
      <c r="P121" s="1091"/>
      <c r="Q121" s="1091"/>
      <c r="R121" s="1091"/>
      <c r="S121" s="1267">
        <f>1000000</f>
        <v>1000000</v>
      </c>
      <c r="T121" s="1091">
        <f t="shared" si="154"/>
        <v>1000000</v>
      </c>
      <c r="U121" s="1091">
        <f t="shared" si="155"/>
        <v>2000000</v>
      </c>
      <c r="V121" s="1091">
        <f t="shared" si="103"/>
        <v>33.333333333333336</v>
      </c>
      <c r="W121" s="1091"/>
      <c r="X121" s="1091">
        <f t="shared" si="156"/>
        <v>1000000</v>
      </c>
      <c r="Y121" s="1091">
        <f t="shared" si="157"/>
        <v>2000000</v>
      </c>
      <c r="Z121" s="1091">
        <f t="shared" si="158"/>
        <v>1000000</v>
      </c>
      <c r="AA121" s="1091">
        <f t="shared" si="159"/>
        <v>2000000</v>
      </c>
      <c r="AB121" s="1091">
        <f t="shared" si="160"/>
        <v>33.333333333333336</v>
      </c>
      <c r="AD121" s="650">
        <f t="shared" si="98"/>
        <v>0</v>
      </c>
      <c r="AI121" s="1277">
        <f>VLOOKUP(K121,'[2]ผลการเบิกจ่ายสะสม พ.ย. 66'!$C:$N,12,0)</f>
        <v>1000000</v>
      </c>
      <c r="AJ121" s="1274">
        <f t="shared" si="109"/>
        <v>0</v>
      </c>
    </row>
    <row r="122" spans="1:36" s="5" customFormat="1" x14ac:dyDescent="0.2">
      <c r="A122" s="26"/>
      <c r="B122" s="27" t="s">
        <v>861</v>
      </c>
      <c r="C122" s="139"/>
      <c r="D122" s="1090">
        <v>65000000</v>
      </c>
      <c r="E122" s="1091">
        <v>65000000</v>
      </c>
      <c r="F122" s="1091"/>
      <c r="G122" s="1091"/>
      <c r="H122" s="1091">
        <v>50000000</v>
      </c>
      <c r="I122" s="1092">
        <v>38560000</v>
      </c>
      <c r="J122" s="1092">
        <v>38560000</v>
      </c>
      <c r="K122" s="1029" t="s">
        <v>1348</v>
      </c>
      <c r="L122" s="1029" t="s">
        <v>1425</v>
      </c>
      <c r="M122" s="1091">
        <v>11250000</v>
      </c>
      <c r="N122" s="1091">
        <v>22650000</v>
      </c>
      <c r="O122" s="1091"/>
      <c r="P122" s="1091"/>
      <c r="Q122" s="1091"/>
      <c r="R122" s="1091"/>
      <c r="S122" s="1267">
        <f>11250000</f>
        <v>11250000</v>
      </c>
      <c r="T122" s="1091">
        <f t="shared" si="154"/>
        <v>11250000</v>
      </c>
      <c r="U122" s="1091">
        <f t="shared" si="155"/>
        <v>11400000</v>
      </c>
      <c r="V122" s="1091">
        <f t="shared" si="103"/>
        <v>49.668874172185433</v>
      </c>
      <c r="W122" s="1091"/>
      <c r="X122" s="1091">
        <f t="shared" si="156"/>
        <v>11250000</v>
      </c>
      <c r="Y122" s="1091">
        <f t="shared" si="157"/>
        <v>11400000</v>
      </c>
      <c r="Z122" s="1091">
        <f t="shared" si="158"/>
        <v>11250000</v>
      </c>
      <c r="AA122" s="1091">
        <f t="shared" si="159"/>
        <v>11400000</v>
      </c>
      <c r="AB122" s="1091">
        <f t="shared" si="160"/>
        <v>49.668874172185433</v>
      </c>
      <c r="AD122" s="650">
        <f t="shared" si="98"/>
        <v>0</v>
      </c>
      <c r="AI122" s="1277">
        <f>VLOOKUP(K122,'[2]ผลการเบิกจ่ายสะสม พ.ย. 66'!$C:$N,12,0)</f>
        <v>11250000</v>
      </c>
      <c r="AJ122" s="1274">
        <f t="shared" si="109"/>
        <v>0</v>
      </c>
    </row>
    <row r="123" spans="1:36" s="5" customFormat="1" x14ac:dyDescent="0.2">
      <c r="A123" s="26"/>
      <c r="B123" s="187" t="s">
        <v>862</v>
      </c>
      <c r="C123" s="912"/>
      <c r="D123" s="1090"/>
      <c r="E123" s="1091"/>
      <c r="F123" s="1091"/>
      <c r="G123" s="1091"/>
      <c r="H123" s="1091"/>
      <c r="I123" s="1092">
        <v>10000000</v>
      </c>
      <c r="J123" s="1092">
        <v>10000000</v>
      </c>
      <c r="K123" s="1029" t="s">
        <v>1349</v>
      </c>
      <c r="L123" s="1029" t="s">
        <v>1425</v>
      </c>
      <c r="M123" s="1091">
        <v>1080000</v>
      </c>
      <c r="N123" s="1091">
        <v>1320000</v>
      </c>
      <c r="O123" s="1091"/>
      <c r="P123" s="1091"/>
      <c r="Q123" s="1091"/>
      <c r="R123" s="1091"/>
      <c r="S123" s="1267">
        <f>1080000</f>
        <v>1080000</v>
      </c>
      <c r="T123" s="1091">
        <f t="shared" si="154"/>
        <v>1080000</v>
      </c>
      <c r="U123" s="1091">
        <f t="shared" si="155"/>
        <v>240000</v>
      </c>
      <c r="V123" s="1091">
        <f t="shared" si="103"/>
        <v>81.818181818181813</v>
      </c>
      <c r="W123" s="1091"/>
      <c r="X123" s="1091">
        <f t="shared" si="156"/>
        <v>1080000</v>
      </c>
      <c r="Y123" s="1091">
        <f t="shared" si="157"/>
        <v>240000</v>
      </c>
      <c r="Z123" s="1091">
        <f t="shared" si="158"/>
        <v>1080000</v>
      </c>
      <c r="AA123" s="1091">
        <f t="shared" si="159"/>
        <v>240000</v>
      </c>
      <c r="AB123" s="1091">
        <f t="shared" si="160"/>
        <v>81.818181818181813</v>
      </c>
      <c r="AD123" s="650">
        <f t="shared" si="98"/>
        <v>0</v>
      </c>
      <c r="AI123" s="1277">
        <f>VLOOKUP(K123,'[2]ผลการเบิกจ่ายสะสม พ.ย. 66'!$C:$N,12,0)</f>
        <v>1080000</v>
      </c>
      <c r="AJ123" s="1274">
        <f t="shared" si="109"/>
        <v>0</v>
      </c>
    </row>
    <row r="124" spans="1:36" s="5" customFormat="1" x14ac:dyDescent="0.2">
      <c r="A124" s="26"/>
      <c r="B124" s="187"/>
      <c r="C124" s="187" t="s">
        <v>863</v>
      </c>
      <c r="D124" s="1090"/>
      <c r="E124" s="1091"/>
      <c r="F124" s="1091"/>
      <c r="G124" s="1091"/>
      <c r="H124" s="1091"/>
      <c r="I124" s="1092"/>
      <c r="J124" s="1092"/>
      <c r="K124" s="1029"/>
      <c r="L124" s="1029"/>
      <c r="M124" s="1091"/>
      <c r="N124" s="1091"/>
      <c r="O124" s="1091"/>
      <c r="P124" s="1091"/>
      <c r="Q124" s="1091"/>
      <c r="R124" s="1091"/>
      <c r="S124" s="1091"/>
      <c r="T124" s="1091">
        <f t="shared" si="154"/>
        <v>0</v>
      </c>
      <c r="U124" s="1091">
        <f t="shared" si="155"/>
        <v>0</v>
      </c>
      <c r="V124" s="1091">
        <f t="shared" si="103"/>
        <v>0</v>
      </c>
      <c r="W124" s="1091"/>
      <c r="X124" s="1091">
        <f t="shared" si="156"/>
        <v>0</v>
      </c>
      <c r="Y124" s="1091">
        <f t="shared" si="157"/>
        <v>0</v>
      </c>
      <c r="Z124" s="1091">
        <f t="shared" si="158"/>
        <v>0</v>
      </c>
      <c r="AA124" s="1091">
        <f t="shared" si="159"/>
        <v>0</v>
      </c>
      <c r="AB124" s="1091">
        <f t="shared" si="160"/>
        <v>0</v>
      </c>
      <c r="AD124" s="650">
        <f t="shared" si="98"/>
        <v>0</v>
      </c>
      <c r="AI124" s="1277">
        <f>VLOOKUP(K124,'[2]ผลการเบิกจ่ายสะสม พ.ย. 66'!$C:$N,12,0)</f>
        <v>0</v>
      </c>
      <c r="AJ124" s="1274">
        <f t="shared" si="109"/>
        <v>0</v>
      </c>
    </row>
    <row r="125" spans="1:36" s="5" customFormat="1" x14ac:dyDescent="0.2">
      <c r="A125" s="26"/>
      <c r="B125" s="27" t="s">
        <v>864</v>
      </c>
      <c r="C125" s="139"/>
      <c r="D125" s="1090">
        <v>168702000</v>
      </c>
      <c r="E125" s="1091">
        <v>186702000</v>
      </c>
      <c r="F125" s="1091"/>
      <c r="G125" s="1091"/>
      <c r="H125" s="1091">
        <v>98000000</v>
      </c>
      <c r="I125" s="1092">
        <v>133500000</v>
      </c>
      <c r="J125" s="1092">
        <v>131500000</v>
      </c>
      <c r="K125" s="1029" t="s">
        <v>1350</v>
      </c>
      <c r="L125" s="1029" t="s">
        <v>1425</v>
      </c>
      <c r="M125" s="1091">
        <v>53070000</v>
      </c>
      <c r="N125" s="1091">
        <v>79460300</v>
      </c>
      <c r="O125" s="1091"/>
      <c r="P125" s="1091"/>
      <c r="Q125" s="1091"/>
      <c r="R125" s="1091"/>
      <c r="S125" s="1267">
        <f>53070000</f>
        <v>53070000</v>
      </c>
      <c r="T125" s="1091">
        <f t="shared" si="154"/>
        <v>53070000</v>
      </c>
      <c r="U125" s="1091">
        <f t="shared" si="155"/>
        <v>26390300</v>
      </c>
      <c r="V125" s="1091">
        <f t="shared" si="103"/>
        <v>66.788069010562509</v>
      </c>
      <c r="W125" s="1091"/>
      <c r="X125" s="1091">
        <f t="shared" si="156"/>
        <v>53070000</v>
      </c>
      <c r="Y125" s="1091">
        <f t="shared" si="157"/>
        <v>26390300</v>
      </c>
      <c r="Z125" s="1091">
        <f t="shared" si="158"/>
        <v>53070000</v>
      </c>
      <c r="AA125" s="1091">
        <f t="shared" si="159"/>
        <v>26390300</v>
      </c>
      <c r="AB125" s="1091">
        <f t="shared" si="160"/>
        <v>66.788069010562509</v>
      </c>
      <c r="AD125" s="650">
        <f t="shared" si="98"/>
        <v>0</v>
      </c>
      <c r="AI125" s="1277">
        <f>VLOOKUP(K125,'[2]ผลการเบิกจ่ายสะสม พ.ย. 66'!$C:$N,12,0)</f>
        <v>53070000</v>
      </c>
      <c r="AJ125" s="1274">
        <f t="shared" si="109"/>
        <v>0</v>
      </c>
    </row>
    <row r="126" spans="1:36" s="5" customFormat="1" x14ac:dyDescent="0.2">
      <c r="A126" s="26"/>
      <c r="B126" s="27" t="s">
        <v>865</v>
      </c>
      <c r="C126" s="139"/>
      <c r="D126" s="1090">
        <v>32000000</v>
      </c>
      <c r="E126" s="1091">
        <v>32000000</v>
      </c>
      <c r="F126" s="1091"/>
      <c r="G126" s="1091"/>
      <c r="H126" s="1091">
        <v>32000000</v>
      </c>
      <c r="I126" s="1092">
        <v>32000000</v>
      </c>
      <c r="J126" s="1092">
        <v>32000000</v>
      </c>
      <c r="K126" s="1029" t="s">
        <v>1351</v>
      </c>
      <c r="L126" s="1029" t="s">
        <v>1425</v>
      </c>
      <c r="M126" s="1091">
        <v>12000000</v>
      </c>
      <c r="N126" s="1091">
        <v>12000000</v>
      </c>
      <c r="O126" s="1091"/>
      <c r="P126" s="1091"/>
      <c r="Q126" s="1091"/>
      <c r="R126" s="1091"/>
      <c r="S126" s="1267">
        <f>12000000</f>
        <v>12000000</v>
      </c>
      <c r="T126" s="1091">
        <f t="shared" si="154"/>
        <v>12000000</v>
      </c>
      <c r="U126" s="1091">
        <f t="shared" si="155"/>
        <v>0</v>
      </c>
      <c r="V126" s="1091">
        <f t="shared" si="103"/>
        <v>100</v>
      </c>
      <c r="W126" s="1091"/>
      <c r="X126" s="1091">
        <f t="shared" si="156"/>
        <v>12000000</v>
      </c>
      <c r="Y126" s="1091">
        <f t="shared" si="157"/>
        <v>0</v>
      </c>
      <c r="Z126" s="1091">
        <f t="shared" si="158"/>
        <v>12000000</v>
      </c>
      <c r="AA126" s="1091">
        <f t="shared" si="159"/>
        <v>0</v>
      </c>
      <c r="AB126" s="1091">
        <f t="shared" si="160"/>
        <v>100</v>
      </c>
      <c r="AD126" s="650">
        <f t="shared" si="98"/>
        <v>0</v>
      </c>
      <c r="AI126" s="1277">
        <f>VLOOKUP(K126,'[2]ผลการเบิกจ่ายสะสม พ.ย. 66'!$C:$N,12,0)</f>
        <v>12000000</v>
      </c>
      <c r="AJ126" s="1274">
        <f t="shared" si="109"/>
        <v>0</v>
      </c>
    </row>
    <row r="127" spans="1:36" s="5" customFormat="1" x14ac:dyDescent="0.2">
      <c r="A127" s="26"/>
      <c r="B127" s="27" t="s">
        <v>866</v>
      </c>
      <c r="C127" s="139"/>
      <c r="D127" s="1090">
        <v>15000000</v>
      </c>
      <c r="E127" s="1091">
        <v>15000000</v>
      </c>
      <c r="F127" s="1091"/>
      <c r="G127" s="1091"/>
      <c r="H127" s="1091">
        <v>15000000</v>
      </c>
      <c r="I127" s="1092">
        <v>28000000</v>
      </c>
      <c r="J127" s="1092">
        <v>15000000</v>
      </c>
      <c r="K127" s="1029" t="s">
        <v>1352</v>
      </c>
      <c r="L127" s="1029" t="s">
        <v>1425</v>
      </c>
      <c r="M127" s="1091">
        <v>8750000</v>
      </c>
      <c r="N127" s="1091">
        <v>10000000</v>
      </c>
      <c r="O127" s="1091"/>
      <c r="P127" s="1091"/>
      <c r="Q127" s="1091"/>
      <c r="R127" s="1091"/>
      <c r="S127" s="1267">
        <f>8750000</f>
        <v>8750000</v>
      </c>
      <c r="T127" s="1091">
        <f t="shared" si="154"/>
        <v>8750000</v>
      </c>
      <c r="U127" s="1091">
        <f t="shared" si="155"/>
        <v>1250000</v>
      </c>
      <c r="V127" s="1091">
        <f t="shared" si="103"/>
        <v>87.5</v>
      </c>
      <c r="W127" s="1091"/>
      <c r="X127" s="1091">
        <f t="shared" si="156"/>
        <v>8750000</v>
      </c>
      <c r="Y127" s="1091">
        <f t="shared" si="157"/>
        <v>1250000</v>
      </c>
      <c r="Z127" s="1091">
        <f t="shared" si="158"/>
        <v>8750000</v>
      </c>
      <c r="AA127" s="1091">
        <f t="shared" si="159"/>
        <v>1250000</v>
      </c>
      <c r="AB127" s="1091">
        <f t="shared" si="160"/>
        <v>87.5</v>
      </c>
      <c r="AD127" s="650">
        <f t="shared" si="98"/>
        <v>0</v>
      </c>
      <c r="AI127" s="1277">
        <f>VLOOKUP(K127,'[2]ผลการเบิกจ่ายสะสม พ.ย. 66'!$C:$N,12,0)</f>
        <v>8750000</v>
      </c>
      <c r="AJ127" s="1274">
        <f t="shared" si="109"/>
        <v>0</v>
      </c>
    </row>
    <row r="128" spans="1:36" s="5" customFormat="1" x14ac:dyDescent="0.2">
      <c r="A128" s="56"/>
      <c r="B128" s="36" t="s">
        <v>150</v>
      </c>
      <c r="C128" s="57"/>
      <c r="D128" s="1090"/>
      <c r="E128" s="1091"/>
      <c r="F128" s="1091"/>
      <c r="G128" s="1091"/>
      <c r="H128" s="1091"/>
      <c r="I128" s="1092"/>
      <c r="J128" s="1092"/>
      <c r="K128" s="1032"/>
      <c r="L128" s="1032"/>
      <c r="M128" s="1091"/>
      <c r="N128" s="1091"/>
      <c r="O128" s="1091"/>
      <c r="P128" s="1091"/>
      <c r="Q128" s="1091"/>
      <c r="R128" s="1091"/>
      <c r="S128" s="1091"/>
      <c r="T128" s="1091">
        <f t="shared" si="154"/>
        <v>0</v>
      </c>
      <c r="U128" s="1091">
        <f t="shared" si="155"/>
        <v>0</v>
      </c>
      <c r="V128" s="1091">
        <f t="shared" si="103"/>
        <v>0</v>
      </c>
      <c r="W128" s="1091"/>
      <c r="X128" s="1091">
        <f t="shared" si="156"/>
        <v>0</v>
      </c>
      <c r="Y128" s="1091">
        <f t="shared" si="157"/>
        <v>0</v>
      </c>
      <c r="Z128" s="1091">
        <f t="shared" si="158"/>
        <v>0</v>
      </c>
      <c r="AA128" s="1091">
        <f t="shared" si="159"/>
        <v>0</v>
      </c>
      <c r="AB128" s="1091">
        <f t="shared" si="160"/>
        <v>0</v>
      </c>
      <c r="AD128" s="650">
        <f t="shared" si="98"/>
        <v>0</v>
      </c>
      <c r="AI128" s="1277">
        <f>VLOOKUP(K128,'[2]ผลการเบิกจ่ายสะสม พ.ย. 66'!$C:$N,12,0)</f>
        <v>0</v>
      </c>
      <c r="AJ128" s="1274">
        <f t="shared" si="109"/>
        <v>0</v>
      </c>
    </row>
    <row r="129" spans="1:36" s="5" customFormat="1" x14ac:dyDescent="0.2">
      <c r="A129" s="20" t="s">
        <v>56</v>
      </c>
      <c r="B129" s="21"/>
      <c r="C129" s="21"/>
      <c r="D129" s="1087">
        <f>SUM(D130:D132)</f>
        <v>34337700</v>
      </c>
      <c r="E129" s="1088">
        <f>SUM(E130:E132)</f>
        <v>10908553.299999999</v>
      </c>
      <c r="F129" s="1088"/>
      <c r="G129" s="1088"/>
      <c r="H129" s="1088">
        <f>SUM(H130:H132)</f>
        <v>11482200</v>
      </c>
      <c r="I129" s="1089">
        <v>51953000</v>
      </c>
      <c r="J129" s="1089">
        <f>SUM(J130:J132)</f>
        <v>11482200</v>
      </c>
      <c r="K129" s="1028"/>
      <c r="L129" s="1028"/>
      <c r="M129" s="1088">
        <f t="shared" ref="M129:Q129" si="161">SUM(M130:M132)</f>
        <v>6471200</v>
      </c>
      <c r="N129" s="1088">
        <f>SUM(N130:N132)</f>
        <v>7579400</v>
      </c>
      <c r="O129" s="1088">
        <f t="shared" si="161"/>
        <v>0</v>
      </c>
      <c r="P129" s="1088">
        <f t="shared" si="161"/>
        <v>0</v>
      </c>
      <c r="Q129" s="1088">
        <f t="shared" si="161"/>
        <v>0</v>
      </c>
      <c r="R129" s="1088">
        <f t="shared" ref="R129:U129" si="162">SUM(R130:R132)</f>
        <v>0</v>
      </c>
      <c r="S129" s="1088">
        <f t="shared" si="162"/>
        <v>214042</v>
      </c>
      <c r="T129" s="1088">
        <f t="shared" si="162"/>
        <v>214042</v>
      </c>
      <c r="U129" s="1088">
        <f t="shared" si="162"/>
        <v>7365358</v>
      </c>
      <c r="V129" s="1088">
        <f t="shared" si="103"/>
        <v>2.8239966224239388</v>
      </c>
      <c r="W129" s="1088">
        <f t="shared" ref="W129:AB129" si="163">SUM(W130:W132)</f>
        <v>0</v>
      </c>
      <c r="X129" s="1088">
        <f t="shared" si="163"/>
        <v>214042</v>
      </c>
      <c r="Y129" s="1088">
        <f t="shared" si="163"/>
        <v>7365358</v>
      </c>
      <c r="Z129" s="1088">
        <f t="shared" si="163"/>
        <v>214042</v>
      </c>
      <c r="AA129" s="1088">
        <f t="shared" si="163"/>
        <v>7365358</v>
      </c>
      <c r="AB129" s="1088">
        <f t="shared" si="163"/>
        <v>2.8239966224239388</v>
      </c>
      <c r="AD129" s="650">
        <f t="shared" si="98"/>
        <v>0</v>
      </c>
      <c r="AI129" s="1277">
        <f>VLOOKUP(K129,'[2]ผลการเบิกจ่ายสะสม พ.ย. 66'!$C:$N,12,0)</f>
        <v>0</v>
      </c>
      <c r="AJ129" s="1274">
        <f t="shared" si="109"/>
        <v>-214042</v>
      </c>
    </row>
    <row r="130" spans="1:36" s="5" customFormat="1" x14ac:dyDescent="0.2">
      <c r="A130" s="26"/>
      <c r="B130" s="27" t="s">
        <v>124</v>
      </c>
      <c r="C130" s="139"/>
      <c r="D130" s="1090">
        <v>5666400</v>
      </c>
      <c r="E130" s="1091">
        <v>0</v>
      </c>
      <c r="F130" s="1091"/>
      <c r="G130" s="1091"/>
      <c r="H130" s="1091">
        <v>0</v>
      </c>
      <c r="I130" s="1092">
        <v>14222000</v>
      </c>
      <c r="J130" s="1092">
        <v>0</v>
      </c>
      <c r="K130" s="1032"/>
      <c r="L130" s="1032"/>
      <c r="M130" s="1091"/>
      <c r="N130" s="1091">
        <v>0</v>
      </c>
      <c r="O130" s="1091"/>
      <c r="P130" s="1091"/>
      <c r="Q130" s="1091"/>
      <c r="R130" s="1091"/>
      <c r="S130" s="1091"/>
      <c r="T130" s="1091"/>
      <c r="U130" s="1091"/>
      <c r="V130" s="1091">
        <f t="shared" si="103"/>
        <v>0</v>
      </c>
      <c r="W130" s="1091"/>
      <c r="X130" s="1091"/>
      <c r="Y130" s="1091"/>
      <c r="Z130" s="1091"/>
      <c r="AA130" s="1091"/>
      <c r="AB130" s="1091"/>
      <c r="AD130" s="650">
        <f t="shared" si="98"/>
        <v>0</v>
      </c>
      <c r="AI130" s="1277">
        <f>VLOOKUP(K130,'[2]ผลการเบิกจ่ายสะสม พ.ย. 66'!$C:$N,12,0)</f>
        <v>0</v>
      </c>
      <c r="AJ130" s="1274">
        <f t="shared" si="109"/>
        <v>0</v>
      </c>
    </row>
    <row r="131" spans="1:36" s="5" customFormat="1" x14ac:dyDescent="0.2">
      <c r="A131" s="26"/>
      <c r="B131" s="27" t="s">
        <v>764</v>
      </c>
      <c r="C131" s="139"/>
      <c r="D131" s="1090">
        <v>24935800</v>
      </c>
      <c r="E131" s="1091">
        <v>10515846.299999999</v>
      </c>
      <c r="F131" s="1091"/>
      <c r="G131" s="1091"/>
      <c r="H131" s="1091">
        <v>11482200</v>
      </c>
      <c r="I131" s="1092">
        <v>34536000</v>
      </c>
      <c r="J131" s="1092">
        <v>11482200</v>
      </c>
      <c r="K131" s="1029" t="s">
        <v>1353</v>
      </c>
      <c r="L131" s="1032" t="s">
        <v>1425</v>
      </c>
      <c r="M131" s="1091">
        <v>6471200</v>
      </c>
      <c r="N131" s="1091">
        <v>7579400</v>
      </c>
      <c r="O131" s="1091"/>
      <c r="P131" s="1091"/>
      <c r="Q131" s="1091"/>
      <c r="R131" s="1160"/>
      <c r="S131" s="1267">
        <f>214042</f>
        <v>214042</v>
      </c>
      <c r="T131" s="1091">
        <f t="shared" ref="T131" si="164">+R131+S131</f>
        <v>214042</v>
      </c>
      <c r="U131" s="1091">
        <f t="shared" ref="U131" si="165">+N131+O131-T131</f>
        <v>7365358</v>
      </c>
      <c r="V131" s="1091">
        <f t="shared" si="103"/>
        <v>2.8239966224239388</v>
      </c>
      <c r="W131" s="1091"/>
      <c r="X131" s="1091">
        <f t="shared" ref="X131" si="166">+T131+Q131</f>
        <v>214042</v>
      </c>
      <c r="Y131" s="1091">
        <f t="shared" ref="Y131" si="167">+U131-Q131</f>
        <v>7365358</v>
      </c>
      <c r="Z131" s="1091">
        <f t="shared" ref="Z131" si="168">+T131+Q131+P131</f>
        <v>214042</v>
      </c>
      <c r="AA131" s="1091">
        <f t="shared" ref="AA131" si="169">+U131-Q131-P131</f>
        <v>7365358</v>
      </c>
      <c r="AB131" s="1091">
        <f t="shared" ref="AB131" si="170">IFERROR(Z131*100/(N131+O131),0)</f>
        <v>2.8239966224239388</v>
      </c>
      <c r="AD131" s="650">
        <f t="shared" si="98"/>
        <v>0</v>
      </c>
      <c r="AI131" s="1277">
        <f>VLOOKUP(K131,'[2]ผลการเบิกจ่ายสะสม พ.ย. 66'!$C:$N,12,0)</f>
        <v>214042</v>
      </c>
      <c r="AJ131" s="1274">
        <f t="shared" si="109"/>
        <v>0</v>
      </c>
    </row>
    <row r="132" spans="1:36" s="5" customFormat="1" x14ac:dyDescent="0.2">
      <c r="A132" s="26"/>
      <c r="B132" s="27" t="s">
        <v>125</v>
      </c>
      <c r="C132" s="139"/>
      <c r="D132" s="1090">
        <v>3735500</v>
      </c>
      <c r="E132" s="1091">
        <v>392707</v>
      </c>
      <c r="F132" s="1091"/>
      <c r="G132" s="1091"/>
      <c r="H132" s="1091">
        <v>0</v>
      </c>
      <c r="I132" s="1092">
        <v>3195000</v>
      </c>
      <c r="J132" s="1092">
        <v>0</v>
      </c>
      <c r="K132" s="1032"/>
      <c r="L132" s="1032"/>
      <c r="M132" s="1091"/>
      <c r="N132" s="1091">
        <v>0</v>
      </c>
      <c r="O132" s="1091"/>
      <c r="P132" s="1091"/>
      <c r="Q132" s="1091"/>
      <c r="R132" s="1091"/>
      <c r="S132" s="1091"/>
      <c r="T132" s="1091"/>
      <c r="U132" s="1091"/>
      <c r="V132" s="1091">
        <f t="shared" si="103"/>
        <v>0</v>
      </c>
      <c r="W132" s="1091"/>
      <c r="X132" s="1091"/>
      <c r="Y132" s="1091"/>
      <c r="Z132" s="1091"/>
      <c r="AA132" s="1091"/>
      <c r="AB132" s="1091"/>
      <c r="AD132" s="650">
        <f t="shared" si="98"/>
        <v>0</v>
      </c>
      <c r="AI132" s="1277">
        <f>VLOOKUP(K132,'[2]ผลการเบิกจ่ายสะสม พ.ย. 66'!$C:$N,12,0)</f>
        <v>0</v>
      </c>
      <c r="AJ132" s="1274">
        <f t="shared" si="109"/>
        <v>0</v>
      </c>
    </row>
    <row r="133" spans="1:36" s="5" customFormat="1" x14ac:dyDescent="0.2">
      <c r="A133" s="279" t="s">
        <v>167</v>
      </c>
      <c r="B133" s="280"/>
      <c r="C133" s="280"/>
      <c r="D133" s="1139">
        <f>+D134</f>
        <v>584448300</v>
      </c>
      <c r="E133" s="1140">
        <f>+E134</f>
        <v>499774494.45000005</v>
      </c>
      <c r="F133" s="1140"/>
      <c r="G133" s="1140"/>
      <c r="H133" s="1140">
        <f>+H134</f>
        <v>507564000</v>
      </c>
      <c r="I133" s="1141">
        <v>679133200</v>
      </c>
      <c r="J133" s="1141">
        <f>+J134</f>
        <v>471102500</v>
      </c>
      <c r="K133" s="1039" t="s">
        <v>1354</v>
      </c>
      <c r="L133" s="1039"/>
      <c r="M133" s="1140">
        <f t="shared" ref="M133:AB133" si="171">+M134</f>
        <v>337595000</v>
      </c>
      <c r="N133" s="1140">
        <f>+N134</f>
        <v>341148300</v>
      </c>
      <c r="O133" s="1140">
        <f t="shared" si="171"/>
        <v>0</v>
      </c>
      <c r="P133" s="1140">
        <f t="shared" si="171"/>
        <v>0</v>
      </c>
      <c r="Q133" s="1140">
        <f t="shared" si="171"/>
        <v>99800</v>
      </c>
      <c r="R133" s="1140">
        <f t="shared" si="171"/>
        <v>0</v>
      </c>
      <c r="S133" s="1140">
        <f t="shared" si="171"/>
        <v>2083526.35</v>
      </c>
      <c r="T133" s="1140">
        <f t="shared" si="171"/>
        <v>2083526.35</v>
      </c>
      <c r="U133" s="1140">
        <f t="shared" si="171"/>
        <v>339064773.64999998</v>
      </c>
      <c r="V133" s="1140">
        <f t="shared" si="103"/>
        <v>0.61073918586139808</v>
      </c>
      <c r="W133" s="1140">
        <f t="shared" si="171"/>
        <v>0</v>
      </c>
      <c r="X133" s="1140">
        <f t="shared" si="171"/>
        <v>2183326.3499999996</v>
      </c>
      <c r="Y133" s="1140">
        <f t="shared" si="171"/>
        <v>338964973.64999998</v>
      </c>
      <c r="Z133" s="1140">
        <f t="shared" si="171"/>
        <v>2183326.3499999996</v>
      </c>
      <c r="AA133" s="1140">
        <f t="shared" si="171"/>
        <v>338964973.64999998</v>
      </c>
      <c r="AB133" s="1140">
        <f t="shared" si="171"/>
        <v>210.08385639383897</v>
      </c>
      <c r="AD133" s="650">
        <f t="shared" si="98"/>
        <v>0</v>
      </c>
      <c r="AI133" s="1277" t="e">
        <f>VLOOKUP(K133,'[2]ผลการเบิกจ่ายสะสม พ.ย. 66'!$C:$N,12,0)</f>
        <v>#N/A</v>
      </c>
      <c r="AJ133" s="1274" t="e">
        <f t="shared" si="109"/>
        <v>#N/A</v>
      </c>
    </row>
    <row r="134" spans="1:36" s="5" customFormat="1" x14ac:dyDescent="0.2">
      <c r="A134" s="14" t="s">
        <v>168</v>
      </c>
      <c r="B134" s="15"/>
      <c r="C134" s="15"/>
      <c r="D134" s="1084">
        <f>SUM(D135,D142)</f>
        <v>584448300</v>
      </c>
      <c r="E134" s="1085">
        <f>SUM(E135,E142)</f>
        <v>499774494.45000005</v>
      </c>
      <c r="F134" s="1085"/>
      <c r="G134" s="1085"/>
      <c r="H134" s="1085">
        <f>SUM(H135,H142)</f>
        <v>507564000</v>
      </c>
      <c r="I134" s="1086">
        <v>679133200</v>
      </c>
      <c r="J134" s="1086">
        <f>SUM(J135,J142)</f>
        <v>471102500</v>
      </c>
      <c r="K134" s="1027"/>
      <c r="L134" s="1027" t="s">
        <v>1426</v>
      </c>
      <c r="M134" s="1085">
        <f t="shared" ref="M134:U134" si="172">SUM(M135,M142)</f>
        <v>337595000</v>
      </c>
      <c r="N134" s="1085">
        <f>SUM(N135,N142)</f>
        <v>341148300</v>
      </c>
      <c r="O134" s="1085">
        <f t="shared" si="172"/>
        <v>0</v>
      </c>
      <c r="P134" s="1085">
        <f t="shared" si="172"/>
        <v>0</v>
      </c>
      <c r="Q134" s="1085">
        <f t="shared" si="172"/>
        <v>99800</v>
      </c>
      <c r="R134" s="1085">
        <f t="shared" si="172"/>
        <v>0</v>
      </c>
      <c r="S134" s="1085">
        <f t="shared" si="172"/>
        <v>2083526.35</v>
      </c>
      <c r="T134" s="1085">
        <f t="shared" si="172"/>
        <v>2083526.35</v>
      </c>
      <c r="U134" s="1085">
        <f t="shared" si="172"/>
        <v>339064773.64999998</v>
      </c>
      <c r="V134" s="1085">
        <f t="shared" si="103"/>
        <v>0.61073918586139808</v>
      </c>
      <c r="W134" s="1085">
        <f t="shared" ref="W134:AB134" si="173">SUM(W135,W142)</f>
        <v>0</v>
      </c>
      <c r="X134" s="1085">
        <f t="shared" si="173"/>
        <v>2183326.3499999996</v>
      </c>
      <c r="Y134" s="1085">
        <f t="shared" si="173"/>
        <v>338964973.64999998</v>
      </c>
      <c r="Z134" s="1085">
        <f t="shared" si="173"/>
        <v>2183326.3499999996</v>
      </c>
      <c r="AA134" s="1085">
        <f t="shared" si="173"/>
        <v>338964973.64999998</v>
      </c>
      <c r="AB134" s="1085">
        <f t="shared" si="173"/>
        <v>210.08385639383897</v>
      </c>
      <c r="AD134" s="650">
        <f t="shared" si="98"/>
        <v>0</v>
      </c>
      <c r="AI134" s="1277">
        <f>VLOOKUP(K134,'[2]ผลการเบิกจ่ายสะสม พ.ย. 66'!$C:$N,12,0)</f>
        <v>0</v>
      </c>
      <c r="AJ134" s="1274">
        <f t="shared" si="109"/>
        <v>-2083526.35</v>
      </c>
    </row>
    <row r="135" spans="1:36" s="5" customFormat="1" x14ac:dyDescent="0.2">
      <c r="A135" s="20" t="s">
        <v>60</v>
      </c>
      <c r="B135" s="21"/>
      <c r="C135" s="21"/>
      <c r="D135" s="1087">
        <f>+D136</f>
        <v>526445100</v>
      </c>
      <c r="E135" s="1088">
        <f>+E136</f>
        <v>474068043.69000006</v>
      </c>
      <c r="F135" s="1088"/>
      <c r="G135" s="1088"/>
      <c r="H135" s="1088">
        <f>+H136</f>
        <v>497154000</v>
      </c>
      <c r="I135" s="1089">
        <v>564745900</v>
      </c>
      <c r="J135" s="1089">
        <f>+J136</f>
        <v>449512200</v>
      </c>
      <c r="K135" s="1028"/>
      <c r="L135" s="1028"/>
      <c r="M135" s="1088">
        <f t="shared" ref="M135:AB135" si="174">+M136</f>
        <v>325832600</v>
      </c>
      <c r="N135" s="1088">
        <f>+N136</f>
        <v>327461400</v>
      </c>
      <c r="O135" s="1088">
        <f t="shared" si="174"/>
        <v>0</v>
      </c>
      <c r="P135" s="1088">
        <f t="shared" si="174"/>
        <v>0</v>
      </c>
      <c r="Q135" s="1088">
        <f t="shared" si="174"/>
        <v>0</v>
      </c>
      <c r="R135" s="1088">
        <f t="shared" si="174"/>
        <v>0</v>
      </c>
      <c r="S135" s="1088">
        <f t="shared" si="174"/>
        <v>558600</v>
      </c>
      <c r="T135" s="1088">
        <f t="shared" si="174"/>
        <v>558600</v>
      </c>
      <c r="U135" s="1088">
        <f t="shared" si="174"/>
        <v>326902800</v>
      </c>
      <c r="V135" s="1088">
        <f t="shared" si="103"/>
        <v>0.17058499108597228</v>
      </c>
      <c r="W135" s="1088">
        <f t="shared" si="174"/>
        <v>0</v>
      </c>
      <c r="X135" s="1088">
        <f t="shared" si="174"/>
        <v>558600</v>
      </c>
      <c r="Y135" s="1088">
        <f t="shared" si="174"/>
        <v>326902800</v>
      </c>
      <c r="Z135" s="1088">
        <f t="shared" si="174"/>
        <v>558600</v>
      </c>
      <c r="AA135" s="1088">
        <f t="shared" si="174"/>
        <v>326902800</v>
      </c>
      <c r="AB135" s="1088">
        <f t="shared" si="174"/>
        <v>9.31</v>
      </c>
      <c r="AC135" s="1002"/>
      <c r="AD135" s="650">
        <f t="shared" si="98"/>
        <v>0</v>
      </c>
      <c r="AI135" s="1277">
        <f>VLOOKUP(K135,'[2]ผลการเบิกจ่ายสะสม พ.ย. 66'!$C:$N,12,0)</f>
        <v>0</v>
      </c>
      <c r="AJ135" s="1274">
        <f t="shared" si="109"/>
        <v>-558600</v>
      </c>
    </row>
    <row r="136" spans="1:36" s="5" customFormat="1" x14ac:dyDescent="0.2">
      <c r="A136" s="33"/>
      <c r="B136" s="34" t="s">
        <v>151</v>
      </c>
      <c r="C136" s="273"/>
      <c r="D136" s="1096">
        <f>SUM(D137:D141)</f>
        <v>526445100</v>
      </c>
      <c r="E136" s="1097">
        <f>SUM(E137:E141)</f>
        <v>474068043.69000006</v>
      </c>
      <c r="F136" s="1097"/>
      <c r="G136" s="1097"/>
      <c r="H136" s="1097">
        <f>SUM(H137:H141)</f>
        <v>497154000</v>
      </c>
      <c r="I136" s="1098">
        <v>564745900</v>
      </c>
      <c r="J136" s="1098">
        <f>SUM(J137:J141)</f>
        <v>449512200</v>
      </c>
      <c r="K136" s="1040" t="s">
        <v>1355</v>
      </c>
      <c r="L136" s="1040" t="s">
        <v>1426</v>
      </c>
      <c r="M136" s="1105">
        <f t="shared" ref="M136:U136" si="175">+M137+M138+M139+M140+M141</f>
        <v>325832600</v>
      </c>
      <c r="N136" s="1105">
        <f>+N137+N138+N139+N140+N141</f>
        <v>327461400</v>
      </c>
      <c r="O136" s="1105">
        <f t="shared" si="175"/>
        <v>0</v>
      </c>
      <c r="P136" s="1105">
        <f t="shared" si="175"/>
        <v>0</v>
      </c>
      <c r="Q136" s="1105">
        <f t="shared" si="175"/>
        <v>0</v>
      </c>
      <c r="R136" s="1105">
        <f t="shared" si="175"/>
        <v>0</v>
      </c>
      <c r="S136" s="1105">
        <v>558600</v>
      </c>
      <c r="T136" s="1105">
        <f t="shared" si="175"/>
        <v>558600</v>
      </c>
      <c r="U136" s="1105">
        <f t="shared" si="175"/>
        <v>326902800</v>
      </c>
      <c r="V136" s="1105">
        <f t="shared" si="103"/>
        <v>0.17058499108597228</v>
      </c>
      <c r="W136" s="1105">
        <f t="shared" ref="W136:AB136" si="176">+W137+W138+W139+W140+W141</f>
        <v>0</v>
      </c>
      <c r="X136" s="1105">
        <f t="shared" si="176"/>
        <v>558600</v>
      </c>
      <c r="Y136" s="1105">
        <f t="shared" si="176"/>
        <v>326902800</v>
      </c>
      <c r="Z136" s="1105">
        <f t="shared" si="176"/>
        <v>558600</v>
      </c>
      <c r="AA136" s="1105">
        <f t="shared" si="176"/>
        <v>326902800</v>
      </c>
      <c r="AB136" s="1105">
        <f t="shared" si="176"/>
        <v>9.31</v>
      </c>
      <c r="AC136" s="1001"/>
      <c r="AD136" s="650">
        <f t="shared" si="98"/>
        <v>0</v>
      </c>
      <c r="AI136" s="1277">
        <f>VLOOKUP(K136,'[2]ผลการเบิกจ่ายสะสม พ.ย. 66'!$C:$N,12,0)</f>
        <v>558600</v>
      </c>
      <c r="AJ136" s="1274">
        <f t="shared" si="109"/>
        <v>0</v>
      </c>
    </row>
    <row r="137" spans="1:36" s="5" customFormat="1" ht="21" customHeight="1" outlineLevel="1" x14ac:dyDescent="0.2">
      <c r="A137" s="56"/>
      <c r="B137" s="36"/>
      <c r="C137" s="27" t="s">
        <v>61</v>
      </c>
      <c r="D137" s="1090">
        <f>431827730+310000</f>
        <v>432137730</v>
      </c>
      <c r="E137" s="1091">
        <v>381371893.35000002</v>
      </c>
      <c r="F137" s="1091"/>
      <c r="G137" s="1091"/>
      <c r="H137" s="1091">
        <v>407943800</v>
      </c>
      <c r="I137" s="1092">
        <v>450300000</v>
      </c>
      <c r="J137" s="1092">
        <v>348902300</v>
      </c>
      <c r="K137" s="1033"/>
      <c r="L137" s="1033"/>
      <c r="M137" s="1160">
        <v>236666600</v>
      </c>
      <c r="N137" s="1160">
        <v>236666600</v>
      </c>
      <c r="O137" s="1160"/>
      <c r="P137" s="1160"/>
      <c r="Q137" s="1160"/>
      <c r="R137" s="1160"/>
      <c r="S137" s="1160"/>
      <c r="T137" s="1091">
        <f t="shared" ref="T137:T141" si="177">+R137+S137</f>
        <v>0</v>
      </c>
      <c r="U137" s="1091">
        <f t="shared" ref="U137:U141" si="178">+N137+O137-T137</f>
        <v>236666600</v>
      </c>
      <c r="V137" s="1091">
        <f t="shared" si="103"/>
        <v>0</v>
      </c>
      <c r="W137" s="1091"/>
      <c r="X137" s="1091">
        <f t="shared" ref="X137:X141" si="179">+T137+Q137</f>
        <v>0</v>
      </c>
      <c r="Y137" s="1091">
        <f t="shared" ref="Y137:Y141" si="180">+U137-Q137</f>
        <v>236666600</v>
      </c>
      <c r="Z137" s="1091">
        <f t="shared" ref="Z137:Z141" si="181">+T137+Q137+P137</f>
        <v>0</v>
      </c>
      <c r="AA137" s="1091">
        <f t="shared" ref="AA137:AA141" si="182">+U137-Q137-P137</f>
        <v>236666600</v>
      </c>
      <c r="AB137" s="1091">
        <f t="shared" ref="AB137:AB141" si="183">IFERROR(Z137*100/(N137+O137),0)</f>
        <v>0</v>
      </c>
      <c r="AC137" s="1001"/>
      <c r="AD137" s="650">
        <f t="shared" si="98"/>
        <v>0</v>
      </c>
      <c r="AI137" s="1277">
        <f>VLOOKUP(K137,'[2]ผลการเบิกจ่ายสะสม พ.ย. 66'!$C:$N,12,0)</f>
        <v>0</v>
      </c>
      <c r="AJ137" s="1274">
        <f t="shared" si="109"/>
        <v>0</v>
      </c>
    </row>
    <row r="138" spans="1:36" s="5" customFormat="1" ht="21" customHeight="1" outlineLevel="1" x14ac:dyDescent="0.2">
      <c r="A138" s="56"/>
      <c r="B138" s="36"/>
      <c r="C138" s="27" t="s">
        <v>62</v>
      </c>
      <c r="D138" s="1090">
        <v>2560650</v>
      </c>
      <c r="E138" s="1108">
        <v>2354231.5699999998</v>
      </c>
      <c r="F138" s="1108"/>
      <c r="G138" s="1108"/>
      <c r="H138" s="1108">
        <v>2069100</v>
      </c>
      <c r="I138" s="1092">
        <v>3352000</v>
      </c>
      <c r="J138" s="1092">
        <v>2873800</v>
      </c>
      <c r="K138" s="1033"/>
      <c r="L138" s="1033"/>
      <c r="M138" s="1160">
        <v>1496000</v>
      </c>
      <c r="N138" s="1160">
        <v>1674800</v>
      </c>
      <c r="O138" s="1160"/>
      <c r="P138" s="1160"/>
      <c r="Q138" s="1160"/>
      <c r="R138" s="1160"/>
      <c r="S138" s="1160"/>
      <c r="T138" s="1091">
        <f t="shared" si="177"/>
        <v>0</v>
      </c>
      <c r="U138" s="1091">
        <f t="shared" si="178"/>
        <v>1674800</v>
      </c>
      <c r="V138" s="1091">
        <f t="shared" si="103"/>
        <v>0</v>
      </c>
      <c r="W138" s="1091"/>
      <c r="X138" s="1091">
        <f t="shared" si="179"/>
        <v>0</v>
      </c>
      <c r="Y138" s="1091">
        <f t="shared" si="180"/>
        <v>1674800</v>
      </c>
      <c r="Z138" s="1091">
        <f t="shared" si="181"/>
        <v>0</v>
      </c>
      <c r="AA138" s="1091">
        <f t="shared" si="182"/>
        <v>1674800</v>
      </c>
      <c r="AB138" s="1091">
        <f t="shared" si="183"/>
        <v>0</v>
      </c>
      <c r="AC138" s="1001"/>
      <c r="AD138" s="650">
        <f t="shared" si="98"/>
        <v>0</v>
      </c>
      <c r="AI138" s="1277">
        <f>VLOOKUP(K138,'[2]ผลการเบิกจ่ายสะสม พ.ย. 66'!$C:$N,12,0)</f>
        <v>0</v>
      </c>
      <c r="AJ138" s="1274">
        <f t="shared" si="109"/>
        <v>0</v>
      </c>
    </row>
    <row r="139" spans="1:36" s="5" customFormat="1" ht="21" customHeight="1" outlineLevel="1" x14ac:dyDescent="0.2">
      <c r="A139" s="56"/>
      <c r="B139" s="36"/>
      <c r="C139" s="27" t="s">
        <v>51</v>
      </c>
      <c r="D139" s="1090">
        <v>13309810</v>
      </c>
      <c r="E139" s="1108">
        <v>11501589.98</v>
      </c>
      <c r="F139" s="1108"/>
      <c r="G139" s="1108"/>
      <c r="H139" s="1108">
        <v>12183100</v>
      </c>
      <c r="I139" s="1092">
        <v>14301000</v>
      </c>
      <c r="J139" s="1092">
        <v>12621200</v>
      </c>
      <c r="K139" s="1033"/>
      <c r="L139" s="1033"/>
      <c r="M139" s="1160">
        <v>4550000</v>
      </c>
      <c r="N139" s="1160">
        <v>6000000</v>
      </c>
      <c r="O139" s="1160"/>
      <c r="P139" s="1160"/>
      <c r="Q139" s="1160"/>
      <c r="R139" s="1160"/>
      <c r="S139" s="1283">
        <f>558600</f>
        <v>558600</v>
      </c>
      <c r="T139" s="1091">
        <f t="shared" si="177"/>
        <v>558600</v>
      </c>
      <c r="U139" s="1091">
        <f t="shared" si="178"/>
        <v>5441400</v>
      </c>
      <c r="V139" s="1091">
        <f t="shared" si="103"/>
        <v>9.31</v>
      </c>
      <c r="W139" s="1091"/>
      <c r="X139" s="1091">
        <f t="shared" si="179"/>
        <v>558600</v>
      </c>
      <c r="Y139" s="1091">
        <f t="shared" si="180"/>
        <v>5441400</v>
      </c>
      <c r="Z139" s="1091">
        <f t="shared" si="181"/>
        <v>558600</v>
      </c>
      <c r="AA139" s="1091">
        <f t="shared" si="182"/>
        <v>5441400</v>
      </c>
      <c r="AB139" s="1091">
        <f t="shared" si="183"/>
        <v>9.31</v>
      </c>
      <c r="AC139" s="1001"/>
      <c r="AD139" s="650">
        <f t="shared" ref="AD139:AD202" si="184">+N139+O139-R139-S139-U139</f>
        <v>0</v>
      </c>
      <c r="AI139" s="1277">
        <f>VLOOKUP(K139,'[2]ผลการเบิกจ่ายสะสม พ.ย. 66'!$C:$N,12,0)</f>
        <v>0</v>
      </c>
      <c r="AJ139" s="1274">
        <f t="shared" si="109"/>
        <v>-558600</v>
      </c>
    </row>
    <row r="140" spans="1:36" s="5" customFormat="1" ht="21" customHeight="1" outlineLevel="1" x14ac:dyDescent="0.2">
      <c r="A140" s="56"/>
      <c r="B140" s="36"/>
      <c r="C140" s="27" t="s">
        <v>63</v>
      </c>
      <c r="D140" s="1090">
        <f>75812060-310000</f>
        <v>75502060</v>
      </c>
      <c r="E140" s="1108">
        <v>75424981.069999993</v>
      </c>
      <c r="F140" s="1108"/>
      <c r="G140" s="1108"/>
      <c r="H140" s="1108">
        <v>74538600</v>
      </c>
      <c r="I140" s="1092">
        <v>93729800</v>
      </c>
      <c r="J140" s="1092">
        <v>82121800</v>
      </c>
      <c r="K140" s="1033"/>
      <c r="L140" s="1033"/>
      <c r="M140" s="1160">
        <v>80000000</v>
      </c>
      <c r="N140" s="1160">
        <v>80000000</v>
      </c>
      <c r="O140" s="1160"/>
      <c r="P140" s="1160"/>
      <c r="Q140" s="1160"/>
      <c r="R140" s="1160"/>
      <c r="S140" s="1160"/>
      <c r="T140" s="1091">
        <f t="shared" si="177"/>
        <v>0</v>
      </c>
      <c r="U140" s="1091">
        <f t="shared" si="178"/>
        <v>80000000</v>
      </c>
      <c r="V140" s="1091">
        <f t="shared" si="103"/>
        <v>0</v>
      </c>
      <c r="W140" s="1091"/>
      <c r="X140" s="1091">
        <f t="shared" si="179"/>
        <v>0</v>
      </c>
      <c r="Y140" s="1091">
        <f t="shared" si="180"/>
        <v>80000000</v>
      </c>
      <c r="Z140" s="1091">
        <f t="shared" si="181"/>
        <v>0</v>
      </c>
      <c r="AA140" s="1091">
        <f t="shared" si="182"/>
        <v>80000000</v>
      </c>
      <c r="AB140" s="1091">
        <f t="shared" si="183"/>
        <v>0</v>
      </c>
      <c r="AC140" s="1001"/>
      <c r="AD140" s="650">
        <f t="shared" si="184"/>
        <v>0</v>
      </c>
      <c r="AI140" s="1277">
        <f>VLOOKUP(K140,'[2]ผลการเบิกจ่ายสะสม พ.ย. 66'!$C:$N,12,0)</f>
        <v>0</v>
      </c>
      <c r="AJ140" s="1274">
        <f t="shared" si="109"/>
        <v>0</v>
      </c>
    </row>
    <row r="141" spans="1:36" s="1022" customFormat="1" ht="24" customHeight="1" outlineLevel="1" x14ac:dyDescent="0.2">
      <c r="A141" s="1018"/>
      <c r="B141" s="1019"/>
      <c r="C141" s="1020" t="s">
        <v>54</v>
      </c>
      <c r="D141" s="1111">
        <v>2934850</v>
      </c>
      <c r="E141" s="1109">
        <v>3415347.72</v>
      </c>
      <c r="F141" s="1109"/>
      <c r="G141" s="1109"/>
      <c r="H141" s="1109">
        <v>419400</v>
      </c>
      <c r="I141" s="1110">
        <v>3063100</v>
      </c>
      <c r="J141" s="1110">
        <v>2993100</v>
      </c>
      <c r="K141" s="1033"/>
      <c r="L141" s="1033"/>
      <c r="M141" s="1160">
        <v>3120000</v>
      </c>
      <c r="N141" s="1160">
        <v>3120000</v>
      </c>
      <c r="O141" s="1160"/>
      <c r="P141" s="1160"/>
      <c r="Q141" s="1160"/>
      <c r="R141" s="1160"/>
      <c r="S141" s="1160"/>
      <c r="T141" s="1091">
        <f t="shared" si="177"/>
        <v>0</v>
      </c>
      <c r="U141" s="1091">
        <f t="shared" si="178"/>
        <v>3120000</v>
      </c>
      <c r="V141" s="1091">
        <f t="shared" si="103"/>
        <v>0</v>
      </c>
      <c r="W141" s="1091"/>
      <c r="X141" s="1091">
        <f t="shared" si="179"/>
        <v>0</v>
      </c>
      <c r="Y141" s="1091">
        <f t="shared" si="180"/>
        <v>3120000</v>
      </c>
      <c r="Z141" s="1091">
        <f t="shared" si="181"/>
        <v>0</v>
      </c>
      <c r="AA141" s="1091">
        <f t="shared" si="182"/>
        <v>3120000</v>
      </c>
      <c r="AB141" s="1091">
        <f t="shared" si="183"/>
        <v>0</v>
      </c>
      <c r="AC141" s="1021"/>
      <c r="AD141" s="650">
        <f t="shared" si="184"/>
        <v>0</v>
      </c>
      <c r="AI141" s="1277">
        <f>VLOOKUP(K141,'[2]ผลการเบิกจ่ายสะสม พ.ย. 66'!$C:$N,12,0)</f>
        <v>0</v>
      </c>
      <c r="AJ141" s="1274">
        <f t="shared" si="109"/>
        <v>0</v>
      </c>
    </row>
    <row r="142" spans="1:36" s="5" customFormat="1" x14ac:dyDescent="0.2">
      <c r="A142" s="20" t="s">
        <v>64</v>
      </c>
      <c r="B142" s="21"/>
      <c r="C142" s="21"/>
      <c r="D142" s="1087">
        <f>+D143+D145+D150+D151+D153+D154+D156+D157</f>
        <v>58003200</v>
      </c>
      <c r="E142" s="1142">
        <f>+E143+E145+E150+E151+E153+E154+E156+E157+E159+E161</f>
        <v>25706450.760000002</v>
      </c>
      <c r="F142" s="1142"/>
      <c r="G142" s="1142"/>
      <c r="H142" s="1142">
        <f>+H143+H145+H150+H151+H153+H154+H156+H157+H159+H161</f>
        <v>10410000</v>
      </c>
      <c r="I142" s="1089">
        <v>114387300</v>
      </c>
      <c r="J142" s="1089">
        <f>+J143+J145+J150+J151+J153+J154+J156+J157+J159+J161+J163+J149+J164</f>
        <v>21590300</v>
      </c>
      <c r="K142" s="1028"/>
      <c r="L142" s="1028"/>
      <c r="M142" s="1088">
        <f t="shared" ref="M142:U142" si="185">+M143+M145+M150+M151+M153+M154+M156+M157+M159+M161+M163+M149+M164</f>
        <v>11762400</v>
      </c>
      <c r="N142" s="1088">
        <f>+N143+N145+N150+N151+N153+N154+N156+N157+N159+N161+N163+N149+N164</f>
        <v>13686900</v>
      </c>
      <c r="O142" s="1088">
        <f t="shared" si="185"/>
        <v>0</v>
      </c>
      <c r="P142" s="1088">
        <f t="shared" si="185"/>
        <v>0</v>
      </c>
      <c r="Q142" s="1088">
        <f t="shared" si="185"/>
        <v>99800</v>
      </c>
      <c r="R142" s="1088">
        <f t="shared" si="185"/>
        <v>0</v>
      </c>
      <c r="S142" s="1088">
        <f t="shared" si="185"/>
        <v>1524926.35</v>
      </c>
      <c r="T142" s="1088">
        <f t="shared" si="185"/>
        <v>1524926.35</v>
      </c>
      <c r="U142" s="1088">
        <f t="shared" si="185"/>
        <v>12161973.65</v>
      </c>
      <c r="V142" s="1088">
        <f t="shared" si="103"/>
        <v>11.141502823868079</v>
      </c>
      <c r="W142" s="1088">
        <f t="shared" ref="W142:AB142" si="186">+W143+W145+W150+W151+W153+W154+W156+W157+W159+W161+W163+W149+W164</f>
        <v>0</v>
      </c>
      <c r="X142" s="1088">
        <f t="shared" si="186"/>
        <v>1624726.3499999999</v>
      </c>
      <c r="Y142" s="1088">
        <f t="shared" si="186"/>
        <v>12062173.65</v>
      </c>
      <c r="Z142" s="1088">
        <f t="shared" si="186"/>
        <v>1624726.3499999999</v>
      </c>
      <c r="AA142" s="1088">
        <f t="shared" si="186"/>
        <v>12062173.65</v>
      </c>
      <c r="AB142" s="1088">
        <f t="shared" si="186"/>
        <v>200.77385639383897</v>
      </c>
      <c r="AD142" s="650">
        <f t="shared" si="184"/>
        <v>0</v>
      </c>
      <c r="AI142" s="1277">
        <f>VLOOKUP(K142,'[2]ผลการเบิกจ่ายสะสม พ.ย. 66'!$C:$N,12,0)</f>
        <v>0</v>
      </c>
      <c r="AJ142" s="1274">
        <f t="shared" si="109"/>
        <v>-1524926.35</v>
      </c>
    </row>
    <row r="143" spans="1:36" s="5" customFormat="1" x14ac:dyDescent="0.2">
      <c r="A143" s="33"/>
      <c r="B143" s="34" t="s">
        <v>120</v>
      </c>
      <c r="C143" s="273"/>
      <c r="D143" s="1096">
        <f>SUM(D144)</f>
        <v>9551100</v>
      </c>
      <c r="E143" s="1117">
        <f>SUM(E144)</f>
        <v>919886.1</v>
      </c>
      <c r="F143" s="1117"/>
      <c r="G143" s="1117"/>
      <c r="H143" s="1117">
        <f>SUM(H144)</f>
        <v>0</v>
      </c>
      <c r="I143" s="1098">
        <v>30465300</v>
      </c>
      <c r="J143" s="1098">
        <f>SUM(J144)</f>
        <v>0</v>
      </c>
      <c r="K143" s="1029"/>
      <c r="L143" s="1029"/>
      <c r="M143" s="1097">
        <f t="shared" ref="M143:AB143" si="187">SUM(M144)</f>
        <v>0</v>
      </c>
      <c r="N143" s="1097">
        <f>SUM(N144)</f>
        <v>0</v>
      </c>
      <c r="O143" s="1097">
        <f t="shared" si="187"/>
        <v>0</v>
      </c>
      <c r="P143" s="1097">
        <f t="shared" si="187"/>
        <v>0</v>
      </c>
      <c r="Q143" s="1097">
        <f t="shared" si="187"/>
        <v>0</v>
      </c>
      <c r="R143" s="1097">
        <f t="shared" si="187"/>
        <v>0</v>
      </c>
      <c r="S143" s="1105">
        <f t="shared" si="187"/>
        <v>0</v>
      </c>
      <c r="T143" s="1097">
        <f t="shared" si="187"/>
        <v>0</v>
      </c>
      <c r="U143" s="1097">
        <f t="shared" si="187"/>
        <v>0</v>
      </c>
      <c r="V143" s="1097">
        <f t="shared" ref="V143:V206" si="188">IFERROR(T143*100/(N143+O143),0)</f>
        <v>0</v>
      </c>
      <c r="W143" s="1097">
        <f t="shared" si="187"/>
        <v>0</v>
      </c>
      <c r="X143" s="1097">
        <f t="shared" si="187"/>
        <v>0</v>
      </c>
      <c r="Y143" s="1097">
        <f t="shared" si="187"/>
        <v>0</v>
      </c>
      <c r="Z143" s="1097">
        <f t="shared" si="187"/>
        <v>0</v>
      </c>
      <c r="AA143" s="1097">
        <f t="shared" si="187"/>
        <v>0</v>
      </c>
      <c r="AB143" s="1097">
        <f t="shared" si="187"/>
        <v>0</v>
      </c>
      <c r="AD143" s="650">
        <f t="shared" si="184"/>
        <v>0</v>
      </c>
      <c r="AI143" s="1277">
        <f>VLOOKUP(K143,'[2]ผลการเบิกจ่ายสะสม พ.ย. 66'!$C:$N,12,0)</f>
        <v>0</v>
      </c>
      <c r="AJ143" s="1274">
        <f t="shared" ref="AJ143:AJ206" si="189">+AI143-S143</f>
        <v>0</v>
      </c>
    </row>
    <row r="144" spans="1:36" s="5" customFormat="1" ht="21" customHeight="1" outlineLevel="1" x14ac:dyDescent="0.2">
      <c r="A144" s="56"/>
      <c r="B144" s="36"/>
      <c r="C144" s="27" t="s">
        <v>61</v>
      </c>
      <c r="D144" s="1090">
        <v>9551100</v>
      </c>
      <c r="E144" s="1108">
        <v>919886.1</v>
      </c>
      <c r="F144" s="1108"/>
      <c r="G144" s="1108"/>
      <c r="H144" s="1108">
        <v>0</v>
      </c>
      <c r="I144" s="1092">
        <v>30465300</v>
      </c>
      <c r="J144" s="1092">
        <v>0</v>
      </c>
      <c r="K144" s="1033"/>
      <c r="L144" s="1033"/>
      <c r="M144" s="1160"/>
      <c r="N144" s="1160">
        <v>0</v>
      </c>
      <c r="O144" s="1160"/>
      <c r="P144" s="1160"/>
      <c r="Q144" s="1160"/>
      <c r="R144" s="1160"/>
      <c r="S144" s="1160"/>
      <c r="T144" s="1091">
        <f t="shared" ref="T144" si="190">+R144+S144</f>
        <v>0</v>
      </c>
      <c r="U144" s="1091">
        <f t="shared" ref="U144" si="191">+N144+O144-T144</f>
        <v>0</v>
      </c>
      <c r="V144" s="1091">
        <f t="shared" si="188"/>
        <v>0</v>
      </c>
      <c r="W144" s="1091"/>
      <c r="X144" s="1091">
        <f t="shared" ref="X144" si="192">+T144+Q144</f>
        <v>0</v>
      </c>
      <c r="Y144" s="1091">
        <f t="shared" ref="Y144" si="193">+U144-Q144</f>
        <v>0</v>
      </c>
      <c r="Z144" s="1091">
        <f t="shared" ref="Z144" si="194">+T144+Q144+P144</f>
        <v>0</v>
      </c>
      <c r="AA144" s="1091">
        <f t="shared" ref="AA144" si="195">+U144-Q144-P144</f>
        <v>0</v>
      </c>
      <c r="AB144" s="1091">
        <f t="shared" ref="AB144" si="196">IFERROR(Z144*100/(N144+O144),0)</f>
        <v>0</v>
      </c>
      <c r="AD144" s="650">
        <f t="shared" si="184"/>
        <v>0</v>
      </c>
      <c r="AI144" s="1277">
        <f>VLOOKUP(K144,'[2]ผลการเบิกจ่ายสะสม พ.ย. 66'!$C:$N,12,0)</f>
        <v>0</v>
      </c>
      <c r="AJ144" s="1274">
        <f t="shared" si="189"/>
        <v>0</v>
      </c>
    </row>
    <row r="145" spans="1:36" s="5" customFormat="1" x14ac:dyDescent="0.2">
      <c r="A145" s="33"/>
      <c r="B145" s="34" t="s">
        <v>867</v>
      </c>
      <c r="C145" s="34"/>
      <c r="D145" s="1096">
        <f>SUM(D146:D148)</f>
        <v>13036900</v>
      </c>
      <c r="E145" s="1117">
        <f>SUM(E146:E148)</f>
        <v>2644436.2400000002</v>
      </c>
      <c r="F145" s="1117"/>
      <c r="G145" s="1117"/>
      <c r="H145" s="1117">
        <f>SUM(H146:H148)</f>
        <v>5110400</v>
      </c>
      <c r="I145" s="1098">
        <v>20300800</v>
      </c>
      <c r="J145" s="1098">
        <f>SUM(J146:J148)</f>
        <v>5110400</v>
      </c>
      <c r="K145" s="1029" t="s">
        <v>1356</v>
      </c>
      <c r="L145" s="1029" t="s">
        <v>1426</v>
      </c>
      <c r="M145" s="1097">
        <f t="shared" ref="M145:U145" si="197">SUM(M146:M148)</f>
        <v>3406900</v>
      </c>
      <c r="N145" s="1097">
        <f>SUM(N146:N148)</f>
        <v>3406900</v>
      </c>
      <c r="O145" s="1097">
        <f t="shared" si="197"/>
        <v>0</v>
      </c>
      <c r="P145" s="1097">
        <f t="shared" si="197"/>
        <v>0</v>
      </c>
      <c r="Q145" s="1097">
        <f t="shared" si="197"/>
        <v>0</v>
      </c>
      <c r="R145" s="1097">
        <f t="shared" si="197"/>
        <v>0</v>
      </c>
      <c r="S145" s="1268">
        <f>140481.12+424790.99</f>
        <v>565272.11</v>
      </c>
      <c r="T145" s="1097">
        <f t="shared" si="197"/>
        <v>565272.11</v>
      </c>
      <c r="U145" s="1097">
        <f t="shared" si="197"/>
        <v>2841627.8899999997</v>
      </c>
      <c r="V145" s="1097">
        <f t="shared" si="188"/>
        <v>16.591978338078604</v>
      </c>
      <c r="W145" s="1097">
        <f t="shared" ref="W145:AB145" si="198">SUM(W146:W148)</f>
        <v>0</v>
      </c>
      <c r="X145" s="1097">
        <f t="shared" si="198"/>
        <v>565272.11</v>
      </c>
      <c r="Y145" s="1097">
        <f t="shared" si="198"/>
        <v>2841627.8899999997</v>
      </c>
      <c r="Z145" s="1097">
        <f t="shared" si="198"/>
        <v>565272.11</v>
      </c>
      <c r="AA145" s="1097">
        <f t="shared" si="198"/>
        <v>2841627.8899999997</v>
      </c>
      <c r="AB145" s="1097">
        <f t="shared" si="198"/>
        <v>87.944146625332593</v>
      </c>
      <c r="AD145" s="650">
        <f t="shared" si="184"/>
        <v>0</v>
      </c>
      <c r="AI145" s="1277">
        <f>VLOOKUP(K145,'[2]ผลการเบิกจ่ายสะสม พ.ย. 66'!$C:$N,12,0)</f>
        <v>565272.11</v>
      </c>
      <c r="AJ145" s="1274">
        <f t="shared" si="189"/>
        <v>0</v>
      </c>
    </row>
    <row r="146" spans="1:36" s="5" customFormat="1" ht="21" customHeight="1" outlineLevel="1" x14ac:dyDescent="0.35">
      <c r="A146" s="56"/>
      <c r="B146" s="36"/>
      <c r="C146" s="27" t="s">
        <v>61</v>
      </c>
      <c r="D146" s="1111">
        <v>11112700</v>
      </c>
      <c r="E146" s="1109">
        <v>2115989.6800000002</v>
      </c>
      <c r="F146" s="1109"/>
      <c r="G146" s="1109"/>
      <c r="H146" s="1109">
        <v>4279400</v>
      </c>
      <c r="I146" s="1110">
        <v>17511700</v>
      </c>
      <c r="J146" s="1110">
        <v>4096500</v>
      </c>
      <c r="K146" s="1033"/>
      <c r="L146" s="1033"/>
      <c r="M146" s="1160">
        <v>2731000</v>
      </c>
      <c r="N146" s="1160">
        <v>2731000</v>
      </c>
      <c r="O146" s="1160"/>
      <c r="P146" s="1160"/>
      <c r="Q146" s="1160"/>
      <c r="R146" s="1160"/>
      <c r="S146" s="1285">
        <f>393615.48</f>
        <v>393615.48</v>
      </c>
      <c r="T146" s="1091">
        <f t="shared" ref="T146:T165" si="199">+R146+S146</f>
        <v>393615.48</v>
      </c>
      <c r="U146" s="1091">
        <f t="shared" ref="U146:U165" si="200">+N146+O146-T146</f>
        <v>2337384.52</v>
      </c>
      <c r="V146" s="1091">
        <f t="shared" si="188"/>
        <v>14.412870010984987</v>
      </c>
      <c r="W146" s="1091"/>
      <c r="X146" s="1091">
        <f t="shared" ref="X146:X165" si="201">+T146+Q146</f>
        <v>393615.48</v>
      </c>
      <c r="Y146" s="1091">
        <f t="shared" ref="Y146:Y165" si="202">+U146-Q146</f>
        <v>2337384.52</v>
      </c>
      <c r="Z146" s="1091">
        <f t="shared" ref="Z146:Z165" si="203">+T146+Q146+P146</f>
        <v>393615.48</v>
      </c>
      <c r="AA146" s="1091">
        <f t="shared" ref="AA146:AA165" si="204">+U146-Q146-P146</f>
        <v>2337384.52</v>
      </c>
      <c r="AB146" s="1091">
        <f t="shared" ref="AB146:AB165" si="205">IFERROR(Z146*100/(N146+O146),0)</f>
        <v>14.412870010984987</v>
      </c>
      <c r="AD146" s="650">
        <f t="shared" si="184"/>
        <v>0</v>
      </c>
      <c r="AI146" s="1277">
        <f>VLOOKUP(K146,'[2]ผลการเบิกจ่ายสะสม พ.ย. 66'!$C:$N,12,0)</f>
        <v>0</v>
      </c>
      <c r="AJ146" s="1274">
        <f t="shared" si="189"/>
        <v>-393615.48</v>
      </c>
    </row>
    <row r="147" spans="1:36" s="5" customFormat="1" ht="21" customHeight="1" outlineLevel="1" x14ac:dyDescent="0.35">
      <c r="A147" s="56"/>
      <c r="B147" s="36"/>
      <c r="C147" s="27" t="s">
        <v>71</v>
      </c>
      <c r="D147" s="1111">
        <v>1283100</v>
      </c>
      <c r="E147" s="1109">
        <v>161053.56</v>
      </c>
      <c r="F147" s="1109"/>
      <c r="G147" s="1109"/>
      <c r="H147" s="1109">
        <v>399500</v>
      </c>
      <c r="I147" s="1110">
        <v>2220000</v>
      </c>
      <c r="J147" s="1110">
        <v>317500</v>
      </c>
      <c r="K147" s="1033"/>
      <c r="L147" s="1033"/>
      <c r="M147" s="1160">
        <v>211600</v>
      </c>
      <c r="N147" s="1160">
        <v>211600</v>
      </c>
      <c r="O147" s="1160"/>
      <c r="P147" s="1160"/>
      <c r="Q147" s="1160"/>
      <c r="R147" s="1160"/>
      <c r="S147" s="1286">
        <f>142140.51</f>
        <v>142140.51</v>
      </c>
      <c r="T147" s="1091">
        <f t="shared" si="199"/>
        <v>142140.51</v>
      </c>
      <c r="U147" s="1091">
        <f t="shared" si="200"/>
        <v>69459.489999999991</v>
      </c>
      <c r="V147" s="1091">
        <f t="shared" si="188"/>
        <v>67.174154064272216</v>
      </c>
      <c r="W147" s="1091"/>
      <c r="X147" s="1091">
        <f t="shared" si="201"/>
        <v>142140.51</v>
      </c>
      <c r="Y147" s="1091">
        <f t="shared" si="202"/>
        <v>69459.489999999991</v>
      </c>
      <c r="Z147" s="1091">
        <f t="shared" si="203"/>
        <v>142140.51</v>
      </c>
      <c r="AA147" s="1091">
        <f t="shared" si="204"/>
        <v>69459.489999999991</v>
      </c>
      <c r="AB147" s="1091">
        <f t="shared" si="205"/>
        <v>67.174154064272216</v>
      </c>
      <c r="AD147" s="650">
        <f t="shared" si="184"/>
        <v>0</v>
      </c>
      <c r="AI147" s="1277">
        <f>VLOOKUP(K147,'[2]ผลการเบิกจ่ายสะสม พ.ย. 66'!$C:$N,12,0)</f>
        <v>0</v>
      </c>
      <c r="AJ147" s="1274">
        <f t="shared" si="189"/>
        <v>-142140.51</v>
      </c>
    </row>
    <row r="148" spans="1:36" s="5" customFormat="1" ht="21" customHeight="1" outlineLevel="1" x14ac:dyDescent="0.2">
      <c r="A148" s="56"/>
      <c r="B148" s="36"/>
      <c r="C148" s="27" t="s">
        <v>62</v>
      </c>
      <c r="D148" s="1111">
        <v>641100</v>
      </c>
      <c r="E148" s="1109">
        <v>367393</v>
      </c>
      <c r="F148" s="1109"/>
      <c r="G148" s="1109"/>
      <c r="H148" s="1109">
        <v>431500</v>
      </c>
      <c r="I148" s="1110">
        <v>569100</v>
      </c>
      <c r="J148" s="1110">
        <v>696400</v>
      </c>
      <c r="K148" s="1033"/>
      <c r="L148" s="1033"/>
      <c r="M148" s="1160">
        <v>464300</v>
      </c>
      <c r="N148" s="1160">
        <v>464300</v>
      </c>
      <c r="O148" s="1160"/>
      <c r="P148" s="1160"/>
      <c r="Q148" s="1160"/>
      <c r="R148" s="1160"/>
      <c r="S148" s="1283">
        <f>29516.12</f>
        <v>29516.12</v>
      </c>
      <c r="T148" s="1091">
        <f t="shared" si="199"/>
        <v>29516.12</v>
      </c>
      <c r="U148" s="1091">
        <f t="shared" si="200"/>
        <v>434783.88</v>
      </c>
      <c r="V148" s="1091">
        <f t="shared" si="188"/>
        <v>6.3571225500753821</v>
      </c>
      <c r="W148" s="1091"/>
      <c r="X148" s="1091">
        <f t="shared" si="201"/>
        <v>29516.12</v>
      </c>
      <c r="Y148" s="1091">
        <f t="shared" si="202"/>
        <v>434783.88</v>
      </c>
      <c r="Z148" s="1091">
        <f t="shared" si="203"/>
        <v>29516.12</v>
      </c>
      <c r="AA148" s="1091">
        <f t="shared" si="204"/>
        <v>434783.88</v>
      </c>
      <c r="AB148" s="1091">
        <f t="shared" si="205"/>
        <v>6.3571225500753821</v>
      </c>
      <c r="AD148" s="650">
        <f t="shared" si="184"/>
        <v>0</v>
      </c>
      <c r="AI148" s="1277">
        <f>VLOOKUP(K148,'[2]ผลการเบิกจ่ายสะสม พ.ย. 66'!$C:$N,12,0)</f>
        <v>0</v>
      </c>
      <c r="AJ148" s="1274">
        <f t="shared" si="189"/>
        <v>-29516.12</v>
      </c>
    </row>
    <row r="149" spans="1:36" s="5" customFormat="1" x14ac:dyDescent="0.2">
      <c r="A149" s="56"/>
      <c r="B149" s="183" t="s">
        <v>868</v>
      </c>
      <c r="C149" s="27"/>
      <c r="D149" s="1118"/>
      <c r="E149" s="1109"/>
      <c r="F149" s="1109"/>
      <c r="G149" s="1109"/>
      <c r="H149" s="1109"/>
      <c r="I149" s="1106">
        <v>3000000</v>
      </c>
      <c r="J149" s="1106">
        <v>2500000</v>
      </c>
      <c r="K149" s="1029" t="s">
        <v>1357</v>
      </c>
      <c r="L149" s="1040" t="s">
        <v>1426</v>
      </c>
      <c r="M149" s="1105">
        <v>1346600</v>
      </c>
      <c r="N149" s="1105">
        <v>1666600</v>
      </c>
      <c r="O149" s="1105"/>
      <c r="P149" s="1105"/>
      <c r="Q149" s="1105"/>
      <c r="R149" s="1105"/>
      <c r="S149" s="1268">
        <f>16935+424100</f>
        <v>441035</v>
      </c>
      <c r="T149" s="1091">
        <f t="shared" si="199"/>
        <v>441035</v>
      </c>
      <c r="U149" s="1091">
        <f t="shared" si="200"/>
        <v>1225565</v>
      </c>
      <c r="V149" s="1091">
        <f t="shared" si="188"/>
        <v>26.463158526341054</v>
      </c>
      <c r="W149" s="1091"/>
      <c r="X149" s="1091">
        <f t="shared" si="201"/>
        <v>441035</v>
      </c>
      <c r="Y149" s="1091">
        <f t="shared" si="202"/>
        <v>1225565</v>
      </c>
      <c r="Z149" s="1091">
        <f t="shared" si="203"/>
        <v>441035</v>
      </c>
      <c r="AA149" s="1091">
        <f t="shared" si="204"/>
        <v>1225565</v>
      </c>
      <c r="AB149" s="1091">
        <f t="shared" si="205"/>
        <v>26.463158526341054</v>
      </c>
      <c r="AD149" s="650">
        <f t="shared" si="184"/>
        <v>0</v>
      </c>
      <c r="AI149" s="1277">
        <f>VLOOKUP(K149,'[2]ผลการเบิกจ่ายสะสม พ.ย. 66'!$C:$N,12,0)</f>
        <v>441035</v>
      </c>
      <c r="AJ149" s="1274">
        <f t="shared" si="189"/>
        <v>0</v>
      </c>
    </row>
    <row r="150" spans="1:36" s="5" customFormat="1" x14ac:dyDescent="0.2">
      <c r="A150" s="33"/>
      <c r="B150" s="34" t="s">
        <v>783</v>
      </c>
      <c r="C150" s="34"/>
      <c r="D150" s="1096">
        <v>10756200</v>
      </c>
      <c r="E150" s="1117">
        <v>1338497.68</v>
      </c>
      <c r="F150" s="1117"/>
      <c r="G150" s="1117"/>
      <c r="H150" s="1117">
        <v>1472400</v>
      </c>
      <c r="I150" s="1098">
        <v>8554100</v>
      </c>
      <c r="J150" s="1098">
        <v>1472400</v>
      </c>
      <c r="K150" s="1029" t="s">
        <v>1358</v>
      </c>
      <c r="L150" s="1040" t="s">
        <v>1426</v>
      </c>
      <c r="M150" s="1097">
        <v>981600</v>
      </c>
      <c r="N150" s="1097">
        <v>981600</v>
      </c>
      <c r="O150" s="1097"/>
      <c r="P150" s="1097"/>
      <c r="Q150" s="1097"/>
      <c r="R150" s="1097"/>
      <c r="S150" s="1268">
        <f>62902+95000</f>
        <v>157902</v>
      </c>
      <c r="T150" s="1091">
        <f t="shared" si="199"/>
        <v>157902</v>
      </c>
      <c r="U150" s="1091">
        <f t="shared" si="200"/>
        <v>823698</v>
      </c>
      <c r="V150" s="1091">
        <f t="shared" si="188"/>
        <v>16.086185819070906</v>
      </c>
      <c r="W150" s="1091"/>
      <c r="X150" s="1091">
        <f t="shared" si="201"/>
        <v>157902</v>
      </c>
      <c r="Y150" s="1091">
        <f t="shared" si="202"/>
        <v>823698</v>
      </c>
      <c r="Z150" s="1091">
        <f t="shared" si="203"/>
        <v>157902</v>
      </c>
      <c r="AA150" s="1091">
        <f t="shared" si="204"/>
        <v>823698</v>
      </c>
      <c r="AB150" s="1091">
        <f t="shared" si="205"/>
        <v>16.086185819070906</v>
      </c>
      <c r="AD150" s="650">
        <f t="shared" si="184"/>
        <v>0</v>
      </c>
      <c r="AI150" s="1277">
        <f>VLOOKUP(K150,'[2]ผลการเบิกจ่ายสะสม พ.ย. 66'!$C:$N,12,0)</f>
        <v>157902</v>
      </c>
      <c r="AJ150" s="1274">
        <f t="shared" si="189"/>
        <v>0</v>
      </c>
    </row>
    <row r="151" spans="1:36" s="5" customFormat="1" x14ac:dyDescent="0.2">
      <c r="A151" s="33"/>
      <c r="B151" s="34" t="s">
        <v>784</v>
      </c>
      <c r="C151" s="34"/>
      <c r="D151" s="1096">
        <v>19934900</v>
      </c>
      <c r="E151" s="1117">
        <v>19669400</v>
      </c>
      <c r="F151" s="1117"/>
      <c r="G151" s="1117"/>
      <c r="H151" s="1117">
        <v>250900</v>
      </c>
      <c r="I151" s="1098">
        <v>39470000</v>
      </c>
      <c r="J151" s="1098">
        <v>10250900</v>
      </c>
      <c r="K151" s="1029" t="s">
        <v>1359</v>
      </c>
      <c r="L151" s="1040" t="s">
        <v>1426</v>
      </c>
      <c r="M151" s="1097">
        <v>5229400</v>
      </c>
      <c r="N151" s="1097">
        <v>6833900</v>
      </c>
      <c r="O151" s="1097"/>
      <c r="P151" s="1097"/>
      <c r="Q151" s="1097"/>
      <c r="R151" s="1097"/>
      <c r="S151" s="1268">
        <f>243605</f>
        <v>243605</v>
      </c>
      <c r="T151" s="1091">
        <f t="shared" si="199"/>
        <v>243605</v>
      </c>
      <c r="U151" s="1091">
        <f t="shared" si="200"/>
        <v>6590295</v>
      </c>
      <c r="V151" s="1091">
        <f t="shared" si="188"/>
        <v>3.5646556139246988</v>
      </c>
      <c r="W151" s="1091"/>
      <c r="X151" s="1091">
        <f t="shared" si="201"/>
        <v>243605</v>
      </c>
      <c r="Y151" s="1091">
        <f t="shared" si="202"/>
        <v>6590295</v>
      </c>
      <c r="Z151" s="1091">
        <f t="shared" si="203"/>
        <v>243605</v>
      </c>
      <c r="AA151" s="1091">
        <f t="shared" si="204"/>
        <v>6590295</v>
      </c>
      <c r="AB151" s="1091">
        <f t="shared" si="205"/>
        <v>3.5646556139246988</v>
      </c>
      <c r="AD151" s="650">
        <f t="shared" si="184"/>
        <v>0</v>
      </c>
      <c r="AI151" s="1277">
        <f>VLOOKUP(K151,'[2]ผลการเบิกจ่ายสะสม พ.ย. 66'!$C:$N,12,0)</f>
        <v>243605</v>
      </c>
      <c r="AJ151" s="1274">
        <f t="shared" si="189"/>
        <v>0</v>
      </c>
    </row>
    <row r="152" spans="1:36" s="5" customFormat="1" x14ac:dyDescent="0.2">
      <c r="A152" s="56"/>
      <c r="B152" s="36" t="s">
        <v>72</v>
      </c>
      <c r="C152" s="36"/>
      <c r="D152" s="1090"/>
      <c r="E152" s="1091"/>
      <c r="F152" s="1091"/>
      <c r="G152" s="1091"/>
      <c r="H152" s="1091"/>
      <c r="I152" s="1092"/>
      <c r="J152" s="1092"/>
      <c r="K152" s="1032"/>
      <c r="L152" s="1032"/>
      <c r="M152" s="1091"/>
      <c r="N152" s="1091"/>
      <c r="O152" s="1091"/>
      <c r="P152" s="1091"/>
      <c r="Q152" s="1091"/>
      <c r="R152" s="1091"/>
      <c r="S152" s="1160"/>
      <c r="T152" s="1091">
        <f t="shared" si="199"/>
        <v>0</v>
      </c>
      <c r="U152" s="1091">
        <f t="shared" si="200"/>
        <v>0</v>
      </c>
      <c r="V152" s="1091">
        <f t="shared" si="188"/>
        <v>0</v>
      </c>
      <c r="W152" s="1091"/>
      <c r="X152" s="1091">
        <f t="shared" si="201"/>
        <v>0</v>
      </c>
      <c r="Y152" s="1091">
        <f t="shared" si="202"/>
        <v>0</v>
      </c>
      <c r="Z152" s="1091">
        <f t="shared" si="203"/>
        <v>0</v>
      </c>
      <c r="AA152" s="1091">
        <f t="shared" si="204"/>
        <v>0</v>
      </c>
      <c r="AB152" s="1091">
        <f t="shared" si="205"/>
        <v>0</v>
      </c>
      <c r="AD152" s="650">
        <f t="shared" si="184"/>
        <v>0</v>
      </c>
      <c r="AI152" s="1277">
        <f>VLOOKUP(K152,'[2]ผลการเบิกจ่ายสะสม พ.ย. 66'!$C:$N,12,0)</f>
        <v>0</v>
      </c>
      <c r="AJ152" s="1274">
        <f t="shared" si="189"/>
        <v>0</v>
      </c>
    </row>
    <row r="153" spans="1:36" s="5" customFormat="1" x14ac:dyDescent="0.2">
      <c r="A153" s="33"/>
      <c r="B153" s="34" t="s">
        <v>785</v>
      </c>
      <c r="C153" s="34"/>
      <c r="D153" s="1096">
        <v>2118300</v>
      </c>
      <c r="E153" s="1117">
        <v>0</v>
      </c>
      <c r="F153" s="1117"/>
      <c r="G153" s="1117"/>
      <c r="H153" s="1117">
        <v>1815500</v>
      </c>
      <c r="I153" s="1098">
        <v>5490700</v>
      </c>
      <c r="J153" s="1098">
        <v>500000</v>
      </c>
      <c r="K153" s="1029" t="s">
        <v>1360</v>
      </c>
      <c r="L153" s="1040" t="s">
        <v>1426</v>
      </c>
      <c r="M153" s="1097">
        <v>333400</v>
      </c>
      <c r="N153" s="1097">
        <v>333400</v>
      </c>
      <c r="O153" s="1097"/>
      <c r="P153" s="1097"/>
      <c r="Q153" s="1268">
        <f>99800</f>
        <v>99800</v>
      </c>
      <c r="R153" s="1097"/>
      <c r="S153" s="1268">
        <f>58080</f>
        <v>58080</v>
      </c>
      <c r="T153" s="1091">
        <f t="shared" si="199"/>
        <v>58080</v>
      </c>
      <c r="U153" s="1091">
        <f t="shared" si="200"/>
        <v>275320</v>
      </c>
      <c r="V153" s="1091">
        <f t="shared" si="188"/>
        <v>17.420515896820636</v>
      </c>
      <c r="W153" s="1091"/>
      <c r="X153" s="1091">
        <f t="shared" si="201"/>
        <v>157880</v>
      </c>
      <c r="Y153" s="1091">
        <f t="shared" si="202"/>
        <v>175520</v>
      </c>
      <c r="Z153" s="1091">
        <f t="shared" si="203"/>
        <v>157880</v>
      </c>
      <c r="AA153" s="1091">
        <f t="shared" si="204"/>
        <v>175520</v>
      </c>
      <c r="AB153" s="1091">
        <f t="shared" si="205"/>
        <v>47.354529094181167</v>
      </c>
      <c r="AD153" s="650">
        <f t="shared" si="184"/>
        <v>0</v>
      </c>
      <c r="AI153" s="1277">
        <f>VLOOKUP(K153,'[2]ผลการเบิกจ่ายสะสม พ.ย. 66'!$C:$N,12,0)</f>
        <v>58080</v>
      </c>
      <c r="AJ153" s="1274">
        <f t="shared" si="189"/>
        <v>0</v>
      </c>
    </row>
    <row r="154" spans="1:36" s="5" customFormat="1" x14ac:dyDescent="0.2">
      <c r="A154" s="33"/>
      <c r="B154" s="34" t="s">
        <v>786</v>
      </c>
      <c r="C154" s="34"/>
      <c r="D154" s="1096">
        <v>521500</v>
      </c>
      <c r="E154" s="1117">
        <v>239403.6</v>
      </c>
      <c r="F154" s="1117"/>
      <c r="G154" s="1117"/>
      <c r="H154" s="1117">
        <v>243600</v>
      </c>
      <c r="I154" s="1098">
        <v>628800</v>
      </c>
      <c r="J154" s="1098">
        <v>239400</v>
      </c>
      <c r="K154" s="1029" t="s">
        <v>1361</v>
      </c>
      <c r="L154" s="1040" t="s">
        <v>1426</v>
      </c>
      <c r="M154" s="1097">
        <v>159600</v>
      </c>
      <c r="N154" s="1097">
        <v>159600</v>
      </c>
      <c r="O154" s="1097"/>
      <c r="P154" s="1097"/>
      <c r="Q154" s="1097"/>
      <c r="R154" s="1097"/>
      <c r="S154" s="1105"/>
      <c r="T154" s="1091">
        <f t="shared" si="199"/>
        <v>0</v>
      </c>
      <c r="U154" s="1091">
        <f t="shared" si="200"/>
        <v>159600</v>
      </c>
      <c r="V154" s="1091">
        <f t="shared" si="188"/>
        <v>0</v>
      </c>
      <c r="W154" s="1091"/>
      <c r="X154" s="1091">
        <f t="shared" si="201"/>
        <v>0</v>
      </c>
      <c r="Y154" s="1091">
        <f t="shared" si="202"/>
        <v>159600</v>
      </c>
      <c r="Z154" s="1091">
        <f t="shared" si="203"/>
        <v>0</v>
      </c>
      <c r="AA154" s="1091">
        <f t="shared" si="204"/>
        <v>159600</v>
      </c>
      <c r="AB154" s="1091">
        <f t="shared" si="205"/>
        <v>0</v>
      </c>
      <c r="AD154" s="650">
        <f t="shared" si="184"/>
        <v>0</v>
      </c>
      <c r="AI154" s="1277">
        <f>VLOOKUP(K154,'[2]ผลการเบิกจ่ายสะสม พ.ย. 66'!$C:$N,12,0)</f>
        <v>0</v>
      </c>
      <c r="AJ154" s="1274">
        <f t="shared" si="189"/>
        <v>0</v>
      </c>
    </row>
    <row r="155" spans="1:36" s="5" customFormat="1" x14ac:dyDescent="0.2">
      <c r="A155" s="56"/>
      <c r="B155" s="36" t="s">
        <v>73</v>
      </c>
      <c r="C155" s="36"/>
      <c r="D155" s="1090"/>
      <c r="E155" s="1108"/>
      <c r="F155" s="1108"/>
      <c r="G155" s="1108"/>
      <c r="H155" s="1108"/>
      <c r="I155" s="1092"/>
      <c r="J155" s="1092"/>
      <c r="K155" s="1032"/>
      <c r="L155" s="1032"/>
      <c r="M155" s="1091"/>
      <c r="N155" s="1091"/>
      <c r="O155" s="1091"/>
      <c r="P155" s="1091"/>
      <c r="Q155" s="1091"/>
      <c r="R155" s="1091"/>
      <c r="S155" s="1160"/>
      <c r="T155" s="1091">
        <f t="shared" si="199"/>
        <v>0</v>
      </c>
      <c r="U155" s="1091">
        <f t="shared" si="200"/>
        <v>0</v>
      </c>
      <c r="V155" s="1091">
        <f t="shared" si="188"/>
        <v>0</v>
      </c>
      <c r="W155" s="1091"/>
      <c r="X155" s="1091">
        <f t="shared" si="201"/>
        <v>0</v>
      </c>
      <c r="Y155" s="1091">
        <f t="shared" si="202"/>
        <v>0</v>
      </c>
      <c r="Z155" s="1091">
        <f t="shared" si="203"/>
        <v>0</v>
      </c>
      <c r="AA155" s="1091">
        <f t="shared" si="204"/>
        <v>0</v>
      </c>
      <c r="AB155" s="1091">
        <f t="shared" si="205"/>
        <v>0</v>
      </c>
      <c r="AD155" s="650">
        <f t="shared" si="184"/>
        <v>0</v>
      </c>
      <c r="AI155" s="1277">
        <f>VLOOKUP(K155,'[2]ผลการเบิกจ่ายสะสม พ.ย. 66'!$C:$N,12,0)</f>
        <v>0</v>
      </c>
      <c r="AJ155" s="1274">
        <f t="shared" si="189"/>
        <v>0</v>
      </c>
    </row>
    <row r="156" spans="1:36" s="5" customFormat="1" x14ac:dyDescent="0.2">
      <c r="A156" s="33"/>
      <c r="B156" s="34" t="s">
        <v>787</v>
      </c>
      <c r="C156" s="34"/>
      <c r="D156" s="1096">
        <v>1000000</v>
      </c>
      <c r="E156" s="1117">
        <v>894827.14</v>
      </c>
      <c r="F156" s="1117"/>
      <c r="G156" s="1117"/>
      <c r="H156" s="1117">
        <v>304900</v>
      </c>
      <c r="I156" s="1098">
        <v>1033700</v>
      </c>
      <c r="J156" s="1098">
        <v>304900</v>
      </c>
      <c r="K156" s="1029" t="s">
        <v>1362</v>
      </c>
      <c r="L156" s="1040" t="s">
        <v>1426</v>
      </c>
      <c r="M156" s="1097">
        <v>304900</v>
      </c>
      <c r="N156" s="1097">
        <v>304900</v>
      </c>
      <c r="O156" s="1097"/>
      <c r="P156" s="1097"/>
      <c r="Q156" s="1097"/>
      <c r="R156" s="1097"/>
      <c r="S156" s="1268">
        <f>29032.24+30000</f>
        <v>59032.240000000005</v>
      </c>
      <c r="T156" s="1091">
        <f t="shared" si="199"/>
        <v>59032.240000000005</v>
      </c>
      <c r="U156" s="1091">
        <f t="shared" si="200"/>
        <v>245867.76</v>
      </c>
      <c r="V156" s="1091">
        <f t="shared" si="188"/>
        <v>19.361180714988524</v>
      </c>
      <c r="W156" s="1091"/>
      <c r="X156" s="1091">
        <f t="shared" si="201"/>
        <v>59032.240000000005</v>
      </c>
      <c r="Y156" s="1091">
        <f t="shared" si="202"/>
        <v>245867.76</v>
      </c>
      <c r="Z156" s="1091">
        <f t="shared" si="203"/>
        <v>59032.240000000005</v>
      </c>
      <c r="AA156" s="1091">
        <f t="shared" si="204"/>
        <v>245867.76</v>
      </c>
      <c r="AB156" s="1091">
        <f t="shared" si="205"/>
        <v>19.361180714988524</v>
      </c>
      <c r="AD156" s="650">
        <f t="shared" si="184"/>
        <v>0</v>
      </c>
      <c r="AI156" s="1277">
        <f>VLOOKUP(K156,'[2]ผลการเบิกจ่ายสะสม พ.ย. 66'!$C:$N,12,0)</f>
        <v>59032.24</v>
      </c>
      <c r="AJ156" s="1274">
        <f t="shared" si="189"/>
        <v>0</v>
      </c>
    </row>
    <row r="157" spans="1:36" s="5" customFormat="1" x14ac:dyDescent="0.2">
      <c r="A157" s="71"/>
      <c r="B157" s="72" t="s">
        <v>1239</v>
      </c>
      <c r="C157" s="72"/>
      <c r="D157" s="1096">
        <v>1084300</v>
      </c>
      <c r="E157" s="1097">
        <v>0</v>
      </c>
      <c r="F157" s="1097"/>
      <c r="G157" s="1097"/>
      <c r="H157" s="1097">
        <v>1212300</v>
      </c>
      <c r="I157" s="1098">
        <v>1267900</v>
      </c>
      <c r="J157" s="1098">
        <v>1212300</v>
      </c>
      <c r="K157" s="1029" t="s">
        <v>1363</v>
      </c>
      <c r="L157" s="1040" t="s">
        <v>1426</v>
      </c>
      <c r="M157" s="1097"/>
      <c r="N157" s="1097">
        <v>0</v>
      </c>
      <c r="O157" s="1097"/>
      <c r="P157" s="1097"/>
      <c r="Q157" s="1097"/>
      <c r="R157" s="1097"/>
      <c r="S157" s="1105"/>
      <c r="T157" s="1091">
        <f t="shared" si="199"/>
        <v>0</v>
      </c>
      <c r="U157" s="1091">
        <f t="shared" si="200"/>
        <v>0</v>
      </c>
      <c r="V157" s="1091">
        <f t="shared" si="188"/>
        <v>0</v>
      </c>
      <c r="W157" s="1091"/>
      <c r="X157" s="1091">
        <f t="shared" si="201"/>
        <v>0</v>
      </c>
      <c r="Y157" s="1091">
        <f t="shared" si="202"/>
        <v>0</v>
      </c>
      <c r="Z157" s="1091">
        <f t="shared" si="203"/>
        <v>0</v>
      </c>
      <c r="AA157" s="1091">
        <f t="shared" si="204"/>
        <v>0</v>
      </c>
      <c r="AB157" s="1091">
        <f t="shared" si="205"/>
        <v>0</v>
      </c>
      <c r="AD157" s="650">
        <f t="shared" si="184"/>
        <v>0</v>
      </c>
      <c r="AI157" s="1277" t="e">
        <f>VLOOKUP(K157,'[2]ผลการเบิกจ่ายสะสม พ.ย. 66'!$C:$N,12,0)</f>
        <v>#N/A</v>
      </c>
      <c r="AJ157" s="1274" t="e">
        <f t="shared" si="189"/>
        <v>#N/A</v>
      </c>
    </row>
    <row r="158" spans="1:36" s="5" customFormat="1" x14ac:dyDescent="0.2">
      <c r="A158" s="71"/>
      <c r="B158" s="72" t="s">
        <v>1238</v>
      </c>
      <c r="C158" s="72"/>
      <c r="D158" s="1096"/>
      <c r="E158" s="1097"/>
      <c r="F158" s="1097"/>
      <c r="G158" s="1097"/>
      <c r="H158" s="1097"/>
      <c r="I158" s="1098"/>
      <c r="J158" s="1098"/>
      <c r="K158" s="1029"/>
      <c r="L158" s="1029"/>
      <c r="M158" s="1097"/>
      <c r="N158" s="1097"/>
      <c r="O158" s="1097"/>
      <c r="P158" s="1097"/>
      <c r="Q158" s="1097"/>
      <c r="R158" s="1097"/>
      <c r="S158" s="1105"/>
      <c r="T158" s="1091">
        <f t="shared" si="199"/>
        <v>0</v>
      </c>
      <c r="U158" s="1091">
        <f t="shared" si="200"/>
        <v>0</v>
      </c>
      <c r="V158" s="1091">
        <f t="shared" si="188"/>
        <v>0</v>
      </c>
      <c r="W158" s="1091"/>
      <c r="X158" s="1091">
        <f t="shared" si="201"/>
        <v>0</v>
      </c>
      <c r="Y158" s="1091">
        <f t="shared" si="202"/>
        <v>0</v>
      </c>
      <c r="Z158" s="1091">
        <f t="shared" si="203"/>
        <v>0</v>
      </c>
      <c r="AA158" s="1091">
        <f t="shared" si="204"/>
        <v>0</v>
      </c>
      <c r="AB158" s="1091">
        <f t="shared" si="205"/>
        <v>0</v>
      </c>
      <c r="AD158" s="650">
        <f t="shared" si="184"/>
        <v>0</v>
      </c>
      <c r="AI158" s="1277">
        <f>VLOOKUP(K158,'[2]ผลการเบิกจ่ายสะสม พ.ย. 66'!$C:$N,12,0)</f>
        <v>0</v>
      </c>
      <c r="AJ158" s="1274">
        <f t="shared" si="189"/>
        <v>0</v>
      </c>
    </row>
    <row r="159" spans="1:36" s="5" customFormat="1" ht="21" customHeight="1" outlineLevel="1" x14ac:dyDescent="0.2">
      <c r="A159" s="71"/>
      <c r="B159" s="284" t="s">
        <v>869</v>
      </c>
      <c r="C159" s="284"/>
      <c r="D159" s="1096"/>
      <c r="E159" s="1097"/>
      <c r="F159" s="1097"/>
      <c r="G159" s="1097"/>
      <c r="H159" s="1097">
        <v>0</v>
      </c>
      <c r="I159" s="1098">
        <v>1650000</v>
      </c>
      <c r="J159" s="1098">
        <v>0</v>
      </c>
      <c r="K159" s="1029"/>
      <c r="L159" s="1040"/>
      <c r="M159" s="1097"/>
      <c r="N159" s="1097">
        <v>0</v>
      </c>
      <c r="O159" s="1097"/>
      <c r="P159" s="1097"/>
      <c r="Q159" s="1097"/>
      <c r="R159" s="1097"/>
      <c r="S159" s="1097"/>
      <c r="T159" s="1091">
        <f t="shared" si="199"/>
        <v>0</v>
      </c>
      <c r="U159" s="1091">
        <f t="shared" si="200"/>
        <v>0</v>
      </c>
      <c r="V159" s="1091">
        <f t="shared" si="188"/>
        <v>0</v>
      </c>
      <c r="W159" s="1091"/>
      <c r="X159" s="1091">
        <f t="shared" si="201"/>
        <v>0</v>
      </c>
      <c r="Y159" s="1091">
        <f t="shared" si="202"/>
        <v>0</v>
      </c>
      <c r="Z159" s="1091">
        <f t="shared" si="203"/>
        <v>0</v>
      </c>
      <c r="AA159" s="1091">
        <f t="shared" si="204"/>
        <v>0</v>
      </c>
      <c r="AB159" s="1091">
        <f t="shared" si="205"/>
        <v>0</v>
      </c>
      <c r="AD159" s="650">
        <f t="shared" si="184"/>
        <v>0</v>
      </c>
      <c r="AI159" s="1277">
        <f>VLOOKUP(K159,'[2]ผลการเบิกจ่ายสะสม พ.ย. 66'!$C:$N,12,0)</f>
        <v>0</v>
      </c>
      <c r="AJ159" s="1274">
        <f t="shared" si="189"/>
        <v>0</v>
      </c>
    </row>
    <row r="160" spans="1:36" s="5" customFormat="1" ht="21" customHeight="1" outlineLevel="1" x14ac:dyDescent="0.2">
      <c r="A160" s="71"/>
      <c r="B160" s="284"/>
      <c r="C160" s="284" t="s">
        <v>309</v>
      </c>
      <c r="D160" s="1096"/>
      <c r="E160" s="1097"/>
      <c r="F160" s="1097"/>
      <c r="G160" s="1097"/>
      <c r="H160" s="1097"/>
      <c r="I160" s="1098"/>
      <c r="J160" s="1098"/>
      <c r="K160" s="1029"/>
      <c r="L160" s="1029"/>
      <c r="M160" s="1097"/>
      <c r="N160" s="1097"/>
      <c r="O160" s="1097"/>
      <c r="P160" s="1097"/>
      <c r="Q160" s="1097"/>
      <c r="R160" s="1097"/>
      <c r="S160" s="1097"/>
      <c r="T160" s="1091">
        <f t="shared" si="199"/>
        <v>0</v>
      </c>
      <c r="U160" s="1091">
        <f t="shared" si="200"/>
        <v>0</v>
      </c>
      <c r="V160" s="1091">
        <f t="shared" si="188"/>
        <v>0</v>
      </c>
      <c r="W160" s="1091"/>
      <c r="X160" s="1091">
        <f t="shared" si="201"/>
        <v>0</v>
      </c>
      <c r="Y160" s="1091">
        <f t="shared" si="202"/>
        <v>0</v>
      </c>
      <c r="Z160" s="1091">
        <f t="shared" si="203"/>
        <v>0</v>
      </c>
      <c r="AA160" s="1091">
        <f t="shared" si="204"/>
        <v>0</v>
      </c>
      <c r="AB160" s="1091">
        <f t="shared" si="205"/>
        <v>0</v>
      </c>
      <c r="AD160" s="650">
        <f t="shared" si="184"/>
        <v>0</v>
      </c>
      <c r="AI160" s="1277">
        <f>VLOOKUP(K160,'[2]ผลการเบิกจ่ายสะสม พ.ย. 66'!$C:$N,12,0)</f>
        <v>0</v>
      </c>
      <c r="AJ160" s="1274">
        <f t="shared" si="189"/>
        <v>0</v>
      </c>
    </row>
    <row r="161" spans="1:36" s="5" customFormat="1" ht="21" customHeight="1" outlineLevel="1" x14ac:dyDescent="0.2">
      <c r="A161" s="71"/>
      <c r="B161" s="284" t="s">
        <v>870</v>
      </c>
      <c r="C161" s="284"/>
      <c r="D161" s="1096"/>
      <c r="E161" s="1097"/>
      <c r="F161" s="1097"/>
      <c r="G161" s="1097"/>
      <c r="H161" s="1097">
        <v>0</v>
      </c>
      <c r="I161" s="1098">
        <v>950000</v>
      </c>
      <c r="J161" s="1098">
        <v>0</v>
      </c>
      <c r="K161" s="1029"/>
      <c r="L161" s="1040"/>
      <c r="M161" s="1097"/>
      <c r="N161" s="1097">
        <v>0</v>
      </c>
      <c r="O161" s="1097"/>
      <c r="P161" s="1097"/>
      <c r="Q161" s="1097"/>
      <c r="R161" s="1097"/>
      <c r="S161" s="1097"/>
      <c r="T161" s="1091">
        <f t="shared" si="199"/>
        <v>0</v>
      </c>
      <c r="U161" s="1091">
        <f t="shared" si="200"/>
        <v>0</v>
      </c>
      <c r="V161" s="1091">
        <f t="shared" si="188"/>
        <v>0</v>
      </c>
      <c r="W161" s="1091"/>
      <c r="X161" s="1091">
        <f t="shared" si="201"/>
        <v>0</v>
      </c>
      <c r="Y161" s="1091">
        <f t="shared" si="202"/>
        <v>0</v>
      </c>
      <c r="Z161" s="1091">
        <f t="shared" si="203"/>
        <v>0</v>
      </c>
      <c r="AA161" s="1091">
        <f t="shared" si="204"/>
        <v>0</v>
      </c>
      <c r="AB161" s="1091">
        <f t="shared" si="205"/>
        <v>0</v>
      </c>
      <c r="AD161" s="650">
        <f t="shared" si="184"/>
        <v>0</v>
      </c>
      <c r="AI161" s="1277">
        <f>VLOOKUP(K161,'[2]ผลการเบิกจ่ายสะสม พ.ย. 66'!$C:$N,12,0)</f>
        <v>0</v>
      </c>
      <c r="AJ161" s="1274">
        <f t="shared" si="189"/>
        <v>0</v>
      </c>
    </row>
    <row r="162" spans="1:36" s="5" customFormat="1" ht="21" customHeight="1" outlineLevel="1" x14ac:dyDescent="0.2">
      <c r="A162" s="913"/>
      <c r="B162" s="914"/>
      <c r="C162" s="914" t="s">
        <v>871</v>
      </c>
      <c r="D162" s="1096"/>
      <c r="E162" s="1097"/>
      <c r="F162" s="1097"/>
      <c r="G162" s="1097"/>
      <c r="H162" s="1097"/>
      <c r="I162" s="1098"/>
      <c r="J162" s="1098"/>
      <c r="K162" s="1029"/>
      <c r="L162" s="1029"/>
      <c r="M162" s="1097"/>
      <c r="N162" s="1097"/>
      <c r="O162" s="1097"/>
      <c r="P162" s="1097"/>
      <c r="Q162" s="1097"/>
      <c r="R162" s="1097"/>
      <c r="S162" s="1097"/>
      <c r="T162" s="1091">
        <f t="shared" si="199"/>
        <v>0</v>
      </c>
      <c r="U162" s="1091">
        <f t="shared" si="200"/>
        <v>0</v>
      </c>
      <c r="V162" s="1091">
        <f t="shared" si="188"/>
        <v>0</v>
      </c>
      <c r="W162" s="1091"/>
      <c r="X162" s="1091">
        <f t="shared" si="201"/>
        <v>0</v>
      </c>
      <c r="Y162" s="1091">
        <f t="shared" si="202"/>
        <v>0</v>
      </c>
      <c r="Z162" s="1091">
        <f t="shared" si="203"/>
        <v>0</v>
      </c>
      <c r="AA162" s="1091">
        <f t="shared" si="204"/>
        <v>0</v>
      </c>
      <c r="AB162" s="1091">
        <f t="shared" si="205"/>
        <v>0</v>
      </c>
      <c r="AD162" s="650">
        <f t="shared" si="184"/>
        <v>0</v>
      </c>
      <c r="AI162" s="1277">
        <f>VLOOKUP(K162,'[2]ผลการเบิกจ่ายสะสม พ.ย. 66'!$C:$N,12,0)</f>
        <v>0</v>
      </c>
      <c r="AJ162" s="1274">
        <f t="shared" si="189"/>
        <v>0</v>
      </c>
    </row>
    <row r="163" spans="1:36" s="5" customFormat="1" ht="21" customHeight="1" outlineLevel="1" x14ac:dyDescent="0.2">
      <c r="A163" s="71"/>
      <c r="B163" s="284" t="s">
        <v>872</v>
      </c>
      <c r="C163" s="284"/>
      <c r="D163" s="1112"/>
      <c r="E163" s="1130"/>
      <c r="F163" s="1130"/>
      <c r="G163" s="1130"/>
      <c r="H163" s="1130">
        <v>0</v>
      </c>
      <c r="I163" s="1114">
        <v>1076000</v>
      </c>
      <c r="J163" s="1114">
        <v>0</v>
      </c>
      <c r="K163" s="1036"/>
      <c r="L163" s="1040"/>
      <c r="M163" s="1130"/>
      <c r="N163" s="1130">
        <v>0</v>
      </c>
      <c r="O163" s="1130"/>
      <c r="P163" s="1130"/>
      <c r="Q163" s="1130"/>
      <c r="R163" s="1130"/>
      <c r="S163" s="1130"/>
      <c r="T163" s="1091">
        <f t="shared" si="199"/>
        <v>0</v>
      </c>
      <c r="U163" s="1091">
        <f t="shared" si="200"/>
        <v>0</v>
      </c>
      <c r="V163" s="1091">
        <f t="shared" si="188"/>
        <v>0</v>
      </c>
      <c r="W163" s="1091"/>
      <c r="X163" s="1091">
        <f t="shared" si="201"/>
        <v>0</v>
      </c>
      <c r="Y163" s="1091">
        <f t="shared" si="202"/>
        <v>0</v>
      </c>
      <c r="Z163" s="1091">
        <f t="shared" si="203"/>
        <v>0</v>
      </c>
      <c r="AA163" s="1091">
        <f t="shared" si="204"/>
        <v>0</v>
      </c>
      <c r="AB163" s="1091">
        <f t="shared" si="205"/>
        <v>0</v>
      </c>
      <c r="AD163" s="650">
        <f t="shared" si="184"/>
        <v>0</v>
      </c>
      <c r="AI163" s="1277">
        <f>VLOOKUP(K163,'[2]ผลการเบิกจ่ายสะสม พ.ย. 66'!$C:$N,12,0)</f>
        <v>0</v>
      </c>
      <c r="AJ163" s="1274">
        <f t="shared" si="189"/>
        <v>0</v>
      </c>
    </row>
    <row r="164" spans="1:36" s="5" customFormat="1" ht="21" customHeight="1" outlineLevel="1" x14ac:dyDescent="0.2">
      <c r="A164" s="71"/>
      <c r="B164" s="284" t="s">
        <v>873</v>
      </c>
      <c r="C164" s="284"/>
      <c r="D164" s="1096"/>
      <c r="E164" s="1097"/>
      <c r="F164" s="1097"/>
      <c r="G164" s="1097"/>
      <c r="H164" s="1097">
        <v>0</v>
      </c>
      <c r="I164" s="1098">
        <v>500000</v>
      </c>
      <c r="J164" s="1098">
        <v>0</v>
      </c>
      <c r="K164" s="1029"/>
      <c r="L164" s="1040"/>
      <c r="M164" s="1097"/>
      <c r="N164" s="1097">
        <v>0</v>
      </c>
      <c r="O164" s="1097"/>
      <c r="P164" s="1097"/>
      <c r="Q164" s="1097"/>
      <c r="R164" s="1097"/>
      <c r="S164" s="1097"/>
      <c r="T164" s="1091">
        <f t="shared" si="199"/>
        <v>0</v>
      </c>
      <c r="U164" s="1091">
        <f t="shared" si="200"/>
        <v>0</v>
      </c>
      <c r="V164" s="1091">
        <f t="shared" si="188"/>
        <v>0</v>
      </c>
      <c r="W164" s="1091"/>
      <c r="X164" s="1091">
        <f t="shared" si="201"/>
        <v>0</v>
      </c>
      <c r="Y164" s="1091">
        <f t="shared" si="202"/>
        <v>0</v>
      </c>
      <c r="Z164" s="1091">
        <f t="shared" si="203"/>
        <v>0</v>
      </c>
      <c r="AA164" s="1091">
        <f t="shared" si="204"/>
        <v>0</v>
      </c>
      <c r="AB164" s="1091">
        <f t="shared" si="205"/>
        <v>0</v>
      </c>
      <c r="AD164" s="650">
        <f t="shared" si="184"/>
        <v>0</v>
      </c>
      <c r="AI164" s="1277">
        <f>VLOOKUP(K164,'[2]ผลการเบิกจ่ายสะสม พ.ย. 66'!$C:$N,12,0)</f>
        <v>0</v>
      </c>
      <c r="AJ164" s="1274">
        <f t="shared" si="189"/>
        <v>0</v>
      </c>
    </row>
    <row r="165" spans="1:36" s="5" customFormat="1" ht="21" customHeight="1" outlineLevel="1" x14ac:dyDescent="0.2">
      <c r="A165" s="913"/>
      <c r="B165" s="914"/>
      <c r="C165" s="914" t="s">
        <v>874</v>
      </c>
      <c r="D165" s="1120"/>
      <c r="E165" s="1143"/>
      <c r="F165" s="1143"/>
      <c r="G165" s="1143"/>
      <c r="H165" s="1143"/>
      <c r="I165" s="1122"/>
      <c r="J165" s="1122"/>
      <c r="K165" s="1041"/>
      <c r="L165" s="1041"/>
      <c r="M165" s="1143"/>
      <c r="N165" s="1143"/>
      <c r="O165" s="1143"/>
      <c r="P165" s="1143"/>
      <c r="Q165" s="1143"/>
      <c r="R165" s="1143"/>
      <c r="S165" s="1143"/>
      <c r="T165" s="1091">
        <f t="shared" si="199"/>
        <v>0</v>
      </c>
      <c r="U165" s="1091">
        <f t="shared" si="200"/>
        <v>0</v>
      </c>
      <c r="V165" s="1091">
        <f t="shared" si="188"/>
        <v>0</v>
      </c>
      <c r="W165" s="1091"/>
      <c r="X165" s="1091">
        <f t="shared" si="201"/>
        <v>0</v>
      </c>
      <c r="Y165" s="1091">
        <f t="shared" si="202"/>
        <v>0</v>
      </c>
      <c r="Z165" s="1091">
        <f t="shared" si="203"/>
        <v>0</v>
      </c>
      <c r="AA165" s="1091">
        <f t="shared" si="204"/>
        <v>0</v>
      </c>
      <c r="AB165" s="1091">
        <f t="shared" si="205"/>
        <v>0</v>
      </c>
      <c r="AD165" s="650">
        <f t="shared" si="184"/>
        <v>0</v>
      </c>
      <c r="AI165" s="1277">
        <f>VLOOKUP(K165,'[2]ผลการเบิกจ่ายสะสม พ.ย. 66'!$C:$N,12,0)</f>
        <v>0</v>
      </c>
      <c r="AJ165" s="1274">
        <f t="shared" si="189"/>
        <v>0</v>
      </c>
    </row>
    <row r="166" spans="1:36" s="5" customFormat="1" x14ac:dyDescent="0.2">
      <c r="A166" s="900" t="s">
        <v>169</v>
      </c>
      <c r="B166" s="901"/>
      <c r="C166" s="901"/>
      <c r="D166" s="1123">
        <f>+D167</f>
        <v>86047500</v>
      </c>
      <c r="E166" s="1144">
        <f>+E167</f>
        <v>38504669.260000005</v>
      </c>
      <c r="F166" s="1144"/>
      <c r="G166" s="1144"/>
      <c r="H166" s="1144">
        <f>+H167</f>
        <v>32930300</v>
      </c>
      <c r="I166" s="1125">
        <v>135989700</v>
      </c>
      <c r="J166" s="1125">
        <f>+J167</f>
        <v>36528500</v>
      </c>
      <c r="K166" s="1034" t="s">
        <v>1364</v>
      </c>
      <c r="L166" s="1034"/>
      <c r="M166" s="1124">
        <f t="shared" ref="M166:AB166" si="206">+M167</f>
        <v>27962100</v>
      </c>
      <c r="N166" s="1124">
        <f>+N167</f>
        <v>28692100</v>
      </c>
      <c r="O166" s="1124">
        <f t="shared" si="206"/>
        <v>0</v>
      </c>
      <c r="P166" s="1124">
        <f t="shared" si="206"/>
        <v>0</v>
      </c>
      <c r="Q166" s="1124">
        <f t="shared" si="206"/>
        <v>279912</v>
      </c>
      <c r="R166" s="1124">
        <f t="shared" si="206"/>
        <v>0</v>
      </c>
      <c r="S166" s="1124">
        <f t="shared" si="206"/>
        <v>996083</v>
      </c>
      <c r="T166" s="1124">
        <f t="shared" si="206"/>
        <v>996083</v>
      </c>
      <c r="U166" s="1124">
        <f t="shared" si="206"/>
        <v>27696017</v>
      </c>
      <c r="V166" s="1124">
        <f t="shared" si="188"/>
        <v>3.4716280788091494</v>
      </c>
      <c r="W166" s="1124">
        <f t="shared" si="206"/>
        <v>0</v>
      </c>
      <c r="X166" s="1124">
        <f t="shared" si="206"/>
        <v>996083</v>
      </c>
      <c r="Y166" s="1124">
        <f t="shared" si="206"/>
        <v>27696017</v>
      </c>
      <c r="Z166" s="1124">
        <f t="shared" si="206"/>
        <v>996083</v>
      </c>
      <c r="AA166" s="1124">
        <f t="shared" si="206"/>
        <v>27696017</v>
      </c>
      <c r="AB166" s="1124">
        <f t="shared" si="206"/>
        <v>24.599408653444527</v>
      </c>
      <c r="AD166" s="650">
        <f t="shared" si="184"/>
        <v>0</v>
      </c>
      <c r="AI166" s="1277" t="e">
        <f>VLOOKUP(K166,'[2]ผลการเบิกจ่ายสะสม พ.ย. 66'!$C:$N,12,0)</f>
        <v>#N/A</v>
      </c>
      <c r="AJ166" s="1274" t="e">
        <f t="shared" si="189"/>
        <v>#N/A</v>
      </c>
    </row>
    <row r="167" spans="1:36" s="5" customFormat="1" x14ac:dyDescent="0.2">
      <c r="A167" s="14" t="s">
        <v>170</v>
      </c>
      <c r="B167" s="15"/>
      <c r="C167" s="15"/>
      <c r="D167" s="1084">
        <f>+D168+D171</f>
        <v>86047500</v>
      </c>
      <c r="E167" s="1145">
        <f>+E168+E171</f>
        <v>38504669.260000005</v>
      </c>
      <c r="F167" s="1145"/>
      <c r="G167" s="1145"/>
      <c r="H167" s="1145">
        <f>+H168+H171</f>
        <v>32930300</v>
      </c>
      <c r="I167" s="1086">
        <v>135989700</v>
      </c>
      <c r="J167" s="1086">
        <f>+J168+J171</f>
        <v>36528500</v>
      </c>
      <c r="K167" s="1027"/>
      <c r="L167" s="1027" t="s">
        <v>1427</v>
      </c>
      <c r="M167" s="1085">
        <f t="shared" ref="M167:U167" si="207">+M168+M171</f>
        <v>27962100</v>
      </c>
      <c r="N167" s="1085">
        <f>+N168+N171</f>
        <v>28692100</v>
      </c>
      <c r="O167" s="1085">
        <f t="shared" si="207"/>
        <v>0</v>
      </c>
      <c r="P167" s="1085">
        <f t="shared" si="207"/>
        <v>0</v>
      </c>
      <c r="Q167" s="1085">
        <f t="shared" si="207"/>
        <v>279912</v>
      </c>
      <c r="R167" s="1085">
        <f t="shared" si="207"/>
        <v>0</v>
      </c>
      <c r="S167" s="1085">
        <f t="shared" si="207"/>
        <v>996083</v>
      </c>
      <c r="T167" s="1085">
        <f t="shared" si="207"/>
        <v>996083</v>
      </c>
      <c r="U167" s="1085">
        <f t="shared" si="207"/>
        <v>27696017</v>
      </c>
      <c r="V167" s="1085">
        <f t="shared" si="188"/>
        <v>3.4716280788091494</v>
      </c>
      <c r="W167" s="1085">
        <f t="shared" ref="W167:AB167" si="208">+W168+W171</f>
        <v>0</v>
      </c>
      <c r="X167" s="1085">
        <f t="shared" si="208"/>
        <v>996083</v>
      </c>
      <c r="Y167" s="1085">
        <f t="shared" si="208"/>
        <v>27696017</v>
      </c>
      <c r="Z167" s="1085">
        <f t="shared" si="208"/>
        <v>996083</v>
      </c>
      <c r="AA167" s="1085">
        <f t="shared" si="208"/>
        <v>27696017</v>
      </c>
      <c r="AB167" s="1085">
        <f t="shared" si="208"/>
        <v>24.599408653444527</v>
      </c>
      <c r="AD167" s="650">
        <f t="shared" si="184"/>
        <v>0</v>
      </c>
      <c r="AI167" s="1277">
        <f>VLOOKUP(K167,'[2]ผลการเบิกจ่ายสะสม พ.ย. 66'!$C:$N,12,0)</f>
        <v>0</v>
      </c>
      <c r="AJ167" s="1274">
        <f t="shared" si="189"/>
        <v>-996083</v>
      </c>
    </row>
    <row r="168" spans="1:36" s="5" customFormat="1" x14ac:dyDescent="0.2">
      <c r="A168" s="20" t="s">
        <v>74</v>
      </c>
      <c r="B168" s="21"/>
      <c r="C168" s="21"/>
      <c r="D168" s="1087">
        <f>SUM(D169:D169)</f>
        <v>10000000</v>
      </c>
      <c r="E168" s="1142">
        <f>SUM(E169:E169)</f>
        <v>12800000</v>
      </c>
      <c r="F168" s="1142"/>
      <c r="G168" s="1142"/>
      <c r="H168" s="1142">
        <f>SUM(H169:H169)</f>
        <v>10000000</v>
      </c>
      <c r="I168" s="1089">
        <v>10000000</v>
      </c>
      <c r="J168" s="1089">
        <f>SUM(J169:J169)</f>
        <v>10000000</v>
      </c>
      <c r="K168" s="1028"/>
      <c r="L168" s="1028"/>
      <c r="M168" s="1088">
        <f t="shared" ref="M168:AB168" si="209">SUM(M169:M169)</f>
        <v>10000000</v>
      </c>
      <c r="N168" s="1088">
        <f>SUM(N169:N169)</f>
        <v>10000000</v>
      </c>
      <c r="O168" s="1088">
        <f t="shared" si="209"/>
        <v>0</v>
      </c>
      <c r="P168" s="1088">
        <f t="shared" si="209"/>
        <v>0</v>
      </c>
      <c r="Q168" s="1088">
        <f t="shared" si="209"/>
        <v>0</v>
      </c>
      <c r="R168" s="1088">
        <f t="shared" si="209"/>
        <v>0</v>
      </c>
      <c r="S168" s="1088">
        <f t="shared" si="209"/>
        <v>0</v>
      </c>
      <c r="T168" s="1088">
        <f t="shared" si="209"/>
        <v>0</v>
      </c>
      <c r="U168" s="1088">
        <f t="shared" si="209"/>
        <v>10000000</v>
      </c>
      <c r="V168" s="1088">
        <f t="shared" si="188"/>
        <v>0</v>
      </c>
      <c r="W168" s="1088">
        <f t="shared" si="209"/>
        <v>0</v>
      </c>
      <c r="X168" s="1088">
        <f t="shared" si="209"/>
        <v>0</v>
      </c>
      <c r="Y168" s="1088">
        <f t="shared" si="209"/>
        <v>10000000</v>
      </c>
      <c r="Z168" s="1088">
        <f t="shared" si="209"/>
        <v>0</v>
      </c>
      <c r="AA168" s="1088">
        <f t="shared" si="209"/>
        <v>10000000</v>
      </c>
      <c r="AB168" s="1088">
        <f t="shared" si="209"/>
        <v>0</v>
      </c>
      <c r="AD168" s="650">
        <f t="shared" si="184"/>
        <v>0</v>
      </c>
      <c r="AI168" s="1277">
        <f>VLOOKUP(K168,'[2]ผลการเบิกจ่ายสะสม พ.ย. 66'!$C:$N,12,0)</f>
        <v>0</v>
      </c>
      <c r="AJ168" s="1274">
        <f t="shared" si="189"/>
        <v>0</v>
      </c>
    </row>
    <row r="169" spans="1:36" s="5" customFormat="1" x14ac:dyDescent="0.2">
      <c r="A169" s="33"/>
      <c r="B169" s="34" t="s">
        <v>274</v>
      </c>
      <c r="C169" s="915"/>
      <c r="D169" s="1090">
        <v>10000000</v>
      </c>
      <c r="E169" s="1108">
        <v>12800000</v>
      </c>
      <c r="F169" s="1108"/>
      <c r="G169" s="1108"/>
      <c r="H169" s="1108">
        <v>10000000</v>
      </c>
      <c r="I169" s="1092">
        <v>10000000</v>
      </c>
      <c r="J169" s="1092">
        <v>10000000</v>
      </c>
      <c r="K169" s="1029" t="s">
        <v>1365</v>
      </c>
      <c r="L169" s="1029" t="s">
        <v>1427</v>
      </c>
      <c r="M169" s="1091">
        <v>10000000</v>
      </c>
      <c r="N169" s="1091">
        <v>10000000</v>
      </c>
      <c r="O169" s="1091"/>
      <c r="P169" s="1091"/>
      <c r="Q169" s="1091"/>
      <c r="R169" s="1091"/>
      <c r="S169" s="1091"/>
      <c r="T169" s="1091">
        <f t="shared" ref="T169:T170" si="210">+R169+S169</f>
        <v>0</v>
      </c>
      <c r="U169" s="1091">
        <f t="shared" ref="U169:U170" si="211">+N169+O169-T169</f>
        <v>10000000</v>
      </c>
      <c r="V169" s="1091">
        <f t="shared" si="188"/>
        <v>0</v>
      </c>
      <c r="W169" s="1091"/>
      <c r="X169" s="1091">
        <f t="shared" ref="X169:X170" si="212">+T169+Q169</f>
        <v>0</v>
      </c>
      <c r="Y169" s="1091">
        <f t="shared" ref="Y169:Y170" si="213">+U169-Q169</f>
        <v>10000000</v>
      </c>
      <c r="Z169" s="1091">
        <f t="shared" ref="Z169:Z170" si="214">+T169+Q169+P169</f>
        <v>0</v>
      </c>
      <c r="AA169" s="1091">
        <f t="shared" ref="AA169:AA170" si="215">+U169-Q169-P169</f>
        <v>10000000</v>
      </c>
      <c r="AB169" s="1091">
        <f t="shared" ref="AB169:AB170" si="216">IFERROR(Z169*100/(N169+O169),0)</f>
        <v>0</v>
      </c>
      <c r="AD169" s="650">
        <f t="shared" si="184"/>
        <v>0</v>
      </c>
      <c r="AI169" s="1277">
        <f>VLOOKUP(K169,'[2]ผลการเบิกจ่ายสะสม พ.ย. 66'!$C:$N,12,0)</f>
        <v>0</v>
      </c>
      <c r="AJ169" s="1274">
        <f t="shared" si="189"/>
        <v>0</v>
      </c>
    </row>
    <row r="170" spans="1:36" s="5" customFormat="1" x14ac:dyDescent="0.2">
      <c r="A170" s="33"/>
      <c r="B170" s="34" t="s">
        <v>875</v>
      </c>
      <c r="C170" s="915"/>
      <c r="D170" s="1090"/>
      <c r="E170" s="1108"/>
      <c r="F170" s="1108"/>
      <c r="G170" s="1108"/>
      <c r="H170" s="1108"/>
      <c r="I170" s="1092"/>
      <c r="J170" s="1092"/>
      <c r="K170" s="1032"/>
      <c r="L170" s="1032"/>
      <c r="M170" s="1091"/>
      <c r="N170" s="1091"/>
      <c r="O170" s="1091"/>
      <c r="P170" s="1091"/>
      <c r="Q170" s="1091"/>
      <c r="R170" s="1091"/>
      <c r="S170" s="1091"/>
      <c r="T170" s="1091">
        <f t="shared" si="210"/>
        <v>0</v>
      </c>
      <c r="U170" s="1091">
        <f t="shared" si="211"/>
        <v>0</v>
      </c>
      <c r="V170" s="1091">
        <f t="shared" si="188"/>
        <v>0</v>
      </c>
      <c r="W170" s="1091"/>
      <c r="X170" s="1091">
        <f t="shared" si="212"/>
        <v>0</v>
      </c>
      <c r="Y170" s="1091">
        <f t="shared" si="213"/>
        <v>0</v>
      </c>
      <c r="Z170" s="1091">
        <f t="shared" si="214"/>
        <v>0</v>
      </c>
      <c r="AA170" s="1091">
        <f t="shared" si="215"/>
        <v>0</v>
      </c>
      <c r="AB170" s="1091">
        <f t="shared" si="216"/>
        <v>0</v>
      </c>
      <c r="AD170" s="650">
        <f t="shared" si="184"/>
        <v>0</v>
      </c>
      <c r="AI170" s="1277">
        <f>VLOOKUP(K170,'[2]ผลการเบิกจ่ายสะสม พ.ย. 66'!$C:$N,12,0)</f>
        <v>0</v>
      </c>
      <c r="AJ170" s="1274">
        <f t="shared" si="189"/>
        <v>0</v>
      </c>
    </row>
    <row r="171" spans="1:36" s="5" customFormat="1" x14ac:dyDescent="0.2">
      <c r="A171" s="20" t="s">
        <v>64</v>
      </c>
      <c r="B171" s="21"/>
      <c r="C171" s="21"/>
      <c r="D171" s="1087">
        <f>SUM(D172+D176+D177+D180+D185)</f>
        <v>76047500</v>
      </c>
      <c r="E171" s="1142">
        <f>SUM(E172+E176+E177+E180+E185)</f>
        <v>25704669.260000002</v>
      </c>
      <c r="F171" s="1142"/>
      <c r="G171" s="1142"/>
      <c r="H171" s="1142">
        <f>SUM(H172+H176+H177+H180+H185)</f>
        <v>22930300</v>
      </c>
      <c r="I171" s="1089">
        <v>125989700</v>
      </c>
      <c r="J171" s="1089">
        <f>SUM(J172+J176+J177+J180+J185+J186)</f>
        <v>26528500</v>
      </c>
      <c r="K171" s="1028"/>
      <c r="L171" s="1028"/>
      <c r="M171" s="1088">
        <f t="shared" ref="M171:U171" si="217">SUM(M172+M176+M177+M180+M185+M186)</f>
        <v>17962100</v>
      </c>
      <c r="N171" s="1088">
        <f>SUM(N172+N176+N177+N180+N185+N186)</f>
        <v>18692100</v>
      </c>
      <c r="O171" s="1088">
        <f t="shared" si="217"/>
        <v>0</v>
      </c>
      <c r="P171" s="1088">
        <f t="shared" si="217"/>
        <v>0</v>
      </c>
      <c r="Q171" s="1088">
        <f t="shared" si="217"/>
        <v>279912</v>
      </c>
      <c r="R171" s="1088">
        <f t="shared" si="217"/>
        <v>0</v>
      </c>
      <c r="S171" s="1088">
        <f t="shared" si="217"/>
        <v>996083</v>
      </c>
      <c r="T171" s="1088">
        <f t="shared" si="217"/>
        <v>996083</v>
      </c>
      <c r="U171" s="1088">
        <f t="shared" si="217"/>
        <v>17696017</v>
      </c>
      <c r="V171" s="1088">
        <f t="shared" si="188"/>
        <v>5.3288983046313687</v>
      </c>
      <c r="W171" s="1088">
        <f t="shared" ref="W171:AB171" si="218">SUM(W172+W176+W177+W180+W185+W186)</f>
        <v>0</v>
      </c>
      <c r="X171" s="1088">
        <f t="shared" si="218"/>
        <v>996083</v>
      </c>
      <c r="Y171" s="1088">
        <f t="shared" si="218"/>
        <v>17696017</v>
      </c>
      <c r="Z171" s="1088">
        <f t="shared" si="218"/>
        <v>996083</v>
      </c>
      <c r="AA171" s="1088">
        <f t="shared" si="218"/>
        <v>17696017</v>
      </c>
      <c r="AB171" s="1088">
        <f t="shared" si="218"/>
        <v>24.599408653444527</v>
      </c>
      <c r="AD171" s="650">
        <f>+N171+O171-R171-S171-U171</f>
        <v>0</v>
      </c>
      <c r="AI171" s="1277">
        <f>VLOOKUP(K171,'[2]ผลการเบิกจ่ายสะสม พ.ย. 66'!$C:$N,12,0)</f>
        <v>0</v>
      </c>
      <c r="AJ171" s="1274">
        <f t="shared" si="189"/>
        <v>-996083</v>
      </c>
    </row>
    <row r="172" spans="1:36" s="5" customFormat="1" x14ac:dyDescent="0.2">
      <c r="A172" s="33"/>
      <c r="B172" s="34" t="s">
        <v>75</v>
      </c>
      <c r="C172" s="273"/>
      <c r="D172" s="1096">
        <f>SUM(D173:D175)</f>
        <v>43268900</v>
      </c>
      <c r="E172" s="1117">
        <f>SUM(E173:E175)</f>
        <v>15555147.360000001</v>
      </c>
      <c r="F172" s="1117"/>
      <c r="G172" s="1117"/>
      <c r="H172" s="1117">
        <f>SUM(H173:H175)</f>
        <v>12185100</v>
      </c>
      <c r="I172" s="1098">
        <v>91938800</v>
      </c>
      <c r="J172" s="1098">
        <f>SUM(J173:J175)</f>
        <v>12185100</v>
      </c>
      <c r="K172" s="1029" t="s">
        <v>1366</v>
      </c>
      <c r="L172" s="1029" t="s">
        <v>1427</v>
      </c>
      <c r="M172" s="1097">
        <f t="shared" ref="M172:P172" si="219">SUM(M173:M175)</f>
        <v>7956700</v>
      </c>
      <c r="N172" s="1097">
        <f>SUM(N173:N175)</f>
        <v>8206700</v>
      </c>
      <c r="O172" s="1097">
        <f t="shared" si="219"/>
        <v>0</v>
      </c>
      <c r="P172" s="1097">
        <f t="shared" si="219"/>
        <v>0</v>
      </c>
      <c r="Q172" s="1268">
        <f>279912</f>
        <v>279912</v>
      </c>
      <c r="R172" s="1097">
        <f t="shared" ref="R172:U172" si="220">SUM(R173:R175)</f>
        <v>0</v>
      </c>
      <c r="S172" s="1268">
        <f>396619+489981</f>
        <v>886600</v>
      </c>
      <c r="T172" s="1097">
        <f t="shared" si="220"/>
        <v>886600</v>
      </c>
      <c r="U172" s="1097">
        <f t="shared" si="220"/>
        <v>7320100</v>
      </c>
      <c r="V172" s="1097">
        <f t="shared" si="188"/>
        <v>10.803367979821365</v>
      </c>
      <c r="W172" s="1097">
        <f t="shared" ref="W172:AB172" si="221">SUM(W173:W175)</f>
        <v>0</v>
      </c>
      <c r="X172" s="1097">
        <f t="shared" si="221"/>
        <v>886600</v>
      </c>
      <c r="Y172" s="1097">
        <f t="shared" si="221"/>
        <v>7320100</v>
      </c>
      <c r="Z172" s="1097">
        <f t="shared" si="221"/>
        <v>886600</v>
      </c>
      <c r="AA172" s="1097">
        <f t="shared" si="221"/>
        <v>7320100</v>
      </c>
      <c r="AB172" s="1097">
        <f t="shared" si="221"/>
        <v>18.942541855883299</v>
      </c>
      <c r="AD172" s="650">
        <f t="shared" si="184"/>
        <v>0</v>
      </c>
      <c r="AI172" s="1277">
        <f>VLOOKUP(K172,'[2]ผลการเบิกจ่ายสะสม พ.ย. 66'!$C:$N,12,0)</f>
        <v>886600</v>
      </c>
      <c r="AJ172" s="1274">
        <f t="shared" si="189"/>
        <v>0</v>
      </c>
    </row>
    <row r="173" spans="1:36" s="5" customFormat="1" ht="21" customHeight="1" outlineLevel="1" x14ac:dyDescent="0.2">
      <c r="A173" s="56"/>
      <c r="B173" s="57"/>
      <c r="C173" s="27" t="s">
        <v>54</v>
      </c>
      <c r="D173" s="1090">
        <v>1654500</v>
      </c>
      <c r="E173" s="1108">
        <v>1065747.1499999999</v>
      </c>
      <c r="F173" s="1108"/>
      <c r="G173" s="1108"/>
      <c r="H173" s="1108">
        <v>1200000</v>
      </c>
      <c r="I173" s="1092">
        <v>2500000</v>
      </c>
      <c r="J173" s="1092">
        <v>1200000</v>
      </c>
      <c r="K173" s="1032"/>
      <c r="L173" s="1032"/>
      <c r="M173" s="1091">
        <f>360000+440000</f>
        <v>800000</v>
      </c>
      <c r="N173" s="1091">
        <v>800000</v>
      </c>
      <c r="O173" s="1091"/>
      <c r="P173" s="1091"/>
      <c r="Q173" s="1091"/>
      <c r="R173" s="1091"/>
      <c r="S173" s="1283">
        <f>59032</f>
        <v>59032</v>
      </c>
      <c r="T173" s="1091">
        <f t="shared" ref="T173:T175" si="222">+R173+S173</f>
        <v>59032</v>
      </c>
      <c r="U173" s="1091">
        <f t="shared" ref="U173:U175" si="223">+N173+O173-T173</f>
        <v>740968</v>
      </c>
      <c r="V173" s="1091">
        <f t="shared" si="188"/>
        <v>7.3789999999999996</v>
      </c>
      <c r="W173" s="1091"/>
      <c r="X173" s="1091">
        <f t="shared" ref="X173:X175" si="224">+T173+Q173</f>
        <v>59032</v>
      </c>
      <c r="Y173" s="1091">
        <f t="shared" ref="Y173:Y175" si="225">+U173-Q173</f>
        <v>740968</v>
      </c>
      <c r="Z173" s="1091">
        <f t="shared" ref="Z173:Z175" si="226">+T173+Q173+P173</f>
        <v>59032</v>
      </c>
      <c r="AA173" s="1091">
        <f t="shared" ref="AA173:AA175" si="227">+U173-Q173-P173</f>
        <v>740968</v>
      </c>
      <c r="AB173" s="1091">
        <f t="shared" ref="AB173:AB175" si="228">IFERROR(Z173*100/(N173+O173),0)</f>
        <v>7.3789999999999996</v>
      </c>
      <c r="AD173" s="650">
        <f t="shared" si="184"/>
        <v>0</v>
      </c>
      <c r="AI173" s="1277">
        <f>VLOOKUP(K173,'[2]ผลการเบิกจ่ายสะสม พ.ย. 66'!$C:$N,12,0)</f>
        <v>0</v>
      </c>
      <c r="AJ173" s="1274">
        <f t="shared" si="189"/>
        <v>-59032</v>
      </c>
    </row>
    <row r="174" spans="1:36" s="5" customFormat="1" ht="21" customHeight="1" outlineLevel="1" x14ac:dyDescent="0.2">
      <c r="A174" s="56"/>
      <c r="B174" s="57"/>
      <c r="C174" s="27" t="s">
        <v>50</v>
      </c>
      <c r="D174" s="1090">
        <v>41414400</v>
      </c>
      <c r="E174" s="1108">
        <v>14489400.210000001</v>
      </c>
      <c r="F174" s="1108"/>
      <c r="G174" s="1108"/>
      <c r="H174" s="1108">
        <v>10735100</v>
      </c>
      <c r="I174" s="1092">
        <v>89155800</v>
      </c>
      <c r="J174" s="1092">
        <v>10735100</v>
      </c>
      <c r="K174" s="1032"/>
      <c r="L174" s="1032"/>
      <c r="M174" s="1091">
        <v>7156700</v>
      </c>
      <c r="N174" s="1091">
        <v>7156700</v>
      </c>
      <c r="O174" s="1091"/>
      <c r="P174" s="1091"/>
      <c r="Q174" s="1091"/>
      <c r="R174" s="1091"/>
      <c r="S174" s="1283">
        <f>827568</f>
        <v>827568</v>
      </c>
      <c r="T174" s="1091">
        <f t="shared" si="222"/>
        <v>827568</v>
      </c>
      <c r="U174" s="1091">
        <f t="shared" si="223"/>
        <v>6329132</v>
      </c>
      <c r="V174" s="1091">
        <f t="shared" si="188"/>
        <v>11.563541855883297</v>
      </c>
      <c r="W174" s="1091"/>
      <c r="X174" s="1091">
        <f t="shared" si="224"/>
        <v>827568</v>
      </c>
      <c r="Y174" s="1091">
        <f t="shared" si="225"/>
        <v>6329132</v>
      </c>
      <c r="Z174" s="1091">
        <f t="shared" si="226"/>
        <v>827568</v>
      </c>
      <c r="AA174" s="1091">
        <f t="shared" si="227"/>
        <v>6329132</v>
      </c>
      <c r="AB174" s="1091">
        <f t="shared" si="228"/>
        <v>11.563541855883297</v>
      </c>
      <c r="AD174" s="650">
        <f t="shared" si="184"/>
        <v>0</v>
      </c>
      <c r="AI174" s="1277">
        <f>VLOOKUP(K174,'[2]ผลการเบิกจ่ายสะสม พ.ย. 66'!$C:$N,12,0)</f>
        <v>0</v>
      </c>
      <c r="AJ174" s="1274">
        <f t="shared" si="189"/>
        <v>-827568</v>
      </c>
    </row>
    <row r="175" spans="1:36" s="5" customFormat="1" ht="21" customHeight="1" outlineLevel="1" x14ac:dyDescent="0.2">
      <c r="A175" s="56"/>
      <c r="B175" s="57"/>
      <c r="C175" s="27" t="s">
        <v>76</v>
      </c>
      <c r="D175" s="1090">
        <v>200000</v>
      </c>
      <c r="E175" s="1108">
        <v>0</v>
      </c>
      <c r="F175" s="1108"/>
      <c r="G175" s="1108"/>
      <c r="H175" s="1108">
        <v>250000</v>
      </c>
      <c r="I175" s="1092">
        <v>283000</v>
      </c>
      <c r="J175" s="1092">
        <v>250000</v>
      </c>
      <c r="K175" s="1032"/>
      <c r="L175" s="1032"/>
      <c r="M175" s="1091">
        <v>0</v>
      </c>
      <c r="N175" s="1091">
        <v>250000</v>
      </c>
      <c r="O175" s="1091"/>
      <c r="P175" s="1091"/>
      <c r="Q175" s="1091"/>
      <c r="R175" s="1091"/>
      <c r="S175" s="1160"/>
      <c r="T175" s="1091">
        <f t="shared" si="222"/>
        <v>0</v>
      </c>
      <c r="U175" s="1091">
        <f t="shared" si="223"/>
        <v>250000</v>
      </c>
      <c r="V175" s="1091">
        <f t="shared" si="188"/>
        <v>0</v>
      </c>
      <c r="W175" s="1091"/>
      <c r="X175" s="1091">
        <f t="shared" si="224"/>
        <v>0</v>
      </c>
      <c r="Y175" s="1091">
        <f t="shared" si="225"/>
        <v>250000</v>
      </c>
      <c r="Z175" s="1091">
        <f t="shared" si="226"/>
        <v>0</v>
      </c>
      <c r="AA175" s="1091">
        <f t="shared" si="227"/>
        <v>250000</v>
      </c>
      <c r="AB175" s="1091">
        <f t="shared" si="228"/>
        <v>0</v>
      </c>
      <c r="AD175" s="650">
        <f t="shared" si="184"/>
        <v>0</v>
      </c>
      <c r="AI175" s="1277">
        <f>VLOOKUP(K175,'[2]ผลการเบิกจ่ายสะสม พ.ย. 66'!$C:$N,12,0)</f>
        <v>0</v>
      </c>
      <c r="AJ175" s="1274">
        <f t="shared" si="189"/>
        <v>0</v>
      </c>
    </row>
    <row r="176" spans="1:36" s="5" customFormat="1" ht="21" customHeight="1" outlineLevel="1" collapsed="1" x14ac:dyDescent="0.2">
      <c r="A176" s="33"/>
      <c r="B176" s="916" t="s">
        <v>876</v>
      </c>
      <c r="C176" s="917"/>
      <c r="D176" s="1096">
        <v>17756500</v>
      </c>
      <c r="E176" s="1117">
        <v>0</v>
      </c>
      <c r="F176" s="1117"/>
      <c r="G176" s="1117"/>
      <c r="H176" s="1117">
        <v>0</v>
      </c>
      <c r="I176" s="1098"/>
      <c r="J176" s="1098"/>
      <c r="K176" s="1029"/>
      <c r="L176" s="1029"/>
      <c r="M176" s="1097"/>
      <c r="N176" s="1097"/>
      <c r="O176" s="1097"/>
      <c r="P176" s="1097"/>
      <c r="Q176" s="1097"/>
      <c r="R176" s="1097"/>
      <c r="S176" s="1105"/>
      <c r="T176" s="1097"/>
      <c r="U176" s="1097"/>
      <c r="V176" s="1097">
        <f t="shared" si="188"/>
        <v>0</v>
      </c>
      <c r="W176" s="1097"/>
      <c r="X176" s="1097"/>
      <c r="Y176" s="1097"/>
      <c r="Z176" s="1097"/>
      <c r="AA176" s="1097"/>
      <c r="AB176" s="1097"/>
      <c r="AD176" s="650">
        <f t="shared" si="184"/>
        <v>0</v>
      </c>
      <c r="AI176" s="1277">
        <f>VLOOKUP(K176,'[2]ผลการเบิกจ่ายสะสม พ.ย. 66'!$C:$N,12,0)</f>
        <v>0</v>
      </c>
      <c r="AJ176" s="1274">
        <f t="shared" si="189"/>
        <v>0</v>
      </c>
    </row>
    <row r="177" spans="1:36" s="5" customFormat="1" x14ac:dyDescent="0.2">
      <c r="A177" s="33"/>
      <c r="B177" s="34" t="s">
        <v>877</v>
      </c>
      <c r="C177" s="273"/>
      <c r="D177" s="1118">
        <f>SUM(D178:D179)</f>
        <v>10300000</v>
      </c>
      <c r="E177" s="1119">
        <f>SUM(E178:E179)</f>
        <v>9088114.0999999996</v>
      </c>
      <c r="F177" s="1119"/>
      <c r="G177" s="1119"/>
      <c r="H177" s="1119">
        <f>SUM(H178:H179)</f>
        <v>7400000</v>
      </c>
      <c r="I177" s="1106">
        <v>13160000</v>
      </c>
      <c r="J177" s="1106">
        <f>SUM(J178:J179)</f>
        <v>10998200</v>
      </c>
      <c r="K177" s="1029" t="s">
        <v>1367</v>
      </c>
      <c r="L177" s="1040" t="s">
        <v>1427</v>
      </c>
      <c r="M177" s="1105">
        <f t="shared" ref="M177:U177" si="229">SUM(M178:M179)</f>
        <v>7900000</v>
      </c>
      <c r="N177" s="1105">
        <f>SUM(N178:N179)</f>
        <v>7900000</v>
      </c>
      <c r="O177" s="1105">
        <f t="shared" si="229"/>
        <v>0</v>
      </c>
      <c r="P177" s="1105">
        <f t="shared" si="229"/>
        <v>0</v>
      </c>
      <c r="Q177" s="1105">
        <f t="shared" si="229"/>
        <v>0</v>
      </c>
      <c r="R177" s="1105">
        <f t="shared" si="229"/>
        <v>0</v>
      </c>
      <c r="S177" s="1105">
        <f t="shared" si="229"/>
        <v>0</v>
      </c>
      <c r="T177" s="1105">
        <f t="shared" si="229"/>
        <v>0</v>
      </c>
      <c r="U177" s="1105">
        <f t="shared" si="229"/>
        <v>7900000</v>
      </c>
      <c r="V177" s="1105">
        <f t="shared" si="188"/>
        <v>0</v>
      </c>
      <c r="W177" s="1105">
        <f t="shared" ref="W177:AB177" si="230">SUM(W178:W179)</f>
        <v>0</v>
      </c>
      <c r="X177" s="1105">
        <f t="shared" si="230"/>
        <v>0</v>
      </c>
      <c r="Y177" s="1105">
        <f t="shared" si="230"/>
        <v>7900000</v>
      </c>
      <c r="Z177" s="1105">
        <f t="shared" si="230"/>
        <v>0</v>
      </c>
      <c r="AA177" s="1105">
        <f t="shared" si="230"/>
        <v>7900000</v>
      </c>
      <c r="AB177" s="1105">
        <f t="shared" si="230"/>
        <v>0</v>
      </c>
      <c r="AD177" s="650">
        <f t="shared" si="184"/>
        <v>0</v>
      </c>
      <c r="AI177" s="1277">
        <f>VLOOKUP(K177,'[2]ผลการเบิกจ่ายสะสม พ.ย. 66'!$C:$N,12,0)</f>
        <v>0</v>
      </c>
      <c r="AJ177" s="1274">
        <f t="shared" si="189"/>
        <v>0</v>
      </c>
    </row>
    <row r="178" spans="1:36" s="5" customFormat="1" ht="21" customHeight="1" outlineLevel="1" x14ac:dyDescent="0.2">
      <c r="A178" s="56"/>
      <c r="B178" s="57"/>
      <c r="C178" s="27" t="s">
        <v>50</v>
      </c>
      <c r="D178" s="1111">
        <v>9000000</v>
      </c>
      <c r="E178" s="1109">
        <v>8488114.0999999996</v>
      </c>
      <c r="F178" s="1109"/>
      <c r="G178" s="1109"/>
      <c r="H178" s="1109">
        <v>5000000</v>
      </c>
      <c r="I178" s="1110">
        <v>10720000</v>
      </c>
      <c r="J178" s="1110">
        <v>8640400</v>
      </c>
      <c r="K178" s="1033"/>
      <c r="L178" s="1033"/>
      <c r="M178" s="1160">
        <v>6206400</v>
      </c>
      <c r="N178" s="1160">
        <v>6206400</v>
      </c>
      <c r="O178" s="1160"/>
      <c r="P178" s="1160"/>
      <c r="Q178" s="1160"/>
      <c r="R178" s="1160"/>
      <c r="S178" s="1160"/>
      <c r="T178" s="1091">
        <f t="shared" ref="T178:T179" si="231">+R178+S178</f>
        <v>0</v>
      </c>
      <c r="U178" s="1091">
        <f t="shared" ref="U178:U179" si="232">+N178+O178-T178</f>
        <v>6206400</v>
      </c>
      <c r="V178" s="1091">
        <f t="shared" si="188"/>
        <v>0</v>
      </c>
      <c r="W178" s="1091"/>
      <c r="X178" s="1091">
        <f t="shared" ref="X178:X179" si="233">+T178+Q178</f>
        <v>0</v>
      </c>
      <c r="Y178" s="1091">
        <f t="shared" ref="Y178:Y179" si="234">+U178-Q178</f>
        <v>6206400</v>
      </c>
      <c r="Z178" s="1091">
        <f t="shared" ref="Z178:Z179" si="235">+T178+Q178+P178</f>
        <v>0</v>
      </c>
      <c r="AA178" s="1091">
        <f t="shared" ref="AA178:AA179" si="236">+U178-Q178-P178</f>
        <v>6206400</v>
      </c>
      <c r="AB178" s="1091">
        <f t="shared" ref="AB178:AB179" si="237">IFERROR(Z178*100/(N178+O178),0)</f>
        <v>0</v>
      </c>
      <c r="AD178" s="650">
        <f t="shared" si="184"/>
        <v>0</v>
      </c>
      <c r="AI178" s="1277">
        <f>VLOOKUP(K178,'[2]ผลการเบิกจ่ายสะสม พ.ย. 66'!$C:$N,12,0)</f>
        <v>0</v>
      </c>
      <c r="AJ178" s="1274">
        <f t="shared" si="189"/>
        <v>0</v>
      </c>
    </row>
    <row r="179" spans="1:36" ht="21" customHeight="1" outlineLevel="1" x14ac:dyDescent="0.35">
      <c r="A179" s="56"/>
      <c r="B179" s="57"/>
      <c r="C179" s="27" t="s">
        <v>43</v>
      </c>
      <c r="D179" s="1111">
        <v>1300000</v>
      </c>
      <c r="E179" s="1109">
        <v>600000</v>
      </c>
      <c r="F179" s="1109"/>
      <c r="G179" s="1109"/>
      <c r="H179" s="1109">
        <v>2400000</v>
      </c>
      <c r="I179" s="1110">
        <v>2440000</v>
      </c>
      <c r="J179" s="1110">
        <v>2357800</v>
      </c>
      <c r="K179" s="1033"/>
      <c r="L179" s="1033"/>
      <c r="M179" s="1160">
        <v>1693600</v>
      </c>
      <c r="N179" s="1160">
        <v>1693600</v>
      </c>
      <c r="O179" s="1160"/>
      <c r="P179" s="1160"/>
      <c r="Q179" s="1160"/>
      <c r="R179" s="1160"/>
      <c r="S179" s="1160"/>
      <c r="T179" s="1091">
        <f t="shared" si="231"/>
        <v>0</v>
      </c>
      <c r="U179" s="1091">
        <f t="shared" si="232"/>
        <v>1693600</v>
      </c>
      <c r="V179" s="1091">
        <f t="shared" si="188"/>
        <v>0</v>
      </c>
      <c r="W179" s="1091"/>
      <c r="X179" s="1091">
        <f t="shared" si="233"/>
        <v>0</v>
      </c>
      <c r="Y179" s="1091">
        <f t="shared" si="234"/>
        <v>1693600</v>
      </c>
      <c r="Z179" s="1091">
        <f t="shared" si="235"/>
        <v>0</v>
      </c>
      <c r="AA179" s="1091">
        <f t="shared" si="236"/>
        <v>1693600</v>
      </c>
      <c r="AB179" s="1091">
        <f t="shared" si="237"/>
        <v>0</v>
      </c>
      <c r="AD179" s="650">
        <f t="shared" si="184"/>
        <v>0</v>
      </c>
      <c r="AI179" s="1277">
        <f>VLOOKUP(K179,'[2]ผลการเบิกจ่ายสะสม พ.ย. 66'!$C:$N,12,0)</f>
        <v>0</v>
      </c>
      <c r="AJ179" s="1274">
        <f t="shared" si="189"/>
        <v>0</v>
      </c>
    </row>
    <row r="180" spans="1:36" x14ac:dyDescent="0.35">
      <c r="A180" s="134"/>
      <c r="B180" s="34" t="s">
        <v>765</v>
      </c>
      <c r="C180" s="273"/>
      <c r="D180" s="1096">
        <f>SUM(D181:D184)</f>
        <v>3872100</v>
      </c>
      <c r="E180" s="1097">
        <f>SUM(E181:E184)</f>
        <v>1061407.8</v>
      </c>
      <c r="F180" s="1097"/>
      <c r="G180" s="1097"/>
      <c r="H180" s="1097">
        <f>SUM(H181:H184)</f>
        <v>2585400</v>
      </c>
      <c r="I180" s="1098">
        <v>12899700</v>
      </c>
      <c r="J180" s="1098">
        <f>SUM(J181:J184)</f>
        <v>2585400</v>
      </c>
      <c r="K180" s="1029" t="s">
        <v>1368</v>
      </c>
      <c r="L180" s="1029" t="s">
        <v>1427</v>
      </c>
      <c r="M180" s="1097">
        <f t="shared" ref="M180:U180" si="238">SUM(M181:M184)</f>
        <v>2105400</v>
      </c>
      <c r="N180" s="1097">
        <f>SUM(N181:N184)</f>
        <v>2585400</v>
      </c>
      <c r="O180" s="1097">
        <f t="shared" si="238"/>
        <v>0</v>
      </c>
      <c r="P180" s="1097">
        <f t="shared" si="238"/>
        <v>0</v>
      </c>
      <c r="Q180" s="1097">
        <f t="shared" si="238"/>
        <v>0</v>
      </c>
      <c r="R180" s="1097">
        <f t="shared" si="238"/>
        <v>0</v>
      </c>
      <c r="S180" s="1268">
        <f>44563+64920</f>
        <v>109483</v>
      </c>
      <c r="T180" s="1097">
        <f t="shared" si="238"/>
        <v>109483</v>
      </c>
      <c r="U180" s="1097">
        <f t="shared" si="238"/>
        <v>2475917</v>
      </c>
      <c r="V180" s="1097">
        <f t="shared" si="188"/>
        <v>4.234663881797788</v>
      </c>
      <c r="W180" s="1097">
        <f t="shared" ref="W180:AB180" si="239">SUM(W181:W184)</f>
        <v>0</v>
      </c>
      <c r="X180" s="1097">
        <f t="shared" si="239"/>
        <v>109483</v>
      </c>
      <c r="Y180" s="1097">
        <f t="shared" si="239"/>
        <v>2475917</v>
      </c>
      <c r="Z180" s="1097">
        <f t="shared" si="239"/>
        <v>109483</v>
      </c>
      <c r="AA180" s="1097">
        <f t="shared" si="239"/>
        <v>2475917</v>
      </c>
      <c r="AB180" s="1097">
        <f t="shared" si="239"/>
        <v>5.6568667975612277</v>
      </c>
      <c r="AD180" s="650">
        <f t="shared" si="184"/>
        <v>0</v>
      </c>
      <c r="AI180" s="1277">
        <f>VLOOKUP(K180,'[2]ผลการเบิกจ่ายสะสม พ.ย. 66'!$C:$N,12,0)</f>
        <v>109483</v>
      </c>
      <c r="AJ180" s="1274">
        <f t="shared" si="189"/>
        <v>0</v>
      </c>
    </row>
    <row r="181" spans="1:36" ht="21" customHeight="1" outlineLevel="1" x14ac:dyDescent="0.35">
      <c r="A181" s="134"/>
      <c r="B181" s="139"/>
      <c r="C181" s="27" t="s">
        <v>43</v>
      </c>
      <c r="D181" s="1090">
        <v>300000</v>
      </c>
      <c r="E181" s="1091">
        <v>49675</v>
      </c>
      <c r="F181" s="1091"/>
      <c r="G181" s="1091"/>
      <c r="H181" s="1091">
        <v>450000</v>
      </c>
      <c r="I181" s="1092">
        <v>681400</v>
      </c>
      <c r="J181" s="1092">
        <v>450000</v>
      </c>
      <c r="K181" s="1032"/>
      <c r="L181" s="1032"/>
      <c r="M181" s="1091">
        <v>0</v>
      </c>
      <c r="N181" s="1091">
        <v>450000</v>
      </c>
      <c r="O181" s="1091"/>
      <c r="P181" s="1091"/>
      <c r="Q181" s="1091"/>
      <c r="R181" s="1091"/>
      <c r="S181" s="1160"/>
      <c r="T181" s="1091">
        <f t="shared" ref="T181:T186" si="240">+R181+S181</f>
        <v>0</v>
      </c>
      <c r="U181" s="1091">
        <f t="shared" ref="U181:U186" si="241">+N181+O181-T181</f>
        <v>450000</v>
      </c>
      <c r="V181" s="1091">
        <f t="shared" si="188"/>
        <v>0</v>
      </c>
      <c r="W181" s="1091"/>
      <c r="X181" s="1091">
        <f t="shared" ref="X181:X186" si="242">+T181+Q181</f>
        <v>0</v>
      </c>
      <c r="Y181" s="1091">
        <f t="shared" ref="Y181:Y186" si="243">+U181-Q181</f>
        <v>450000</v>
      </c>
      <c r="Z181" s="1091">
        <f t="shared" ref="Z181:Z186" si="244">+T181+Q181+P181</f>
        <v>0</v>
      </c>
      <c r="AA181" s="1091">
        <f t="shared" ref="AA181:AA186" si="245">+U181-Q181-P181</f>
        <v>450000</v>
      </c>
      <c r="AB181" s="1091">
        <f t="shared" ref="AB181:AB186" si="246">IFERROR(Z181*100/(N181+O181),0)</f>
        <v>0</v>
      </c>
      <c r="AD181" s="650">
        <f t="shared" si="184"/>
        <v>0</v>
      </c>
      <c r="AI181" s="1277">
        <f>VLOOKUP(K181,'[2]ผลการเบิกจ่ายสะสม พ.ย. 66'!$C:$N,12,0)</f>
        <v>0</v>
      </c>
      <c r="AJ181" s="1274">
        <f t="shared" si="189"/>
        <v>0</v>
      </c>
    </row>
    <row r="182" spans="1:36" ht="21" customHeight="1" outlineLevel="1" x14ac:dyDescent="0.35">
      <c r="A182" s="134"/>
      <c r="B182" s="139"/>
      <c r="C182" s="27" t="s">
        <v>50</v>
      </c>
      <c r="D182" s="1090">
        <v>3372100</v>
      </c>
      <c r="E182" s="1091">
        <v>930568.8</v>
      </c>
      <c r="F182" s="1091"/>
      <c r="G182" s="1091"/>
      <c r="H182" s="1091">
        <v>1935400</v>
      </c>
      <c r="I182" s="1092">
        <v>11720300</v>
      </c>
      <c r="J182" s="1092">
        <v>1935400</v>
      </c>
      <c r="K182" s="1032"/>
      <c r="L182" s="1032"/>
      <c r="M182" s="1091">
        <f>1300000+635400</f>
        <v>1935400</v>
      </c>
      <c r="N182" s="1091">
        <v>1935400</v>
      </c>
      <c r="O182" s="1091"/>
      <c r="P182" s="1091"/>
      <c r="Q182" s="1091"/>
      <c r="R182" s="1091"/>
      <c r="S182" s="1267">
        <v>109483</v>
      </c>
      <c r="T182" s="1091">
        <f t="shared" si="240"/>
        <v>109483</v>
      </c>
      <c r="U182" s="1091">
        <f t="shared" si="241"/>
        <v>1825917</v>
      </c>
      <c r="V182" s="1091">
        <f t="shared" si="188"/>
        <v>5.6568667975612277</v>
      </c>
      <c r="W182" s="1091"/>
      <c r="X182" s="1091">
        <f t="shared" si="242"/>
        <v>109483</v>
      </c>
      <c r="Y182" s="1091">
        <f t="shared" si="243"/>
        <v>1825917</v>
      </c>
      <c r="Z182" s="1091">
        <f t="shared" si="244"/>
        <v>109483</v>
      </c>
      <c r="AA182" s="1091">
        <f t="shared" si="245"/>
        <v>1825917</v>
      </c>
      <c r="AB182" s="1091">
        <f t="shared" si="246"/>
        <v>5.6568667975612277</v>
      </c>
      <c r="AD182" s="650">
        <f t="shared" si="184"/>
        <v>0</v>
      </c>
      <c r="AI182" s="1277">
        <f>VLOOKUP(K182,'[2]ผลการเบิกจ่ายสะสม พ.ย. 66'!$C:$N,12,0)</f>
        <v>0</v>
      </c>
      <c r="AJ182" s="1274">
        <f t="shared" si="189"/>
        <v>-109483</v>
      </c>
    </row>
    <row r="183" spans="1:36" ht="21" customHeight="1" outlineLevel="1" x14ac:dyDescent="0.35">
      <c r="A183" s="134"/>
      <c r="B183" s="139"/>
      <c r="C183" s="27" t="s">
        <v>62</v>
      </c>
      <c r="D183" s="1090">
        <v>100000</v>
      </c>
      <c r="E183" s="1091">
        <v>81164</v>
      </c>
      <c r="F183" s="1091"/>
      <c r="G183" s="1091"/>
      <c r="H183" s="1091">
        <v>100000</v>
      </c>
      <c r="I183" s="1092">
        <v>298000</v>
      </c>
      <c r="J183" s="1092">
        <v>100000</v>
      </c>
      <c r="K183" s="1032"/>
      <c r="L183" s="1032"/>
      <c r="M183" s="1091">
        <v>70000</v>
      </c>
      <c r="N183" s="1091">
        <v>100000</v>
      </c>
      <c r="O183" s="1091"/>
      <c r="P183" s="1091"/>
      <c r="Q183" s="1091"/>
      <c r="R183" s="1091"/>
      <c r="S183" s="1091"/>
      <c r="T183" s="1091">
        <f t="shared" si="240"/>
        <v>0</v>
      </c>
      <c r="U183" s="1091">
        <f t="shared" si="241"/>
        <v>100000</v>
      </c>
      <c r="V183" s="1091">
        <f t="shared" si="188"/>
        <v>0</v>
      </c>
      <c r="W183" s="1091"/>
      <c r="X183" s="1091">
        <f t="shared" si="242"/>
        <v>0</v>
      </c>
      <c r="Y183" s="1091">
        <f t="shared" si="243"/>
        <v>100000</v>
      </c>
      <c r="Z183" s="1091">
        <f t="shared" si="244"/>
        <v>0</v>
      </c>
      <c r="AA183" s="1091">
        <f t="shared" si="245"/>
        <v>100000</v>
      </c>
      <c r="AB183" s="1091">
        <f t="shared" si="246"/>
        <v>0</v>
      </c>
      <c r="AD183" s="650">
        <f t="shared" si="184"/>
        <v>0</v>
      </c>
      <c r="AI183" s="1277">
        <f>VLOOKUP(K183,'[2]ผลการเบิกจ่ายสะสม พ.ย. 66'!$C:$N,12,0)</f>
        <v>0</v>
      </c>
      <c r="AJ183" s="1274">
        <f t="shared" si="189"/>
        <v>0</v>
      </c>
    </row>
    <row r="184" spans="1:36" ht="21" customHeight="1" outlineLevel="1" x14ac:dyDescent="0.35">
      <c r="A184" s="134"/>
      <c r="B184" s="139"/>
      <c r="C184" s="27" t="s">
        <v>69</v>
      </c>
      <c r="D184" s="1090">
        <v>100000</v>
      </c>
      <c r="E184" s="1091">
        <v>0</v>
      </c>
      <c r="F184" s="1091"/>
      <c r="G184" s="1091"/>
      <c r="H184" s="1091">
        <v>100000</v>
      </c>
      <c r="I184" s="1092">
        <v>200000</v>
      </c>
      <c r="J184" s="1092">
        <v>100000</v>
      </c>
      <c r="K184" s="1032"/>
      <c r="L184" s="1032"/>
      <c r="M184" s="1091">
        <v>100000</v>
      </c>
      <c r="N184" s="1091">
        <v>100000</v>
      </c>
      <c r="O184" s="1091"/>
      <c r="P184" s="1091"/>
      <c r="Q184" s="1091"/>
      <c r="R184" s="1091"/>
      <c r="S184" s="1091"/>
      <c r="T184" s="1091">
        <f t="shared" si="240"/>
        <v>0</v>
      </c>
      <c r="U184" s="1091">
        <f t="shared" si="241"/>
        <v>100000</v>
      </c>
      <c r="V184" s="1091">
        <f t="shared" si="188"/>
        <v>0</v>
      </c>
      <c r="W184" s="1091"/>
      <c r="X184" s="1091">
        <f t="shared" si="242"/>
        <v>0</v>
      </c>
      <c r="Y184" s="1091">
        <f t="shared" si="243"/>
        <v>100000</v>
      </c>
      <c r="Z184" s="1091">
        <f t="shared" si="244"/>
        <v>0</v>
      </c>
      <c r="AA184" s="1091">
        <f t="shared" si="245"/>
        <v>100000</v>
      </c>
      <c r="AB184" s="1091">
        <f t="shared" si="246"/>
        <v>0</v>
      </c>
      <c r="AD184" s="650">
        <f t="shared" si="184"/>
        <v>0</v>
      </c>
      <c r="AI184" s="1277">
        <f>VLOOKUP(K184,'[2]ผลการเบิกจ่ายสะสม พ.ย. 66'!$C:$N,12,0)</f>
        <v>0</v>
      </c>
      <c r="AJ184" s="1274">
        <f t="shared" si="189"/>
        <v>0</v>
      </c>
    </row>
    <row r="185" spans="1:36" x14ac:dyDescent="0.35">
      <c r="A185" s="134"/>
      <c r="B185" s="34" t="s">
        <v>766</v>
      </c>
      <c r="C185" s="273"/>
      <c r="D185" s="1096">
        <v>850000</v>
      </c>
      <c r="E185" s="1097">
        <v>0</v>
      </c>
      <c r="F185" s="1097"/>
      <c r="G185" s="1097"/>
      <c r="H185" s="1097">
        <v>759800</v>
      </c>
      <c r="I185" s="1098">
        <v>4800000</v>
      </c>
      <c r="J185" s="1098">
        <v>759800</v>
      </c>
      <c r="K185" s="1029" t="s">
        <v>1369</v>
      </c>
      <c r="L185" s="1029" t="s">
        <v>1427</v>
      </c>
      <c r="M185" s="1097"/>
      <c r="N185" s="1097">
        <v>0</v>
      </c>
      <c r="O185" s="1097"/>
      <c r="P185" s="1097"/>
      <c r="Q185" s="1097"/>
      <c r="R185" s="1097"/>
      <c r="S185" s="1097"/>
      <c r="T185" s="1091">
        <f t="shared" si="240"/>
        <v>0</v>
      </c>
      <c r="U185" s="1091">
        <f t="shared" si="241"/>
        <v>0</v>
      </c>
      <c r="V185" s="1091">
        <f t="shared" si="188"/>
        <v>0</v>
      </c>
      <c r="W185" s="1091"/>
      <c r="X185" s="1091">
        <f t="shared" si="242"/>
        <v>0</v>
      </c>
      <c r="Y185" s="1091">
        <f t="shared" si="243"/>
        <v>0</v>
      </c>
      <c r="Z185" s="1091">
        <f t="shared" si="244"/>
        <v>0</v>
      </c>
      <c r="AA185" s="1091">
        <f t="shared" si="245"/>
        <v>0</v>
      </c>
      <c r="AB185" s="1091">
        <f t="shared" si="246"/>
        <v>0</v>
      </c>
      <c r="AD185" s="650">
        <f t="shared" si="184"/>
        <v>0</v>
      </c>
      <c r="AI185" s="1277" t="e">
        <f>VLOOKUP(K185,'[2]ผลการเบิกจ่ายสะสม พ.ย. 66'!$C:$N,12,0)</f>
        <v>#N/A</v>
      </c>
      <c r="AJ185" s="1274" t="e">
        <f t="shared" si="189"/>
        <v>#N/A</v>
      </c>
    </row>
    <row r="186" spans="1:36" s="5" customFormat="1" ht="24" customHeight="1" x14ac:dyDescent="0.2">
      <c r="A186" s="918"/>
      <c r="B186" s="919" t="s">
        <v>878</v>
      </c>
      <c r="C186" s="920"/>
      <c r="D186" s="1146"/>
      <c r="E186" s="1147"/>
      <c r="F186" s="1147"/>
      <c r="G186" s="1147"/>
      <c r="H186" s="1147"/>
      <c r="I186" s="1148">
        <v>3191200</v>
      </c>
      <c r="J186" s="1148">
        <v>0</v>
      </c>
      <c r="K186" s="1042"/>
      <c r="L186" s="1042"/>
      <c r="M186" s="1230"/>
      <c r="N186" s="1230">
        <v>0</v>
      </c>
      <c r="O186" s="1230"/>
      <c r="P186" s="1230"/>
      <c r="Q186" s="1230"/>
      <c r="R186" s="1230"/>
      <c r="S186" s="1230"/>
      <c r="T186" s="1091">
        <f t="shared" si="240"/>
        <v>0</v>
      </c>
      <c r="U186" s="1091">
        <f t="shared" si="241"/>
        <v>0</v>
      </c>
      <c r="V186" s="1091">
        <f t="shared" si="188"/>
        <v>0</v>
      </c>
      <c r="W186" s="1091"/>
      <c r="X186" s="1091">
        <f t="shared" si="242"/>
        <v>0</v>
      </c>
      <c r="Y186" s="1091">
        <f t="shared" si="243"/>
        <v>0</v>
      </c>
      <c r="Z186" s="1091">
        <f t="shared" si="244"/>
        <v>0</v>
      </c>
      <c r="AA186" s="1091">
        <f t="shared" si="245"/>
        <v>0</v>
      </c>
      <c r="AB186" s="1091">
        <f t="shared" si="246"/>
        <v>0</v>
      </c>
      <c r="AD186" s="650">
        <f t="shared" si="184"/>
        <v>0</v>
      </c>
      <c r="AI186" s="1277">
        <f>VLOOKUP(K186,'[2]ผลการเบิกจ่ายสะสม พ.ย. 66'!$C:$N,12,0)</f>
        <v>0</v>
      </c>
      <c r="AJ186" s="1274">
        <f t="shared" si="189"/>
        <v>0</v>
      </c>
    </row>
    <row r="187" spans="1:36" s="5" customFormat="1" x14ac:dyDescent="0.2">
      <c r="A187" s="900" t="s">
        <v>172</v>
      </c>
      <c r="B187" s="901"/>
      <c r="C187" s="901"/>
      <c r="D187" s="1123">
        <f>+D188+D459</f>
        <v>2098131800</v>
      </c>
      <c r="E187" s="1144">
        <f>+E188+E459</f>
        <v>1840374477.74</v>
      </c>
      <c r="F187" s="1144"/>
      <c r="G187" s="1144"/>
      <c r="H187" s="1144">
        <f>+H188+H459</f>
        <v>1809533800</v>
      </c>
      <c r="I187" s="1125">
        <v>2867903700</v>
      </c>
      <c r="J187" s="1125">
        <f>+J188+J459</f>
        <v>1793614700</v>
      </c>
      <c r="K187" s="1034" t="s">
        <v>1370</v>
      </c>
      <c r="L187" s="1034"/>
      <c r="M187" s="1124">
        <f t="shared" ref="M187" si="247">+M188+M459</f>
        <v>982628100</v>
      </c>
      <c r="N187" s="1124">
        <f>+N188+N459</f>
        <v>1349416200</v>
      </c>
      <c r="O187" s="1124">
        <f>+Q179+O459</f>
        <v>0</v>
      </c>
      <c r="P187" s="1124">
        <f t="shared" ref="P187:U187" si="248">+P188+P459</f>
        <v>0</v>
      </c>
      <c r="Q187" s="1124">
        <f t="shared" si="248"/>
        <v>76482637.569999993</v>
      </c>
      <c r="R187" s="1124">
        <f t="shared" si="248"/>
        <v>38114200</v>
      </c>
      <c r="S187" s="1124">
        <f t="shared" si="248"/>
        <v>499007076.98000002</v>
      </c>
      <c r="T187" s="1124">
        <f t="shared" si="248"/>
        <v>537121276.98000002</v>
      </c>
      <c r="U187" s="1124">
        <f t="shared" si="248"/>
        <v>812294923.01999998</v>
      </c>
      <c r="V187" s="1124">
        <f t="shared" si="188"/>
        <v>39.803974265315624</v>
      </c>
      <c r="W187" s="1124">
        <f t="shared" ref="W187:AB187" si="249">+W188+W459</f>
        <v>0</v>
      </c>
      <c r="X187" s="1124">
        <f t="shared" si="249"/>
        <v>345530684.45000005</v>
      </c>
      <c r="Y187" s="1124">
        <f t="shared" si="249"/>
        <v>1003885515.55</v>
      </c>
      <c r="Z187" s="1124">
        <f t="shared" si="249"/>
        <v>345530684.45000005</v>
      </c>
      <c r="AA187" s="1124">
        <f t="shared" si="249"/>
        <v>1003885515.55</v>
      </c>
      <c r="AB187" s="1124">
        <f t="shared" si="249"/>
        <v>1934.200160513308</v>
      </c>
      <c r="AD187" s="650">
        <f t="shared" si="184"/>
        <v>0</v>
      </c>
      <c r="AI187" s="1277" t="e">
        <f>VLOOKUP(K187,'[2]ผลการเบิกจ่ายสะสม พ.ย. 66'!$C:$N,12,0)</f>
        <v>#N/A</v>
      </c>
      <c r="AJ187" s="1274" t="e">
        <f t="shared" si="189"/>
        <v>#N/A</v>
      </c>
    </row>
    <row r="188" spans="1:36" s="5" customFormat="1" x14ac:dyDescent="0.2">
      <c r="A188" s="14" t="s">
        <v>136</v>
      </c>
      <c r="B188" s="15"/>
      <c r="C188" s="15"/>
      <c r="D188" s="1084">
        <f>+D189+D430+D432</f>
        <v>724685000</v>
      </c>
      <c r="E188" s="1145">
        <f>+E189+E430+E432</f>
        <v>608926216.5999999</v>
      </c>
      <c r="F188" s="1145"/>
      <c r="G188" s="1145"/>
      <c r="H188" s="1145">
        <f>+H189+H430+H432</f>
        <v>517407100</v>
      </c>
      <c r="I188" s="1086">
        <v>1033968000</v>
      </c>
      <c r="J188" s="1086">
        <f>+J189+J430+J432</f>
        <v>602905100</v>
      </c>
      <c r="K188" s="1027"/>
      <c r="L188" s="1027" t="s">
        <v>1428</v>
      </c>
      <c r="M188" s="1085">
        <f t="shared" ref="M188:U188" si="250">+M189+M430+M432</f>
        <v>330432200</v>
      </c>
      <c r="N188" s="1085">
        <f>+N189+N430+N432</f>
        <v>552982600</v>
      </c>
      <c r="O188" s="1247">
        <f t="shared" si="250"/>
        <v>0</v>
      </c>
      <c r="P188" s="1085">
        <f t="shared" si="250"/>
        <v>0</v>
      </c>
      <c r="Q188" s="1085">
        <f t="shared" si="250"/>
        <v>76482637.569999993</v>
      </c>
      <c r="R188" s="1085">
        <f t="shared" si="250"/>
        <v>38114200</v>
      </c>
      <c r="S188" s="1085">
        <f t="shared" si="250"/>
        <v>63339188.949999973</v>
      </c>
      <c r="T188" s="1085">
        <f t="shared" si="250"/>
        <v>101453388.95</v>
      </c>
      <c r="U188" s="1085">
        <f t="shared" si="250"/>
        <v>451529211.05000001</v>
      </c>
      <c r="V188" s="1085">
        <f t="shared" si="188"/>
        <v>18.346578888738996</v>
      </c>
      <c r="W188" s="1085">
        <f t="shared" ref="W188:AB188" si="251">+W189+W430+W432</f>
        <v>0</v>
      </c>
      <c r="X188" s="1085">
        <f t="shared" si="251"/>
        <v>100486420.53</v>
      </c>
      <c r="Y188" s="1085">
        <f t="shared" si="251"/>
        <v>452496179.47000003</v>
      </c>
      <c r="Z188" s="1085">
        <f t="shared" si="251"/>
        <v>100486420.53</v>
      </c>
      <c r="AA188" s="1085">
        <f t="shared" si="251"/>
        <v>452496179.47000003</v>
      </c>
      <c r="AB188" s="1085">
        <f t="shared" si="251"/>
        <v>1254.4988982235232</v>
      </c>
      <c r="AD188" s="650">
        <f t="shared" si="184"/>
        <v>0</v>
      </c>
      <c r="AI188" s="1277">
        <f>VLOOKUP(K188,'[2]ผลการเบิกจ่ายสะสม พ.ย. 66'!$C:$N,12,0)</f>
        <v>0</v>
      </c>
      <c r="AJ188" s="1274">
        <f t="shared" si="189"/>
        <v>-63339188.949999973</v>
      </c>
    </row>
    <row r="189" spans="1:36" s="5" customFormat="1" x14ac:dyDescent="0.2">
      <c r="A189" s="20" t="s">
        <v>78</v>
      </c>
      <c r="B189" s="21"/>
      <c r="C189" s="21"/>
      <c r="D189" s="1087">
        <f>+D190+D223+D330+D410</f>
        <v>521581300</v>
      </c>
      <c r="E189" s="1142">
        <f>+E190+E223+E330+E410</f>
        <v>490252908.89999992</v>
      </c>
      <c r="F189" s="1142"/>
      <c r="G189" s="1142"/>
      <c r="H189" s="1142">
        <f>+H190+H223+H330+H410</f>
        <v>369279600</v>
      </c>
      <c r="I189" s="1089">
        <v>747260700</v>
      </c>
      <c r="J189" s="1089">
        <f>+J190+J223+J330+J410</f>
        <v>460677700</v>
      </c>
      <c r="K189" s="1028" t="s">
        <v>1371</v>
      </c>
      <c r="L189" s="1028"/>
      <c r="M189" s="1088">
        <f t="shared" ref="M189:U189" si="252">+M190+M223+M330+M410</f>
        <v>260561300</v>
      </c>
      <c r="N189" s="1088">
        <f>+N190+N223+N330+N410</f>
        <v>460677700</v>
      </c>
      <c r="O189" s="1246">
        <f t="shared" si="252"/>
        <v>0</v>
      </c>
      <c r="P189" s="1088">
        <f t="shared" si="252"/>
        <v>0</v>
      </c>
      <c r="Q189" s="1088">
        <f t="shared" si="252"/>
        <v>76382737.569999993</v>
      </c>
      <c r="R189" s="1088">
        <f t="shared" si="252"/>
        <v>0</v>
      </c>
      <c r="S189" s="1088">
        <f t="shared" si="252"/>
        <v>60246946.469999976</v>
      </c>
      <c r="T189" s="1088">
        <f t="shared" si="252"/>
        <v>60246946.469999999</v>
      </c>
      <c r="U189" s="1088">
        <f t="shared" si="252"/>
        <v>400430753.53000003</v>
      </c>
      <c r="V189" s="1088">
        <f t="shared" si="188"/>
        <v>13.077895124943099</v>
      </c>
      <c r="W189" s="1088">
        <f t="shared" ref="W189:AB189" si="253">+W190+W223+W330+W410</f>
        <v>0</v>
      </c>
      <c r="X189" s="1088">
        <f t="shared" si="253"/>
        <v>59279978.049999997</v>
      </c>
      <c r="Y189" s="1088">
        <f t="shared" si="253"/>
        <v>401397721.95000005</v>
      </c>
      <c r="Z189" s="1088">
        <f t="shared" si="253"/>
        <v>59279978.049999997</v>
      </c>
      <c r="AA189" s="1088">
        <f t="shared" si="253"/>
        <v>401397721.95000005</v>
      </c>
      <c r="AB189" s="1088">
        <f t="shared" si="253"/>
        <v>1111.0532916726133</v>
      </c>
      <c r="AD189" s="650">
        <f t="shared" si="184"/>
        <v>0</v>
      </c>
      <c r="AI189" s="1277">
        <f>VLOOKUP(K189,'[2]ผลการเบิกจ่ายสะสม พ.ย. 66'!$C:$N,12,0)</f>
        <v>483919928.55000001</v>
      </c>
      <c r="AJ189" s="1274">
        <f t="shared" si="189"/>
        <v>423672982.08000004</v>
      </c>
    </row>
    <row r="190" spans="1:36" s="112" customFormat="1" x14ac:dyDescent="0.2">
      <c r="A190" s="33"/>
      <c r="B190" s="34" t="s">
        <v>79</v>
      </c>
      <c r="C190" s="273"/>
      <c r="D190" s="1118">
        <f>D191+D205+D209+D216+D222</f>
        <v>12533200</v>
      </c>
      <c r="E190" s="1119">
        <f>E191+E205+E209+E216+E222</f>
        <v>7700395.71</v>
      </c>
      <c r="F190" s="1119"/>
      <c r="G190" s="1119"/>
      <c r="H190" s="1119">
        <f>H191+H205+H209+H216+H222</f>
        <v>10999500</v>
      </c>
      <c r="I190" s="1106">
        <v>14803300</v>
      </c>
      <c r="J190" s="1106">
        <f>J191+J205+J209+J216+J222</f>
        <v>7433100</v>
      </c>
      <c r="K190" s="1040" t="s">
        <v>1371</v>
      </c>
      <c r="L190" s="1040" t="s">
        <v>1428</v>
      </c>
      <c r="M190" s="1105">
        <f t="shared" ref="M190:U190" si="254">M191+M205+M209+M216+M222</f>
        <v>5578100</v>
      </c>
      <c r="N190" s="1105">
        <f>N191+N205+N209+N216+N222</f>
        <v>7433100</v>
      </c>
      <c r="O190" s="1240">
        <f t="shared" si="254"/>
        <v>-27614.76</v>
      </c>
      <c r="P190" s="1105">
        <f t="shared" si="254"/>
        <v>0</v>
      </c>
      <c r="Q190" s="1105">
        <f t="shared" si="254"/>
        <v>0</v>
      </c>
      <c r="R190" s="1105">
        <f t="shared" si="254"/>
        <v>0</v>
      </c>
      <c r="S190" s="1268">
        <f>108400+138900</f>
        <v>247300</v>
      </c>
      <c r="T190" s="1105">
        <f t="shared" si="254"/>
        <v>247300</v>
      </c>
      <c r="U190" s="1105">
        <f t="shared" si="254"/>
        <v>7158185.2400000002</v>
      </c>
      <c r="V190" s="1105">
        <f t="shared" si="188"/>
        <v>3.3394165538840501</v>
      </c>
      <c r="W190" s="1105">
        <f t="shared" ref="W190:AB190" si="255">W191+W205+W209+W216+W222</f>
        <v>0</v>
      </c>
      <c r="X190" s="1105">
        <f t="shared" si="255"/>
        <v>247300</v>
      </c>
      <c r="Y190" s="1105">
        <f t="shared" si="255"/>
        <v>7158185.2400000002</v>
      </c>
      <c r="Z190" s="1105">
        <f t="shared" si="255"/>
        <v>247300</v>
      </c>
      <c r="AA190" s="1105">
        <f t="shared" si="255"/>
        <v>7158185.2400000002</v>
      </c>
      <c r="AB190" s="1105">
        <f t="shared" si="255"/>
        <v>58.00062842075495</v>
      </c>
      <c r="AD190" s="650">
        <f t="shared" si="184"/>
        <v>0</v>
      </c>
      <c r="AI190" s="1277">
        <f>VLOOKUP(K190,'[2]ผลการเบิกจ่ายสะสม พ.ย. 66'!$C:$N,12,0)</f>
        <v>483919928.55000001</v>
      </c>
      <c r="AJ190" s="1274">
        <f t="shared" si="189"/>
        <v>483672628.55000001</v>
      </c>
    </row>
    <row r="191" spans="1:36" s="5" customFormat="1" ht="21" customHeight="1" outlineLevel="1" x14ac:dyDescent="0.2">
      <c r="A191" s="33"/>
      <c r="B191" s="34" t="s">
        <v>117</v>
      </c>
      <c r="C191" s="34"/>
      <c r="D191" s="1149">
        <f>SUM(D192:D204)</f>
        <v>6750800</v>
      </c>
      <c r="E191" s="1150">
        <f>SUM(E192:E204)</f>
        <v>3917040</v>
      </c>
      <c r="F191" s="1150"/>
      <c r="G191" s="1150"/>
      <c r="H191" s="1150">
        <v>4578700</v>
      </c>
      <c r="I191" s="1151">
        <v>7439000</v>
      </c>
      <c r="J191" s="1151">
        <f>SUM(J192:J204)</f>
        <v>3917100</v>
      </c>
      <c r="K191" s="1040" t="s">
        <v>1371</v>
      </c>
      <c r="L191" s="1065" t="s">
        <v>1428</v>
      </c>
      <c r="M191" s="1153">
        <f t="shared" ref="M191:U191" si="256">SUM(M192:M204)</f>
        <v>2940100</v>
      </c>
      <c r="N191" s="1153">
        <f>SUM(N192:N204)</f>
        <v>3917100</v>
      </c>
      <c r="O191" s="1248">
        <f t="shared" si="256"/>
        <v>-27614.76</v>
      </c>
      <c r="P191" s="1153">
        <f t="shared" si="256"/>
        <v>0</v>
      </c>
      <c r="Q191" s="1153">
        <f t="shared" si="256"/>
        <v>0</v>
      </c>
      <c r="R191" s="1153">
        <f t="shared" si="256"/>
        <v>0</v>
      </c>
      <c r="S191" s="1153">
        <f t="shared" si="256"/>
        <v>0</v>
      </c>
      <c r="T191" s="1153">
        <f t="shared" si="256"/>
        <v>0</v>
      </c>
      <c r="U191" s="1153">
        <f t="shared" si="256"/>
        <v>3889485.24</v>
      </c>
      <c r="V191" s="1153">
        <f t="shared" si="188"/>
        <v>0</v>
      </c>
      <c r="W191" s="1153">
        <f t="shared" ref="W191:AB191" si="257">SUM(W192:W204)</f>
        <v>0</v>
      </c>
      <c r="X191" s="1153">
        <f t="shared" si="257"/>
        <v>0</v>
      </c>
      <c r="Y191" s="1153">
        <f t="shared" si="257"/>
        <v>3889485.24</v>
      </c>
      <c r="Z191" s="1153">
        <f t="shared" si="257"/>
        <v>0</v>
      </c>
      <c r="AA191" s="1153">
        <f t="shared" si="257"/>
        <v>3889485.24</v>
      </c>
      <c r="AB191" s="1153">
        <f t="shared" si="257"/>
        <v>0</v>
      </c>
      <c r="AD191" s="650">
        <f t="shared" si="184"/>
        <v>0</v>
      </c>
      <c r="AI191" s="1277">
        <f>VLOOKUP(K191,'[2]ผลการเบิกจ่ายสะสม พ.ย. 66'!$C:$N,12,0)</f>
        <v>483919928.55000001</v>
      </c>
      <c r="AJ191" s="1274">
        <f t="shared" si="189"/>
        <v>483919928.55000001</v>
      </c>
    </row>
    <row r="192" spans="1:36" s="5" customFormat="1" ht="21" customHeight="1" outlineLevel="1" x14ac:dyDescent="0.2">
      <c r="A192" s="33"/>
      <c r="B192" s="57"/>
      <c r="C192" s="27" t="s">
        <v>52</v>
      </c>
      <c r="D192" s="1111">
        <v>150000</v>
      </c>
      <c r="E192" s="1109">
        <v>196960</v>
      </c>
      <c r="F192" s="1109"/>
      <c r="G192" s="1109"/>
      <c r="H192" s="1109">
        <v>101700</v>
      </c>
      <c r="I192" s="1110">
        <v>400000</v>
      </c>
      <c r="J192" s="1110">
        <v>87000</v>
      </c>
      <c r="K192" s="1033"/>
      <c r="L192" s="1033"/>
      <c r="M192" s="1160">
        <v>65400</v>
      </c>
      <c r="N192" s="1160">
        <v>87000</v>
      </c>
      <c r="O192" s="1160"/>
      <c r="P192" s="1160"/>
      <c r="Q192" s="1160"/>
      <c r="R192" s="1160"/>
      <c r="S192" s="1160"/>
      <c r="T192" s="1091">
        <f t="shared" ref="T192:T204" si="258">+R192+S192</f>
        <v>0</v>
      </c>
      <c r="U192" s="1091">
        <f t="shared" ref="U192:U204" si="259">+N192+O192-T192</f>
        <v>87000</v>
      </c>
      <c r="V192" s="1091">
        <f t="shared" si="188"/>
        <v>0</v>
      </c>
      <c r="W192" s="1091"/>
      <c r="X192" s="1091">
        <f t="shared" ref="X192:X204" si="260">+T192+Q192</f>
        <v>0</v>
      </c>
      <c r="Y192" s="1091">
        <f t="shared" ref="Y192:Y204" si="261">+U192-Q192</f>
        <v>87000</v>
      </c>
      <c r="Z192" s="1091">
        <f t="shared" ref="Z192:Z204" si="262">+T192+Q192+P192</f>
        <v>0</v>
      </c>
      <c r="AA192" s="1091">
        <f t="shared" ref="AA192:AA204" si="263">+U192-Q192-P192</f>
        <v>87000</v>
      </c>
      <c r="AB192" s="1091">
        <f t="shared" ref="AB192:AB204" si="264">IFERROR(Z192*100/(N192+O192),0)</f>
        <v>0</v>
      </c>
      <c r="AD192" s="650">
        <f t="shared" si="184"/>
        <v>0</v>
      </c>
      <c r="AI192" s="1277">
        <f>VLOOKUP(K192,'[2]ผลการเบิกจ่ายสะสม พ.ย. 66'!$C:$N,12,0)</f>
        <v>0</v>
      </c>
      <c r="AJ192" s="1274">
        <f t="shared" si="189"/>
        <v>0</v>
      </c>
    </row>
    <row r="193" spans="1:36" s="5" customFormat="1" ht="21" customHeight="1" outlineLevel="1" x14ac:dyDescent="0.2">
      <c r="A193" s="33"/>
      <c r="B193" s="57"/>
      <c r="C193" s="27" t="s">
        <v>49</v>
      </c>
      <c r="D193" s="1111">
        <v>150000</v>
      </c>
      <c r="E193" s="1109">
        <v>137320</v>
      </c>
      <c r="F193" s="1109"/>
      <c r="G193" s="1109"/>
      <c r="H193" s="1109">
        <v>101700</v>
      </c>
      <c r="I193" s="1110">
        <v>200000</v>
      </c>
      <c r="J193" s="1110">
        <v>87000</v>
      </c>
      <c r="K193" s="1033"/>
      <c r="L193" s="1033"/>
      <c r="M193" s="1160">
        <v>65400</v>
      </c>
      <c r="N193" s="1160">
        <v>87000</v>
      </c>
      <c r="O193" s="1160"/>
      <c r="P193" s="1160"/>
      <c r="Q193" s="1160"/>
      <c r="R193" s="1160"/>
      <c r="S193" s="1160"/>
      <c r="T193" s="1091">
        <f t="shared" si="258"/>
        <v>0</v>
      </c>
      <c r="U193" s="1091">
        <f t="shared" si="259"/>
        <v>87000</v>
      </c>
      <c r="V193" s="1091">
        <f t="shared" si="188"/>
        <v>0</v>
      </c>
      <c r="W193" s="1091"/>
      <c r="X193" s="1091">
        <f t="shared" si="260"/>
        <v>0</v>
      </c>
      <c r="Y193" s="1091">
        <f t="shared" si="261"/>
        <v>87000</v>
      </c>
      <c r="Z193" s="1091">
        <f t="shared" si="262"/>
        <v>0</v>
      </c>
      <c r="AA193" s="1091">
        <f t="shared" si="263"/>
        <v>87000</v>
      </c>
      <c r="AB193" s="1091">
        <f t="shared" si="264"/>
        <v>0</v>
      </c>
      <c r="AD193" s="650">
        <f t="shared" si="184"/>
        <v>0</v>
      </c>
      <c r="AI193" s="1277">
        <f>VLOOKUP(K193,'[2]ผลการเบิกจ่ายสะสม พ.ย. 66'!$C:$N,12,0)</f>
        <v>0</v>
      </c>
      <c r="AJ193" s="1274">
        <f t="shared" si="189"/>
        <v>0</v>
      </c>
    </row>
    <row r="194" spans="1:36" s="5" customFormat="1" ht="21" customHeight="1" outlineLevel="1" x14ac:dyDescent="0.2">
      <c r="A194" s="33"/>
      <c r="B194" s="57"/>
      <c r="C194" s="27" t="s">
        <v>54</v>
      </c>
      <c r="D194" s="1111">
        <v>150000</v>
      </c>
      <c r="E194" s="1109">
        <v>183830</v>
      </c>
      <c r="F194" s="1109"/>
      <c r="G194" s="1109"/>
      <c r="H194" s="1109">
        <v>101700</v>
      </c>
      <c r="I194" s="1110">
        <v>185000</v>
      </c>
      <c r="J194" s="1110">
        <v>87000</v>
      </c>
      <c r="K194" s="1033"/>
      <c r="L194" s="1033"/>
      <c r="M194" s="1160">
        <v>65400</v>
      </c>
      <c r="N194" s="1160">
        <v>87000</v>
      </c>
      <c r="O194" s="1160"/>
      <c r="P194" s="1160"/>
      <c r="Q194" s="1160"/>
      <c r="R194" s="1160"/>
      <c r="S194" s="1160"/>
      <c r="T194" s="1091">
        <f t="shared" si="258"/>
        <v>0</v>
      </c>
      <c r="U194" s="1091">
        <f t="shared" si="259"/>
        <v>87000</v>
      </c>
      <c r="V194" s="1091">
        <f t="shared" si="188"/>
        <v>0</v>
      </c>
      <c r="W194" s="1091"/>
      <c r="X194" s="1091">
        <f t="shared" si="260"/>
        <v>0</v>
      </c>
      <c r="Y194" s="1091">
        <f t="shared" si="261"/>
        <v>87000</v>
      </c>
      <c r="Z194" s="1091">
        <f t="shared" si="262"/>
        <v>0</v>
      </c>
      <c r="AA194" s="1091">
        <f t="shared" si="263"/>
        <v>87000</v>
      </c>
      <c r="AB194" s="1091">
        <f t="shared" si="264"/>
        <v>0</v>
      </c>
      <c r="AD194" s="650">
        <f t="shared" si="184"/>
        <v>0</v>
      </c>
      <c r="AI194" s="1277">
        <f>VLOOKUP(K194,'[2]ผลการเบิกจ่ายสะสม พ.ย. 66'!$C:$N,12,0)</f>
        <v>0</v>
      </c>
      <c r="AJ194" s="1274">
        <f t="shared" si="189"/>
        <v>0</v>
      </c>
    </row>
    <row r="195" spans="1:36" s="5" customFormat="1" ht="21" customHeight="1" outlineLevel="1" x14ac:dyDescent="0.2">
      <c r="A195" s="33"/>
      <c r="B195" s="57"/>
      <c r="C195" s="27" t="s">
        <v>53</v>
      </c>
      <c r="D195" s="1111">
        <v>150000</v>
      </c>
      <c r="E195" s="1109">
        <v>134370</v>
      </c>
      <c r="F195" s="1109"/>
      <c r="G195" s="1109"/>
      <c r="H195" s="1109">
        <v>101700</v>
      </c>
      <c r="I195" s="1110">
        <v>180000</v>
      </c>
      <c r="J195" s="1110">
        <v>87000</v>
      </c>
      <c r="K195" s="1033"/>
      <c r="L195" s="1033"/>
      <c r="M195" s="1160">
        <v>65400</v>
      </c>
      <c r="N195" s="1160">
        <v>87000</v>
      </c>
      <c r="O195" s="1160"/>
      <c r="P195" s="1160"/>
      <c r="Q195" s="1160"/>
      <c r="R195" s="1160"/>
      <c r="S195" s="1160"/>
      <c r="T195" s="1091">
        <f t="shared" si="258"/>
        <v>0</v>
      </c>
      <c r="U195" s="1091">
        <f t="shared" si="259"/>
        <v>87000</v>
      </c>
      <c r="V195" s="1091">
        <f t="shared" si="188"/>
        <v>0</v>
      </c>
      <c r="W195" s="1091"/>
      <c r="X195" s="1091">
        <f t="shared" si="260"/>
        <v>0</v>
      </c>
      <c r="Y195" s="1091">
        <f t="shared" si="261"/>
        <v>87000</v>
      </c>
      <c r="Z195" s="1091">
        <f t="shared" si="262"/>
        <v>0</v>
      </c>
      <c r="AA195" s="1091">
        <f t="shared" si="263"/>
        <v>87000</v>
      </c>
      <c r="AB195" s="1091">
        <f t="shared" si="264"/>
        <v>0</v>
      </c>
      <c r="AD195" s="650">
        <f t="shared" si="184"/>
        <v>0</v>
      </c>
      <c r="AI195" s="1277">
        <f>VLOOKUP(K195,'[2]ผลการเบิกจ่ายสะสม พ.ย. 66'!$C:$N,12,0)</f>
        <v>0</v>
      </c>
      <c r="AJ195" s="1274">
        <f t="shared" si="189"/>
        <v>0</v>
      </c>
    </row>
    <row r="196" spans="1:36" s="5" customFormat="1" ht="21" customHeight="1" outlineLevel="1" x14ac:dyDescent="0.2">
      <c r="A196" s="33"/>
      <c r="B196" s="57"/>
      <c r="C196" s="27" t="s">
        <v>80</v>
      </c>
      <c r="D196" s="1111">
        <v>150000</v>
      </c>
      <c r="E196" s="1109">
        <v>120760</v>
      </c>
      <c r="F196" s="1109"/>
      <c r="G196" s="1109"/>
      <c r="H196" s="1109">
        <v>101700</v>
      </c>
      <c r="I196" s="1110">
        <v>150000</v>
      </c>
      <c r="J196" s="1110">
        <v>87000</v>
      </c>
      <c r="K196" s="1033"/>
      <c r="L196" s="1033"/>
      <c r="M196" s="1160">
        <v>65400</v>
      </c>
      <c r="N196" s="1160">
        <v>87000</v>
      </c>
      <c r="O196" s="1160"/>
      <c r="P196" s="1160"/>
      <c r="Q196" s="1160"/>
      <c r="R196" s="1160"/>
      <c r="S196" s="1160"/>
      <c r="T196" s="1091">
        <f t="shared" si="258"/>
        <v>0</v>
      </c>
      <c r="U196" s="1091">
        <f t="shared" si="259"/>
        <v>87000</v>
      </c>
      <c r="V196" s="1091">
        <f t="shared" si="188"/>
        <v>0</v>
      </c>
      <c r="W196" s="1091"/>
      <c r="X196" s="1091">
        <f t="shared" si="260"/>
        <v>0</v>
      </c>
      <c r="Y196" s="1091">
        <f t="shared" si="261"/>
        <v>87000</v>
      </c>
      <c r="Z196" s="1091">
        <f t="shared" si="262"/>
        <v>0</v>
      </c>
      <c r="AA196" s="1091">
        <f t="shared" si="263"/>
        <v>87000</v>
      </c>
      <c r="AB196" s="1091">
        <f t="shared" si="264"/>
        <v>0</v>
      </c>
      <c r="AD196" s="650">
        <f t="shared" si="184"/>
        <v>0</v>
      </c>
      <c r="AI196" s="1277">
        <f>VLOOKUP(K196,'[2]ผลการเบิกจ่ายสะสม พ.ย. 66'!$C:$N,12,0)</f>
        <v>0</v>
      </c>
      <c r="AJ196" s="1274">
        <f t="shared" si="189"/>
        <v>0</v>
      </c>
    </row>
    <row r="197" spans="1:36" s="5" customFormat="1" ht="21" customHeight="1" outlineLevel="1" x14ac:dyDescent="0.2">
      <c r="A197" s="33"/>
      <c r="B197" s="57"/>
      <c r="C197" s="27" t="s">
        <v>63</v>
      </c>
      <c r="D197" s="1111">
        <v>150000</v>
      </c>
      <c r="E197" s="1109">
        <v>78660</v>
      </c>
      <c r="F197" s="1109"/>
      <c r="G197" s="1109"/>
      <c r="H197" s="1109">
        <v>101700</v>
      </c>
      <c r="I197" s="1110">
        <v>150000</v>
      </c>
      <c r="J197" s="1110">
        <v>87000</v>
      </c>
      <c r="K197" s="1033"/>
      <c r="L197" s="1033"/>
      <c r="M197" s="1160">
        <v>65400</v>
      </c>
      <c r="N197" s="1160">
        <v>87000</v>
      </c>
      <c r="O197" s="1241">
        <v>-27614.76</v>
      </c>
      <c r="P197" s="1160"/>
      <c r="Q197" s="1160"/>
      <c r="R197" s="1160"/>
      <c r="S197" s="1160"/>
      <c r="T197" s="1091">
        <f t="shared" si="258"/>
        <v>0</v>
      </c>
      <c r="U197" s="1091">
        <f t="shared" si="259"/>
        <v>59385.240000000005</v>
      </c>
      <c r="V197" s="1091">
        <f t="shared" si="188"/>
        <v>0</v>
      </c>
      <c r="W197" s="1091"/>
      <c r="X197" s="1091">
        <f t="shared" si="260"/>
        <v>0</v>
      </c>
      <c r="Y197" s="1091">
        <f t="shared" si="261"/>
        <v>59385.240000000005</v>
      </c>
      <c r="Z197" s="1091">
        <f t="shared" si="262"/>
        <v>0</v>
      </c>
      <c r="AA197" s="1091">
        <f t="shared" si="263"/>
        <v>59385.240000000005</v>
      </c>
      <c r="AB197" s="1091">
        <f t="shared" si="264"/>
        <v>0</v>
      </c>
      <c r="AC197" s="5" t="s">
        <v>1453</v>
      </c>
      <c r="AD197" s="650">
        <f t="shared" si="184"/>
        <v>0</v>
      </c>
      <c r="AI197" s="1277">
        <f>VLOOKUP(K197,'[2]ผลการเบิกจ่ายสะสม พ.ย. 66'!$C:$N,12,0)</f>
        <v>0</v>
      </c>
      <c r="AJ197" s="1274">
        <f t="shared" si="189"/>
        <v>0</v>
      </c>
    </row>
    <row r="198" spans="1:36" s="5" customFormat="1" ht="21" customHeight="1" outlineLevel="1" x14ac:dyDescent="0.2">
      <c r="A198" s="33"/>
      <c r="B198" s="57"/>
      <c r="C198" s="27" t="s">
        <v>61</v>
      </c>
      <c r="D198" s="1111">
        <v>150000</v>
      </c>
      <c r="E198" s="1109">
        <v>121340</v>
      </c>
      <c r="F198" s="1109"/>
      <c r="G198" s="1109"/>
      <c r="H198" s="1109">
        <v>101700</v>
      </c>
      <c r="I198" s="1110">
        <v>170000</v>
      </c>
      <c r="J198" s="1110">
        <v>87000</v>
      </c>
      <c r="K198" s="1033"/>
      <c r="L198" s="1033"/>
      <c r="M198" s="1160">
        <v>65400</v>
      </c>
      <c r="N198" s="1160">
        <v>87000</v>
      </c>
      <c r="O198" s="1160"/>
      <c r="P198" s="1160"/>
      <c r="Q198" s="1160"/>
      <c r="R198" s="1160"/>
      <c r="S198" s="1160"/>
      <c r="T198" s="1091">
        <f t="shared" si="258"/>
        <v>0</v>
      </c>
      <c r="U198" s="1091">
        <f t="shared" si="259"/>
        <v>87000</v>
      </c>
      <c r="V198" s="1091">
        <f t="shared" si="188"/>
        <v>0</v>
      </c>
      <c r="W198" s="1091"/>
      <c r="X198" s="1091">
        <f t="shared" si="260"/>
        <v>0</v>
      </c>
      <c r="Y198" s="1091">
        <f t="shared" si="261"/>
        <v>87000</v>
      </c>
      <c r="Z198" s="1091">
        <f t="shared" si="262"/>
        <v>0</v>
      </c>
      <c r="AA198" s="1091">
        <f t="shared" si="263"/>
        <v>87000</v>
      </c>
      <c r="AB198" s="1091">
        <f t="shared" si="264"/>
        <v>0</v>
      </c>
      <c r="AD198" s="650">
        <f t="shared" si="184"/>
        <v>0</v>
      </c>
      <c r="AI198" s="1277">
        <f>VLOOKUP(K198,'[2]ผลการเบิกจ่ายสะสม พ.ย. 66'!$C:$N,12,0)</f>
        <v>0</v>
      </c>
      <c r="AJ198" s="1274">
        <f t="shared" si="189"/>
        <v>0</v>
      </c>
    </row>
    <row r="199" spans="1:36" s="5" customFormat="1" ht="21" customHeight="1" outlineLevel="1" x14ac:dyDescent="0.2">
      <c r="A199" s="33"/>
      <c r="B199" s="57"/>
      <c r="C199" s="27" t="s">
        <v>51</v>
      </c>
      <c r="D199" s="1111">
        <v>150000</v>
      </c>
      <c r="E199" s="1109">
        <v>180970</v>
      </c>
      <c r="F199" s="1109"/>
      <c r="G199" s="1109"/>
      <c r="H199" s="1109">
        <v>101700</v>
      </c>
      <c r="I199" s="1110">
        <v>250000</v>
      </c>
      <c r="J199" s="1110">
        <v>87000</v>
      </c>
      <c r="K199" s="1033"/>
      <c r="L199" s="1033"/>
      <c r="M199" s="1160">
        <v>65400</v>
      </c>
      <c r="N199" s="1160">
        <v>87000</v>
      </c>
      <c r="O199" s="1160"/>
      <c r="P199" s="1160"/>
      <c r="Q199" s="1160"/>
      <c r="R199" s="1160"/>
      <c r="S199" s="1160"/>
      <c r="T199" s="1091">
        <f t="shared" si="258"/>
        <v>0</v>
      </c>
      <c r="U199" s="1091">
        <f t="shared" si="259"/>
        <v>87000</v>
      </c>
      <c r="V199" s="1091">
        <f t="shared" si="188"/>
        <v>0</v>
      </c>
      <c r="W199" s="1091"/>
      <c r="X199" s="1091">
        <f t="shared" si="260"/>
        <v>0</v>
      </c>
      <c r="Y199" s="1091">
        <f t="shared" si="261"/>
        <v>87000</v>
      </c>
      <c r="Z199" s="1091">
        <f t="shared" si="262"/>
        <v>0</v>
      </c>
      <c r="AA199" s="1091">
        <f t="shared" si="263"/>
        <v>87000</v>
      </c>
      <c r="AB199" s="1091">
        <f t="shared" si="264"/>
        <v>0</v>
      </c>
      <c r="AD199" s="650">
        <f t="shared" si="184"/>
        <v>0</v>
      </c>
      <c r="AI199" s="1277">
        <f>VLOOKUP(K199,'[2]ผลการเบิกจ่ายสะสม พ.ย. 66'!$C:$N,12,0)</f>
        <v>0</v>
      </c>
      <c r="AJ199" s="1274">
        <f t="shared" si="189"/>
        <v>0</v>
      </c>
    </row>
    <row r="200" spans="1:36" s="5" customFormat="1" ht="21" customHeight="1" outlineLevel="1" x14ac:dyDescent="0.2">
      <c r="A200" s="33"/>
      <c r="B200" s="57"/>
      <c r="C200" s="27" t="s">
        <v>62</v>
      </c>
      <c r="D200" s="1111">
        <v>150000</v>
      </c>
      <c r="E200" s="1109">
        <v>209180</v>
      </c>
      <c r="F200" s="1109"/>
      <c r="G200" s="1109"/>
      <c r="H200" s="1109">
        <v>101700</v>
      </c>
      <c r="I200" s="1110">
        <v>400000</v>
      </c>
      <c r="J200" s="1110">
        <v>87000</v>
      </c>
      <c r="K200" s="1033"/>
      <c r="L200" s="1033"/>
      <c r="M200" s="1160">
        <v>65400</v>
      </c>
      <c r="N200" s="1160">
        <v>87000</v>
      </c>
      <c r="O200" s="1160"/>
      <c r="P200" s="1160"/>
      <c r="Q200" s="1160"/>
      <c r="R200" s="1160"/>
      <c r="S200" s="1160"/>
      <c r="T200" s="1091">
        <f t="shared" si="258"/>
        <v>0</v>
      </c>
      <c r="U200" s="1091">
        <f t="shared" si="259"/>
        <v>87000</v>
      </c>
      <c r="V200" s="1091">
        <f t="shared" si="188"/>
        <v>0</v>
      </c>
      <c r="W200" s="1091"/>
      <c r="X200" s="1091">
        <f t="shared" si="260"/>
        <v>0</v>
      </c>
      <c r="Y200" s="1091">
        <f t="shared" si="261"/>
        <v>87000</v>
      </c>
      <c r="Z200" s="1091">
        <f t="shared" si="262"/>
        <v>0</v>
      </c>
      <c r="AA200" s="1091">
        <f t="shared" si="263"/>
        <v>87000</v>
      </c>
      <c r="AB200" s="1091">
        <f t="shared" si="264"/>
        <v>0</v>
      </c>
      <c r="AD200" s="650">
        <f t="shared" si="184"/>
        <v>0</v>
      </c>
      <c r="AI200" s="1277">
        <f>VLOOKUP(K200,'[2]ผลการเบิกจ่ายสะสม พ.ย. 66'!$C:$N,12,0)</f>
        <v>0</v>
      </c>
      <c r="AJ200" s="1274">
        <f t="shared" si="189"/>
        <v>0</v>
      </c>
    </row>
    <row r="201" spans="1:36" s="5" customFormat="1" ht="21" customHeight="1" outlineLevel="1" x14ac:dyDescent="0.2">
      <c r="A201" s="33"/>
      <c r="B201" s="57"/>
      <c r="C201" s="27" t="s">
        <v>43</v>
      </c>
      <c r="D201" s="1111">
        <v>160000</v>
      </c>
      <c r="E201" s="1109">
        <v>101220</v>
      </c>
      <c r="F201" s="1109"/>
      <c r="G201" s="1109"/>
      <c r="H201" s="1109">
        <v>109000</v>
      </c>
      <c r="I201" s="1110">
        <v>150000</v>
      </c>
      <c r="J201" s="1110">
        <v>93200</v>
      </c>
      <c r="K201" s="1033"/>
      <c r="L201" s="1033"/>
      <c r="M201" s="1160">
        <v>70200</v>
      </c>
      <c r="N201" s="1160">
        <v>93200</v>
      </c>
      <c r="O201" s="1160"/>
      <c r="P201" s="1160"/>
      <c r="Q201" s="1160"/>
      <c r="R201" s="1160"/>
      <c r="S201" s="1160"/>
      <c r="T201" s="1091">
        <f t="shared" si="258"/>
        <v>0</v>
      </c>
      <c r="U201" s="1091">
        <f t="shared" si="259"/>
        <v>93200</v>
      </c>
      <c r="V201" s="1091">
        <f t="shared" si="188"/>
        <v>0</v>
      </c>
      <c r="W201" s="1091"/>
      <c r="X201" s="1091">
        <f t="shared" si="260"/>
        <v>0</v>
      </c>
      <c r="Y201" s="1091">
        <f t="shared" si="261"/>
        <v>93200</v>
      </c>
      <c r="Z201" s="1091">
        <f t="shared" si="262"/>
        <v>0</v>
      </c>
      <c r="AA201" s="1091">
        <f t="shared" si="263"/>
        <v>93200</v>
      </c>
      <c r="AB201" s="1091">
        <f t="shared" si="264"/>
        <v>0</v>
      </c>
      <c r="AD201" s="650">
        <f t="shared" si="184"/>
        <v>0</v>
      </c>
      <c r="AI201" s="1277">
        <f>VLOOKUP(K201,'[2]ผลการเบิกจ่ายสะสม พ.ย. 66'!$C:$N,12,0)</f>
        <v>0</v>
      </c>
      <c r="AJ201" s="1274">
        <f t="shared" si="189"/>
        <v>0</v>
      </c>
    </row>
    <row r="202" spans="1:36" s="5" customFormat="1" ht="21" customHeight="1" outlineLevel="1" x14ac:dyDescent="0.2">
      <c r="A202" s="33"/>
      <c r="B202" s="57"/>
      <c r="C202" s="27" t="s">
        <v>50</v>
      </c>
      <c r="D202" s="1111">
        <v>230000</v>
      </c>
      <c r="E202" s="1109">
        <v>189720</v>
      </c>
      <c r="F202" s="1109"/>
      <c r="G202" s="1109"/>
      <c r="H202" s="1109">
        <v>156000</v>
      </c>
      <c r="I202" s="1110">
        <v>500000</v>
      </c>
      <c r="J202" s="1110">
        <v>133500</v>
      </c>
      <c r="K202" s="1033"/>
      <c r="L202" s="1033"/>
      <c r="M202" s="1160">
        <v>100500</v>
      </c>
      <c r="N202" s="1160">
        <v>133500</v>
      </c>
      <c r="O202" s="1160"/>
      <c r="P202" s="1160"/>
      <c r="Q202" s="1160"/>
      <c r="R202" s="1160"/>
      <c r="S202" s="1160"/>
      <c r="T202" s="1091">
        <f t="shared" si="258"/>
        <v>0</v>
      </c>
      <c r="U202" s="1091">
        <f t="shared" si="259"/>
        <v>133500</v>
      </c>
      <c r="V202" s="1091">
        <f t="shared" si="188"/>
        <v>0</v>
      </c>
      <c r="W202" s="1091"/>
      <c r="X202" s="1091">
        <f t="shared" si="260"/>
        <v>0</v>
      </c>
      <c r="Y202" s="1091">
        <f t="shared" si="261"/>
        <v>133500</v>
      </c>
      <c r="Z202" s="1091">
        <f t="shared" si="262"/>
        <v>0</v>
      </c>
      <c r="AA202" s="1091">
        <f t="shared" si="263"/>
        <v>133500</v>
      </c>
      <c r="AB202" s="1091">
        <f t="shared" si="264"/>
        <v>0</v>
      </c>
      <c r="AD202" s="650">
        <f t="shared" si="184"/>
        <v>0</v>
      </c>
      <c r="AI202" s="1277">
        <f>VLOOKUP(K202,'[2]ผลการเบิกจ่ายสะสม พ.ย. 66'!$C:$N,12,0)</f>
        <v>0</v>
      </c>
      <c r="AJ202" s="1274">
        <f t="shared" si="189"/>
        <v>0</v>
      </c>
    </row>
    <row r="203" spans="1:36" s="5" customFormat="1" ht="21" customHeight="1" outlineLevel="1" x14ac:dyDescent="0.2">
      <c r="A203" s="33"/>
      <c r="B203" s="57"/>
      <c r="C203" s="27" t="s">
        <v>42</v>
      </c>
      <c r="D203" s="1111">
        <v>670000</v>
      </c>
      <c r="E203" s="1109">
        <v>367630</v>
      </c>
      <c r="F203" s="1109"/>
      <c r="G203" s="1109"/>
      <c r="H203" s="1109">
        <v>454400</v>
      </c>
      <c r="I203" s="1110">
        <v>700000</v>
      </c>
      <c r="J203" s="1110">
        <v>388700</v>
      </c>
      <c r="K203" s="1033"/>
      <c r="L203" s="1033"/>
      <c r="M203" s="1160">
        <v>291600</v>
      </c>
      <c r="N203" s="1160">
        <v>388700</v>
      </c>
      <c r="O203" s="1160"/>
      <c r="P203" s="1160"/>
      <c r="Q203" s="1160"/>
      <c r="R203" s="1160"/>
      <c r="S203" s="1160"/>
      <c r="T203" s="1091">
        <f t="shared" si="258"/>
        <v>0</v>
      </c>
      <c r="U203" s="1091">
        <f t="shared" si="259"/>
        <v>388700</v>
      </c>
      <c r="V203" s="1091">
        <f t="shared" si="188"/>
        <v>0</v>
      </c>
      <c r="W203" s="1091"/>
      <c r="X203" s="1091">
        <f t="shared" si="260"/>
        <v>0</v>
      </c>
      <c r="Y203" s="1091">
        <f t="shared" si="261"/>
        <v>388700</v>
      </c>
      <c r="Z203" s="1091">
        <f t="shared" si="262"/>
        <v>0</v>
      </c>
      <c r="AA203" s="1091">
        <f t="shared" si="263"/>
        <v>388700</v>
      </c>
      <c r="AB203" s="1091">
        <f t="shared" si="264"/>
        <v>0</v>
      </c>
      <c r="AD203" s="650">
        <f t="shared" ref="AD203:AD266" si="265">+N203+O203-R203-S203-U203</f>
        <v>0</v>
      </c>
      <c r="AI203" s="1277">
        <f>VLOOKUP(K203,'[2]ผลการเบิกจ่ายสะสม พ.ย. 66'!$C:$N,12,0)</f>
        <v>0</v>
      </c>
      <c r="AJ203" s="1274">
        <f t="shared" si="189"/>
        <v>0</v>
      </c>
    </row>
    <row r="204" spans="1:36" s="112" customFormat="1" ht="21" customHeight="1" outlineLevel="1" x14ac:dyDescent="0.2">
      <c r="A204" s="33"/>
      <c r="B204" s="57"/>
      <c r="C204" s="27" t="s">
        <v>81</v>
      </c>
      <c r="D204" s="1111">
        <f>2590000+1750800</f>
        <v>4340800</v>
      </c>
      <c r="E204" s="1109">
        <v>1895080</v>
      </c>
      <c r="F204" s="1109"/>
      <c r="G204" s="1109"/>
      <c r="H204" s="1109">
        <v>2944000</v>
      </c>
      <c r="I204" s="1110">
        <v>4004000</v>
      </c>
      <c r="J204" s="1110">
        <v>2518700</v>
      </c>
      <c r="K204" s="1033"/>
      <c r="L204" s="1033"/>
      <c r="M204" s="1160">
        <v>1889200</v>
      </c>
      <c r="N204" s="1160">
        <v>2518700</v>
      </c>
      <c r="O204" s="1160"/>
      <c r="P204" s="1160"/>
      <c r="Q204" s="1160"/>
      <c r="R204" s="1160"/>
      <c r="S204" s="1160"/>
      <c r="T204" s="1091">
        <f t="shared" si="258"/>
        <v>0</v>
      </c>
      <c r="U204" s="1091">
        <f t="shared" si="259"/>
        <v>2518700</v>
      </c>
      <c r="V204" s="1091">
        <f t="shared" si="188"/>
        <v>0</v>
      </c>
      <c r="W204" s="1091"/>
      <c r="X204" s="1091">
        <f t="shared" si="260"/>
        <v>0</v>
      </c>
      <c r="Y204" s="1091">
        <f t="shared" si="261"/>
        <v>2518700</v>
      </c>
      <c r="Z204" s="1091">
        <f t="shared" si="262"/>
        <v>0</v>
      </c>
      <c r="AA204" s="1091">
        <f t="shared" si="263"/>
        <v>2518700</v>
      </c>
      <c r="AB204" s="1091">
        <f t="shared" si="264"/>
        <v>0</v>
      </c>
      <c r="AD204" s="650">
        <f t="shared" si="265"/>
        <v>0</v>
      </c>
      <c r="AI204" s="1277">
        <f>VLOOKUP(K204,'[2]ผลการเบิกจ่ายสะสม พ.ย. 66'!$C:$N,12,0)</f>
        <v>0</v>
      </c>
      <c r="AJ204" s="1274">
        <f t="shared" si="189"/>
        <v>0</v>
      </c>
    </row>
    <row r="205" spans="1:36" s="5" customFormat="1" ht="21" customHeight="1" outlineLevel="1" x14ac:dyDescent="0.2">
      <c r="A205" s="33"/>
      <c r="B205" s="34" t="s">
        <v>82</v>
      </c>
      <c r="C205" s="273"/>
      <c r="D205" s="1118">
        <f>SUM(D206:D208)</f>
        <v>1382000</v>
      </c>
      <c r="E205" s="1119">
        <f>SUM(E206:E208)</f>
        <v>1665070</v>
      </c>
      <c r="F205" s="1119"/>
      <c r="G205" s="1119"/>
      <c r="H205" s="1119">
        <f>SUM(H206:H208)</f>
        <v>2020400</v>
      </c>
      <c r="I205" s="1106">
        <v>2688500</v>
      </c>
      <c r="J205" s="1106">
        <f>SUM(J206:J208)</f>
        <v>1665000</v>
      </c>
      <c r="K205" s="1040" t="s">
        <v>1371</v>
      </c>
      <c r="L205" s="1065" t="s">
        <v>1428</v>
      </c>
      <c r="M205" s="1105">
        <f t="shared" ref="M205:U205" si="266">SUM(M206:M208)</f>
        <v>1249000</v>
      </c>
      <c r="N205" s="1105">
        <f>SUM(N206:N208)</f>
        <v>1665000</v>
      </c>
      <c r="O205" s="1105">
        <f t="shared" si="266"/>
        <v>0</v>
      </c>
      <c r="P205" s="1105">
        <f t="shared" si="266"/>
        <v>0</v>
      </c>
      <c r="Q205" s="1105">
        <f t="shared" si="266"/>
        <v>0</v>
      </c>
      <c r="R205" s="1105">
        <f t="shared" si="266"/>
        <v>0</v>
      </c>
      <c r="S205" s="1105">
        <f t="shared" si="266"/>
        <v>139600</v>
      </c>
      <c r="T205" s="1105">
        <f t="shared" si="266"/>
        <v>139600</v>
      </c>
      <c r="U205" s="1105">
        <f t="shared" si="266"/>
        <v>1525400</v>
      </c>
      <c r="V205" s="1105">
        <f t="shared" si="188"/>
        <v>8.3843843843843846</v>
      </c>
      <c r="W205" s="1105">
        <f t="shared" ref="W205:AB205" si="267">SUM(W206:W208)</f>
        <v>0</v>
      </c>
      <c r="X205" s="1105">
        <f t="shared" si="267"/>
        <v>139600</v>
      </c>
      <c r="Y205" s="1105">
        <f t="shared" si="267"/>
        <v>1525400</v>
      </c>
      <c r="Z205" s="1105">
        <f t="shared" si="267"/>
        <v>139600</v>
      </c>
      <c r="AA205" s="1105">
        <f t="shared" si="267"/>
        <v>1525400</v>
      </c>
      <c r="AB205" s="1105">
        <f t="shared" si="267"/>
        <v>32.407607964720789</v>
      </c>
      <c r="AD205" s="650">
        <f t="shared" si="265"/>
        <v>0</v>
      </c>
      <c r="AI205" s="1277">
        <f>VLOOKUP(K205,'[2]ผลการเบิกจ่ายสะสม พ.ย. 66'!$C:$N,12,0)</f>
        <v>483919928.55000001</v>
      </c>
      <c r="AJ205" s="1274">
        <f t="shared" si="189"/>
        <v>483780328.55000001</v>
      </c>
    </row>
    <row r="206" spans="1:36" s="5" customFormat="1" ht="21" customHeight="1" outlineLevel="1" x14ac:dyDescent="0.2">
      <c r="A206" s="33"/>
      <c r="B206" s="57"/>
      <c r="C206" s="27" t="s">
        <v>52</v>
      </c>
      <c r="D206" s="1111">
        <v>20000</v>
      </c>
      <c r="E206" s="1109">
        <v>0</v>
      </c>
      <c r="F206" s="1109"/>
      <c r="G206" s="1109"/>
      <c r="H206" s="1109">
        <v>20000</v>
      </c>
      <c r="I206" s="1110">
        <v>30000</v>
      </c>
      <c r="J206" s="1110">
        <v>16500</v>
      </c>
      <c r="K206" s="1033"/>
      <c r="L206" s="1033"/>
      <c r="M206" s="1160">
        <v>12500</v>
      </c>
      <c r="N206" s="1160">
        <v>16500</v>
      </c>
      <c r="O206" s="1160"/>
      <c r="P206" s="1160"/>
      <c r="Q206" s="1160"/>
      <c r="R206" s="1160"/>
      <c r="S206" s="1289">
        <v>3600</v>
      </c>
      <c r="T206" s="1091">
        <f t="shared" ref="T206:T208" si="268">+R206+S206</f>
        <v>3600</v>
      </c>
      <c r="U206" s="1091">
        <f t="shared" ref="U206:U208" si="269">+N206+O206-T206</f>
        <v>12900</v>
      </c>
      <c r="V206" s="1091">
        <f t="shared" si="188"/>
        <v>21.818181818181817</v>
      </c>
      <c r="W206" s="1091"/>
      <c r="X206" s="1091">
        <f t="shared" ref="X206:X208" si="270">+T206+Q206</f>
        <v>3600</v>
      </c>
      <c r="Y206" s="1091">
        <f t="shared" ref="Y206:Y208" si="271">+U206-Q206</f>
        <v>12900</v>
      </c>
      <c r="Z206" s="1091">
        <f t="shared" ref="Z206:Z208" si="272">+T206+Q206+P206</f>
        <v>3600</v>
      </c>
      <c r="AA206" s="1091">
        <f t="shared" ref="AA206:AA208" si="273">+U206-Q206-P206</f>
        <v>12900</v>
      </c>
      <c r="AB206" s="1091">
        <f t="shared" ref="AB206:AB208" si="274">IFERROR(Z206*100/(N206+O206),0)</f>
        <v>21.818181818181817</v>
      </c>
      <c r="AD206" s="650">
        <f t="shared" si="265"/>
        <v>0</v>
      </c>
      <c r="AI206" s="1277">
        <f>VLOOKUP(K206,'[2]ผลการเบิกจ่ายสะสม พ.ย. 66'!$C:$N,12,0)</f>
        <v>0</v>
      </c>
      <c r="AJ206" s="1274">
        <f t="shared" si="189"/>
        <v>-3600</v>
      </c>
    </row>
    <row r="207" spans="1:36" s="5" customFormat="1" ht="21" customHeight="1" outlineLevel="1" x14ac:dyDescent="0.2">
      <c r="A207" s="33"/>
      <c r="B207" s="57"/>
      <c r="C207" s="27" t="s">
        <v>50</v>
      </c>
      <c r="D207" s="1111">
        <v>441900</v>
      </c>
      <c r="E207" s="1109">
        <v>474000</v>
      </c>
      <c r="F207" s="1109"/>
      <c r="G207" s="1109"/>
      <c r="H207" s="1109">
        <v>441900</v>
      </c>
      <c r="I207" s="1110">
        <v>1100000</v>
      </c>
      <c r="J207" s="1110">
        <v>364200</v>
      </c>
      <c r="K207" s="1033"/>
      <c r="L207" s="1033"/>
      <c r="M207" s="1160">
        <v>273200</v>
      </c>
      <c r="N207" s="1160">
        <v>364200</v>
      </c>
      <c r="O207" s="1160"/>
      <c r="P207" s="1160"/>
      <c r="Q207" s="1160"/>
      <c r="R207" s="1160"/>
      <c r="S207" s="1160"/>
      <c r="T207" s="1091">
        <f t="shared" si="268"/>
        <v>0</v>
      </c>
      <c r="U207" s="1091">
        <f t="shared" si="269"/>
        <v>364200</v>
      </c>
      <c r="V207" s="1091">
        <f t="shared" ref="V207:V270" si="275">IFERROR(T207*100/(N207+O207),0)</f>
        <v>0</v>
      </c>
      <c r="W207" s="1091"/>
      <c r="X207" s="1091">
        <f t="shared" si="270"/>
        <v>0</v>
      </c>
      <c r="Y207" s="1091">
        <f t="shared" si="271"/>
        <v>364200</v>
      </c>
      <c r="Z207" s="1091">
        <f t="shared" si="272"/>
        <v>0</v>
      </c>
      <c r="AA207" s="1091">
        <f t="shared" si="273"/>
        <v>364200</v>
      </c>
      <c r="AB207" s="1091">
        <f t="shared" si="274"/>
        <v>0</v>
      </c>
      <c r="AD207" s="650">
        <f t="shared" si="265"/>
        <v>0</v>
      </c>
      <c r="AI207" s="1277">
        <f>VLOOKUP(K207,'[2]ผลการเบิกจ่ายสะสม พ.ย. 66'!$C:$N,12,0)</f>
        <v>0</v>
      </c>
      <c r="AJ207" s="1274">
        <f t="shared" ref="AJ207:AJ270" si="276">+AI207-S207</f>
        <v>0</v>
      </c>
    </row>
    <row r="208" spans="1:36" s="112" customFormat="1" ht="21" customHeight="1" outlineLevel="1" x14ac:dyDescent="0.2">
      <c r="A208" s="33"/>
      <c r="B208" s="57"/>
      <c r="C208" s="27" t="s">
        <v>81</v>
      </c>
      <c r="D208" s="1111">
        <f>700300+219800</f>
        <v>920100</v>
      </c>
      <c r="E208" s="1109">
        <v>1191070</v>
      </c>
      <c r="F208" s="1109"/>
      <c r="G208" s="1109"/>
      <c r="H208" s="1109">
        <v>1558500</v>
      </c>
      <c r="I208" s="1110">
        <v>1558500</v>
      </c>
      <c r="J208" s="1110">
        <v>1284300</v>
      </c>
      <c r="K208" s="1033"/>
      <c r="L208" s="1033"/>
      <c r="M208" s="1160">
        <v>963300</v>
      </c>
      <c r="N208" s="1160">
        <v>1284300</v>
      </c>
      <c r="O208" s="1160"/>
      <c r="P208" s="1160"/>
      <c r="Q208" s="1160"/>
      <c r="R208" s="1160"/>
      <c r="S208" s="1289">
        <v>136000</v>
      </c>
      <c r="T208" s="1091">
        <f t="shared" si="268"/>
        <v>136000</v>
      </c>
      <c r="U208" s="1091">
        <f t="shared" si="269"/>
        <v>1148300</v>
      </c>
      <c r="V208" s="1091">
        <f t="shared" si="275"/>
        <v>10.589426146538971</v>
      </c>
      <c r="W208" s="1091"/>
      <c r="X208" s="1091">
        <f t="shared" si="270"/>
        <v>136000</v>
      </c>
      <c r="Y208" s="1091">
        <f t="shared" si="271"/>
        <v>1148300</v>
      </c>
      <c r="Z208" s="1091">
        <f t="shared" si="272"/>
        <v>136000</v>
      </c>
      <c r="AA208" s="1091">
        <f t="shared" si="273"/>
        <v>1148300</v>
      </c>
      <c r="AB208" s="1091">
        <f t="shared" si="274"/>
        <v>10.589426146538971</v>
      </c>
      <c r="AD208" s="650">
        <f t="shared" si="265"/>
        <v>0</v>
      </c>
      <c r="AI208" s="1277">
        <f>VLOOKUP(K208,'[2]ผลการเบิกจ่ายสะสม พ.ย. 66'!$C:$N,12,0)</f>
        <v>0</v>
      </c>
      <c r="AJ208" s="1274">
        <f t="shared" si="276"/>
        <v>-136000</v>
      </c>
    </row>
    <row r="209" spans="1:36" s="112" customFormat="1" ht="21" customHeight="1" outlineLevel="1" x14ac:dyDescent="0.2">
      <c r="A209" s="33"/>
      <c r="B209" s="34" t="s">
        <v>83</v>
      </c>
      <c r="C209" s="34"/>
      <c r="D209" s="1118">
        <f>SUM(D210:D215)</f>
        <v>650000</v>
      </c>
      <c r="E209" s="1119">
        <f>SUM(E210:E215)</f>
        <v>577900</v>
      </c>
      <c r="F209" s="1119"/>
      <c r="G209" s="1119"/>
      <c r="H209" s="1119">
        <f>SUM(H210:H215)</f>
        <v>650000</v>
      </c>
      <c r="I209" s="1106">
        <v>2573800</v>
      </c>
      <c r="J209" s="1106">
        <f>SUM(J210:J215)</f>
        <v>577900</v>
      </c>
      <c r="K209" s="1040" t="s">
        <v>1371</v>
      </c>
      <c r="L209" s="1065" t="s">
        <v>1428</v>
      </c>
      <c r="M209" s="1105">
        <f t="shared" ref="M209:U209" si="277">SUM(M210:M215)</f>
        <v>433800</v>
      </c>
      <c r="N209" s="1105">
        <f>SUM(N210:N215)</f>
        <v>577900</v>
      </c>
      <c r="O209" s="1105">
        <f t="shared" si="277"/>
        <v>0</v>
      </c>
      <c r="P209" s="1105">
        <f t="shared" si="277"/>
        <v>0</v>
      </c>
      <c r="Q209" s="1105">
        <f t="shared" si="277"/>
        <v>0</v>
      </c>
      <c r="R209" s="1105">
        <f t="shared" si="277"/>
        <v>0</v>
      </c>
      <c r="S209" s="1105">
        <f t="shared" si="277"/>
        <v>44100</v>
      </c>
      <c r="T209" s="1105">
        <f t="shared" si="277"/>
        <v>44100</v>
      </c>
      <c r="U209" s="1105">
        <f t="shared" si="277"/>
        <v>533800</v>
      </c>
      <c r="V209" s="1105">
        <f t="shared" si="275"/>
        <v>7.6310780411835957</v>
      </c>
      <c r="W209" s="1105">
        <f t="shared" ref="W209:AB209" si="278">SUM(W210:W215)</f>
        <v>0</v>
      </c>
      <c r="X209" s="1105">
        <f t="shared" si="278"/>
        <v>44100</v>
      </c>
      <c r="Y209" s="1105">
        <f t="shared" si="278"/>
        <v>533800</v>
      </c>
      <c r="Z209" s="1105">
        <f t="shared" si="278"/>
        <v>44100</v>
      </c>
      <c r="AA209" s="1105">
        <f t="shared" si="278"/>
        <v>533800</v>
      </c>
      <c r="AB209" s="1105">
        <f t="shared" si="278"/>
        <v>16.32728619029989</v>
      </c>
      <c r="AD209" s="650">
        <f t="shared" si="265"/>
        <v>0</v>
      </c>
      <c r="AI209" s="1277">
        <f>VLOOKUP(K209,'[2]ผลการเบิกจ่ายสะสม พ.ย. 66'!$C:$N,12,0)</f>
        <v>483919928.55000001</v>
      </c>
      <c r="AJ209" s="1274">
        <f t="shared" si="276"/>
        <v>483875828.55000001</v>
      </c>
    </row>
    <row r="210" spans="1:36" s="112" customFormat="1" ht="21" customHeight="1" outlineLevel="1" x14ac:dyDescent="0.2">
      <c r="A210" s="33"/>
      <c r="B210" s="57"/>
      <c r="C210" s="27" t="s">
        <v>49</v>
      </c>
      <c r="D210" s="1111">
        <v>20000</v>
      </c>
      <c r="E210" s="1109">
        <v>0</v>
      </c>
      <c r="F210" s="1109"/>
      <c r="G210" s="1109"/>
      <c r="H210" s="1109">
        <v>20000</v>
      </c>
      <c r="I210" s="1110">
        <v>20000</v>
      </c>
      <c r="J210" s="1110">
        <v>18000</v>
      </c>
      <c r="K210" s="1033"/>
      <c r="L210" s="1033"/>
      <c r="M210" s="1160">
        <v>13600</v>
      </c>
      <c r="N210" s="1160">
        <v>18000</v>
      </c>
      <c r="O210" s="1160"/>
      <c r="P210" s="1160"/>
      <c r="Q210" s="1160"/>
      <c r="R210" s="1160"/>
      <c r="S210" s="1160"/>
      <c r="T210" s="1091">
        <f t="shared" ref="T210:T215" si="279">+R210+S210</f>
        <v>0</v>
      </c>
      <c r="U210" s="1091">
        <f t="shared" ref="U210:U215" si="280">+N210+O210-T210</f>
        <v>18000</v>
      </c>
      <c r="V210" s="1091">
        <f t="shared" si="275"/>
        <v>0</v>
      </c>
      <c r="W210" s="1091"/>
      <c r="X210" s="1091">
        <f t="shared" ref="X210:X215" si="281">+T210+Q210</f>
        <v>0</v>
      </c>
      <c r="Y210" s="1091">
        <f t="shared" ref="Y210:Y215" si="282">+U210-Q210</f>
        <v>18000</v>
      </c>
      <c r="Z210" s="1091">
        <f t="shared" ref="Z210:Z215" si="283">+T210+Q210+P210</f>
        <v>0</v>
      </c>
      <c r="AA210" s="1091">
        <f t="shared" ref="AA210:AA215" si="284">+U210-Q210-P210</f>
        <v>18000</v>
      </c>
      <c r="AB210" s="1091">
        <f t="shared" ref="AB210:AB215" si="285">IFERROR(Z210*100/(N210+O210),0)</f>
        <v>0</v>
      </c>
      <c r="AD210" s="650">
        <f t="shared" si="265"/>
        <v>0</v>
      </c>
      <c r="AI210" s="1277">
        <f>VLOOKUP(K210,'[2]ผลการเบิกจ่ายสะสม พ.ย. 66'!$C:$N,12,0)</f>
        <v>0</v>
      </c>
      <c r="AJ210" s="1274">
        <f t="shared" si="276"/>
        <v>0</v>
      </c>
    </row>
    <row r="211" spans="1:36" s="112" customFormat="1" ht="21" customHeight="1" outlineLevel="1" x14ac:dyDescent="0.2">
      <c r="A211" s="33"/>
      <c r="B211" s="57"/>
      <c r="C211" s="897" t="s">
        <v>54</v>
      </c>
      <c r="D211" s="1111">
        <v>6000</v>
      </c>
      <c r="E211" s="1109">
        <v>0</v>
      </c>
      <c r="F211" s="1109"/>
      <c r="G211" s="1109"/>
      <c r="H211" s="1109">
        <v>6000</v>
      </c>
      <c r="I211" s="1110"/>
      <c r="J211" s="1110"/>
      <c r="K211" s="1033"/>
      <c r="L211" s="1033"/>
      <c r="M211" s="1160">
        <v>0</v>
      </c>
      <c r="N211" s="1160"/>
      <c r="O211" s="1160"/>
      <c r="P211" s="1160"/>
      <c r="Q211" s="1160"/>
      <c r="R211" s="1160"/>
      <c r="S211" s="1160"/>
      <c r="T211" s="1091">
        <f t="shared" si="279"/>
        <v>0</v>
      </c>
      <c r="U211" s="1091">
        <f t="shared" si="280"/>
        <v>0</v>
      </c>
      <c r="V211" s="1091">
        <f t="shared" si="275"/>
        <v>0</v>
      </c>
      <c r="W211" s="1091"/>
      <c r="X211" s="1091">
        <f t="shared" si="281"/>
        <v>0</v>
      </c>
      <c r="Y211" s="1091">
        <f t="shared" si="282"/>
        <v>0</v>
      </c>
      <c r="Z211" s="1091">
        <f t="shared" si="283"/>
        <v>0</v>
      </c>
      <c r="AA211" s="1091">
        <f t="shared" si="284"/>
        <v>0</v>
      </c>
      <c r="AB211" s="1091">
        <f t="shared" si="285"/>
        <v>0</v>
      </c>
      <c r="AD211" s="650">
        <f t="shared" si="265"/>
        <v>0</v>
      </c>
      <c r="AI211" s="1277">
        <f>VLOOKUP(K211,'[2]ผลการเบิกจ่ายสะสม พ.ย. 66'!$C:$N,12,0)</f>
        <v>0</v>
      </c>
      <c r="AJ211" s="1274">
        <f t="shared" si="276"/>
        <v>0</v>
      </c>
    </row>
    <row r="212" spans="1:36" s="5" customFormat="1" ht="21" customHeight="1" outlineLevel="1" x14ac:dyDescent="0.2">
      <c r="A212" s="33"/>
      <c r="B212" s="57"/>
      <c r="C212" s="27" t="s">
        <v>80</v>
      </c>
      <c r="D212" s="1111">
        <v>50000</v>
      </c>
      <c r="E212" s="1109">
        <v>0</v>
      </c>
      <c r="F212" s="1109"/>
      <c r="G212" s="1109"/>
      <c r="H212" s="1109">
        <v>50000</v>
      </c>
      <c r="I212" s="1110">
        <v>50000</v>
      </c>
      <c r="J212" s="1110">
        <v>45000</v>
      </c>
      <c r="K212" s="1033"/>
      <c r="L212" s="1033"/>
      <c r="M212" s="1160">
        <v>33800</v>
      </c>
      <c r="N212" s="1160">
        <v>45000</v>
      </c>
      <c r="O212" s="1160"/>
      <c r="P212" s="1160"/>
      <c r="Q212" s="1160"/>
      <c r="R212" s="1160"/>
      <c r="S212" s="1160"/>
      <c r="T212" s="1091">
        <f t="shared" si="279"/>
        <v>0</v>
      </c>
      <c r="U212" s="1091">
        <f t="shared" si="280"/>
        <v>45000</v>
      </c>
      <c r="V212" s="1091">
        <f t="shared" si="275"/>
        <v>0</v>
      </c>
      <c r="W212" s="1091"/>
      <c r="X212" s="1091">
        <f t="shared" si="281"/>
        <v>0</v>
      </c>
      <c r="Y212" s="1091">
        <f t="shared" si="282"/>
        <v>45000</v>
      </c>
      <c r="Z212" s="1091">
        <f t="shared" si="283"/>
        <v>0</v>
      </c>
      <c r="AA212" s="1091">
        <f t="shared" si="284"/>
        <v>45000</v>
      </c>
      <c r="AB212" s="1091">
        <f t="shared" si="285"/>
        <v>0</v>
      </c>
      <c r="AD212" s="650">
        <f t="shared" si="265"/>
        <v>0</v>
      </c>
      <c r="AI212" s="1277">
        <f>VLOOKUP(K212,'[2]ผลการเบิกจ่ายสะสม พ.ย. 66'!$C:$N,12,0)</f>
        <v>0</v>
      </c>
      <c r="AJ212" s="1274">
        <f t="shared" si="276"/>
        <v>0</v>
      </c>
    </row>
    <row r="213" spans="1:36" s="5" customFormat="1" ht="21" customHeight="1" outlineLevel="1" x14ac:dyDescent="0.2">
      <c r="A213" s="33"/>
      <c r="B213" s="57"/>
      <c r="C213" s="27" t="s">
        <v>62</v>
      </c>
      <c r="D213" s="1111">
        <v>172800</v>
      </c>
      <c r="E213" s="1109">
        <v>22800</v>
      </c>
      <c r="F213" s="1109"/>
      <c r="G213" s="1109"/>
      <c r="H213" s="1109">
        <v>172800</v>
      </c>
      <c r="I213" s="1110">
        <v>220000</v>
      </c>
      <c r="J213" s="1110">
        <v>155100</v>
      </c>
      <c r="K213" s="1033"/>
      <c r="L213" s="1033"/>
      <c r="M213" s="1160">
        <v>116400</v>
      </c>
      <c r="N213" s="1160">
        <v>155100</v>
      </c>
      <c r="O213" s="1160"/>
      <c r="P213" s="1160"/>
      <c r="Q213" s="1160"/>
      <c r="R213" s="1160"/>
      <c r="S213" s="1160"/>
      <c r="T213" s="1091">
        <f t="shared" si="279"/>
        <v>0</v>
      </c>
      <c r="U213" s="1091">
        <f t="shared" si="280"/>
        <v>155100</v>
      </c>
      <c r="V213" s="1091">
        <f t="shared" si="275"/>
        <v>0</v>
      </c>
      <c r="W213" s="1091"/>
      <c r="X213" s="1091">
        <f t="shared" si="281"/>
        <v>0</v>
      </c>
      <c r="Y213" s="1091">
        <f t="shared" si="282"/>
        <v>155100</v>
      </c>
      <c r="Z213" s="1091">
        <f t="shared" si="283"/>
        <v>0</v>
      </c>
      <c r="AA213" s="1091">
        <f t="shared" si="284"/>
        <v>155100</v>
      </c>
      <c r="AB213" s="1091">
        <f t="shared" si="285"/>
        <v>0</v>
      </c>
      <c r="AD213" s="650">
        <f t="shared" si="265"/>
        <v>0</v>
      </c>
      <c r="AI213" s="1277">
        <f>VLOOKUP(K213,'[2]ผลการเบิกจ่ายสะสม พ.ย. 66'!$C:$N,12,0)</f>
        <v>0</v>
      </c>
      <c r="AJ213" s="1274">
        <f t="shared" si="276"/>
        <v>0</v>
      </c>
    </row>
    <row r="214" spans="1:36" s="5" customFormat="1" ht="21" customHeight="1" outlineLevel="1" x14ac:dyDescent="0.2">
      <c r="A214" s="33"/>
      <c r="B214" s="57"/>
      <c r="C214" s="27" t="s">
        <v>42</v>
      </c>
      <c r="D214" s="1111">
        <v>100000</v>
      </c>
      <c r="E214" s="1109">
        <v>327800</v>
      </c>
      <c r="F214" s="1109"/>
      <c r="G214" s="1109"/>
      <c r="H214" s="1109">
        <v>100000</v>
      </c>
      <c r="I214" s="1110">
        <v>300000</v>
      </c>
      <c r="J214" s="1110">
        <v>89700</v>
      </c>
      <c r="K214" s="1033"/>
      <c r="L214" s="1033"/>
      <c r="M214" s="1160">
        <v>67300</v>
      </c>
      <c r="N214" s="1160">
        <v>89700</v>
      </c>
      <c r="O214" s="1160"/>
      <c r="P214" s="1160"/>
      <c r="Q214" s="1160"/>
      <c r="R214" s="1160"/>
      <c r="S214" s="1160"/>
      <c r="T214" s="1091">
        <f t="shared" si="279"/>
        <v>0</v>
      </c>
      <c r="U214" s="1091">
        <f t="shared" si="280"/>
        <v>89700</v>
      </c>
      <c r="V214" s="1091">
        <f t="shared" si="275"/>
        <v>0</v>
      </c>
      <c r="W214" s="1091"/>
      <c r="X214" s="1091">
        <f t="shared" si="281"/>
        <v>0</v>
      </c>
      <c r="Y214" s="1091">
        <f t="shared" si="282"/>
        <v>89700</v>
      </c>
      <c r="Z214" s="1091">
        <f t="shared" si="283"/>
        <v>0</v>
      </c>
      <c r="AA214" s="1091">
        <f t="shared" si="284"/>
        <v>89700</v>
      </c>
      <c r="AB214" s="1091">
        <f t="shared" si="285"/>
        <v>0</v>
      </c>
      <c r="AD214" s="650">
        <f t="shared" si="265"/>
        <v>0</v>
      </c>
      <c r="AI214" s="1277">
        <f>VLOOKUP(K214,'[2]ผลการเบิกจ่ายสะสม พ.ย. 66'!$C:$N,12,0)</f>
        <v>0</v>
      </c>
      <c r="AJ214" s="1274">
        <f t="shared" si="276"/>
        <v>0</v>
      </c>
    </row>
    <row r="215" spans="1:36" s="5" customFormat="1" ht="21" customHeight="1" outlineLevel="1" x14ac:dyDescent="0.2">
      <c r="A215" s="104"/>
      <c r="B215" s="921"/>
      <c r="C215" s="920" t="s">
        <v>81</v>
      </c>
      <c r="D215" s="1146">
        <v>301200</v>
      </c>
      <c r="E215" s="1147">
        <v>227300</v>
      </c>
      <c r="F215" s="1147"/>
      <c r="G215" s="1147"/>
      <c r="H215" s="1147">
        <v>301200</v>
      </c>
      <c r="I215" s="1152">
        <v>1983800</v>
      </c>
      <c r="J215" s="1152">
        <v>270100</v>
      </c>
      <c r="K215" s="1033"/>
      <c r="L215" s="1033"/>
      <c r="M215" s="1160">
        <v>202700</v>
      </c>
      <c r="N215" s="1160">
        <v>270100</v>
      </c>
      <c r="O215" s="1160"/>
      <c r="P215" s="1160"/>
      <c r="Q215" s="1160"/>
      <c r="R215" s="1160"/>
      <c r="S215" s="1289">
        <v>44100</v>
      </c>
      <c r="T215" s="1091">
        <f t="shared" si="279"/>
        <v>44100</v>
      </c>
      <c r="U215" s="1091">
        <f t="shared" si="280"/>
        <v>226000</v>
      </c>
      <c r="V215" s="1091">
        <f t="shared" si="275"/>
        <v>16.32728619029989</v>
      </c>
      <c r="W215" s="1091"/>
      <c r="X215" s="1091">
        <f t="shared" si="281"/>
        <v>44100</v>
      </c>
      <c r="Y215" s="1091">
        <f t="shared" si="282"/>
        <v>226000</v>
      </c>
      <c r="Z215" s="1091">
        <f t="shared" si="283"/>
        <v>44100</v>
      </c>
      <c r="AA215" s="1091">
        <f t="shared" si="284"/>
        <v>226000</v>
      </c>
      <c r="AB215" s="1091">
        <f t="shared" si="285"/>
        <v>16.32728619029989</v>
      </c>
      <c r="AD215" s="650">
        <f t="shared" si="265"/>
        <v>0</v>
      </c>
      <c r="AI215" s="1277">
        <f>VLOOKUP(K215,'[2]ผลการเบิกจ่ายสะสม พ.ย. 66'!$C:$N,12,0)</f>
        <v>0</v>
      </c>
      <c r="AJ215" s="1274">
        <f t="shared" si="276"/>
        <v>-44100</v>
      </c>
    </row>
    <row r="216" spans="1:36" s="5" customFormat="1" ht="21" customHeight="1" outlineLevel="1" x14ac:dyDescent="0.2">
      <c r="A216" s="33"/>
      <c r="B216" s="34" t="s">
        <v>152</v>
      </c>
      <c r="C216" s="273"/>
      <c r="D216" s="1118">
        <f>SUM(D217:D221)</f>
        <v>700000</v>
      </c>
      <c r="E216" s="1119">
        <f>SUM(E217:E221)</f>
        <v>586700</v>
      </c>
      <c r="F216" s="1119"/>
      <c r="G216" s="1119"/>
      <c r="H216" s="1119">
        <f>SUM(H217:H221)</f>
        <v>700000</v>
      </c>
      <c r="I216" s="1106">
        <v>1147000</v>
      </c>
      <c r="J216" s="1106">
        <f>SUM(J217:J221)</f>
        <v>586700</v>
      </c>
      <c r="K216" s="1040" t="s">
        <v>1371</v>
      </c>
      <c r="L216" s="1065" t="s">
        <v>1428</v>
      </c>
      <c r="M216" s="1105">
        <f t="shared" ref="M216:U216" si="286">SUM(M217:M221)</f>
        <v>440400</v>
      </c>
      <c r="N216" s="1105">
        <f>SUM(N217:N221)</f>
        <v>586700</v>
      </c>
      <c r="O216" s="1105">
        <f t="shared" si="286"/>
        <v>0</v>
      </c>
      <c r="P216" s="1105">
        <f t="shared" si="286"/>
        <v>0</v>
      </c>
      <c r="Q216" s="1105">
        <f t="shared" si="286"/>
        <v>0</v>
      </c>
      <c r="R216" s="1105">
        <f t="shared" si="286"/>
        <v>0</v>
      </c>
      <c r="S216" s="1105">
        <f t="shared" si="286"/>
        <v>0</v>
      </c>
      <c r="T216" s="1105">
        <f t="shared" si="286"/>
        <v>0</v>
      </c>
      <c r="U216" s="1105">
        <f t="shared" si="286"/>
        <v>586700</v>
      </c>
      <c r="V216" s="1105">
        <f t="shared" si="275"/>
        <v>0</v>
      </c>
      <c r="W216" s="1105">
        <f t="shared" ref="W216:AB216" si="287">SUM(W217:W221)</f>
        <v>0</v>
      </c>
      <c r="X216" s="1105">
        <f t="shared" si="287"/>
        <v>0</v>
      </c>
      <c r="Y216" s="1105">
        <f t="shared" si="287"/>
        <v>586700</v>
      </c>
      <c r="Z216" s="1105">
        <f t="shared" si="287"/>
        <v>0</v>
      </c>
      <c r="AA216" s="1105">
        <f t="shared" si="287"/>
        <v>586700</v>
      </c>
      <c r="AB216" s="1105">
        <f t="shared" si="287"/>
        <v>0</v>
      </c>
      <c r="AD216" s="650">
        <f t="shared" si="265"/>
        <v>0</v>
      </c>
      <c r="AI216" s="1277">
        <f>VLOOKUP(K216,'[2]ผลการเบิกจ่ายสะสม พ.ย. 66'!$C:$N,12,0)</f>
        <v>483919928.55000001</v>
      </c>
      <c r="AJ216" s="1274">
        <f t="shared" si="276"/>
        <v>483919928.55000001</v>
      </c>
    </row>
    <row r="217" spans="1:36" s="5" customFormat="1" ht="21" customHeight="1" outlineLevel="1" x14ac:dyDescent="0.2">
      <c r="A217" s="33"/>
      <c r="B217" s="34"/>
      <c r="C217" s="27" t="s">
        <v>49</v>
      </c>
      <c r="D217" s="1118"/>
      <c r="E217" s="1109"/>
      <c r="F217" s="1109"/>
      <c r="G217" s="1109"/>
      <c r="H217" s="1109">
        <v>30000</v>
      </c>
      <c r="I217" s="1110">
        <v>30000</v>
      </c>
      <c r="J217" s="1110">
        <v>25100</v>
      </c>
      <c r="K217" s="1033"/>
      <c r="L217" s="1033"/>
      <c r="M217" s="1160">
        <v>18900</v>
      </c>
      <c r="N217" s="1160">
        <v>25100</v>
      </c>
      <c r="O217" s="1160"/>
      <c r="P217" s="1160"/>
      <c r="Q217" s="1160"/>
      <c r="R217" s="1160"/>
      <c r="S217" s="1160"/>
      <c r="T217" s="1091">
        <f t="shared" ref="T217:T222" si="288">+R217+S217</f>
        <v>0</v>
      </c>
      <c r="U217" s="1091">
        <f t="shared" ref="U217:U222" si="289">+N217+O217-T217</f>
        <v>25100</v>
      </c>
      <c r="V217" s="1091">
        <f t="shared" si="275"/>
        <v>0</v>
      </c>
      <c r="W217" s="1091"/>
      <c r="X217" s="1091">
        <f t="shared" ref="X217:X222" si="290">+T217+Q217</f>
        <v>0</v>
      </c>
      <c r="Y217" s="1091">
        <f t="shared" ref="Y217:Y222" si="291">+U217-Q217</f>
        <v>25100</v>
      </c>
      <c r="Z217" s="1091">
        <f t="shared" ref="Z217:Z222" si="292">+T217+Q217+P217</f>
        <v>0</v>
      </c>
      <c r="AA217" s="1091">
        <f t="shared" ref="AA217:AA222" si="293">+U217-Q217-P217</f>
        <v>25100</v>
      </c>
      <c r="AB217" s="1091">
        <f t="shared" ref="AB217:AB222" si="294">IFERROR(Z217*100/(N217+O217),0)</f>
        <v>0</v>
      </c>
      <c r="AD217" s="650">
        <f t="shared" si="265"/>
        <v>0</v>
      </c>
      <c r="AI217" s="1277">
        <f>VLOOKUP(K217,'[2]ผลการเบิกจ่ายสะสม พ.ย. 66'!$C:$N,12,0)</f>
        <v>0</v>
      </c>
      <c r="AJ217" s="1274">
        <f t="shared" si="276"/>
        <v>0</v>
      </c>
    </row>
    <row r="218" spans="1:36" s="5" customFormat="1" ht="21" customHeight="1" outlineLevel="1" x14ac:dyDescent="0.2">
      <c r="A218" s="33"/>
      <c r="B218" s="34"/>
      <c r="C218" s="27" t="s">
        <v>80</v>
      </c>
      <c r="D218" s="1118"/>
      <c r="E218" s="1109"/>
      <c r="F218" s="1109"/>
      <c r="G218" s="1109"/>
      <c r="H218" s="1109">
        <v>30000</v>
      </c>
      <c r="I218" s="1110">
        <v>30000</v>
      </c>
      <c r="J218" s="1110">
        <v>25100</v>
      </c>
      <c r="K218" s="1033"/>
      <c r="L218" s="1033"/>
      <c r="M218" s="1160">
        <v>18900</v>
      </c>
      <c r="N218" s="1160">
        <v>25100</v>
      </c>
      <c r="O218" s="1160"/>
      <c r="P218" s="1160"/>
      <c r="Q218" s="1160"/>
      <c r="R218" s="1160"/>
      <c r="S218" s="1160"/>
      <c r="T218" s="1091">
        <f t="shared" si="288"/>
        <v>0</v>
      </c>
      <c r="U218" s="1091">
        <f t="shared" si="289"/>
        <v>25100</v>
      </c>
      <c r="V218" s="1091">
        <f t="shared" si="275"/>
        <v>0</v>
      </c>
      <c r="W218" s="1091"/>
      <c r="X218" s="1091">
        <f t="shared" si="290"/>
        <v>0</v>
      </c>
      <c r="Y218" s="1091">
        <f t="shared" si="291"/>
        <v>25100</v>
      </c>
      <c r="Z218" s="1091">
        <f t="shared" si="292"/>
        <v>0</v>
      </c>
      <c r="AA218" s="1091">
        <f t="shared" si="293"/>
        <v>25100</v>
      </c>
      <c r="AB218" s="1091">
        <f t="shared" si="294"/>
        <v>0</v>
      </c>
      <c r="AD218" s="650">
        <f t="shared" si="265"/>
        <v>0</v>
      </c>
      <c r="AI218" s="1277">
        <f>VLOOKUP(K218,'[2]ผลการเบิกจ่ายสะสม พ.ย. 66'!$C:$N,12,0)</f>
        <v>0</v>
      </c>
      <c r="AJ218" s="1274">
        <f t="shared" si="276"/>
        <v>0</v>
      </c>
    </row>
    <row r="219" spans="1:36" s="5" customFormat="1" ht="21" customHeight="1" outlineLevel="1" x14ac:dyDescent="0.2">
      <c r="A219" s="33"/>
      <c r="B219" s="57"/>
      <c r="C219" s="27" t="s">
        <v>51</v>
      </c>
      <c r="D219" s="1111">
        <v>100000</v>
      </c>
      <c r="E219" s="1109">
        <v>0</v>
      </c>
      <c r="F219" s="1109"/>
      <c r="G219" s="1109"/>
      <c r="H219" s="1109">
        <v>30000</v>
      </c>
      <c r="I219" s="1110">
        <v>100000</v>
      </c>
      <c r="J219" s="1110">
        <v>25100</v>
      </c>
      <c r="K219" s="1033"/>
      <c r="L219" s="1033"/>
      <c r="M219" s="1160">
        <v>18900</v>
      </c>
      <c r="N219" s="1160">
        <v>25100</v>
      </c>
      <c r="O219" s="1160"/>
      <c r="P219" s="1160"/>
      <c r="Q219" s="1160"/>
      <c r="R219" s="1160"/>
      <c r="S219" s="1160"/>
      <c r="T219" s="1091">
        <f t="shared" si="288"/>
        <v>0</v>
      </c>
      <c r="U219" s="1091">
        <f t="shared" si="289"/>
        <v>25100</v>
      </c>
      <c r="V219" s="1091">
        <f t="shared" si="275"/>
        <v>0</v>
      </c>
      <c r="W219" s="1091"/>
      <c r="X219" s="1091">
        <f t="shared" si="290"/>
        <v>0</v>
      </c>
      <c r="Y219" s="1091">
        <f t="shared" si="291"/>
        <v>25100</v>
      </c>
      <c r="Z219" s="1091">
        <f t="shared" si="292"/>
        <v>0</v>
      </c>
      <c r="AA219" s="1091">
        <f t="shared" si="293"/>
        <v>25100</v>
      </c>
      <c r="AB219" s="1091">
        <f t="shared" si="294"/>
        <v>0</v>
      </c>
      <c r="AD219" s="650">
        <f t="shared" si="265"/>
        <v>0</v>
      </c>
      <c r="AI219" s="1277">
        <f>VLOOKUP(K219,'[2]ผลการเบิกจ่ายสะสม พ.ย. 66'!$C:$N,12,0)</f>
        <v>0</v>
      </c>
      <c r="AJ219" s="1274">
        <f t="shared" si="276"/>
        <v>0</v>
      </c>
    </row>
    <row r="220" spans="1:36" s="5" customFormat="1" ht="21" customHeight="1" outlineLevel="1" x14ac:dyDescent="0.2">
      <c r="A220" s="33"/>
      <c r="B220" s="57"/>
      <c r="C220" s="27" t="s">
        <v>50</v>
      </c>
      <c r="D220" s="1111"/>
      <c r="E220" s="1109"/>
      <c r="F220" s="1109"/>
      <c r="G220" s="1109"/>
      <c r="H220" s="1109">
        <v>30000</v>
      </c>
      <c r="I220" s="1110">
        <v>400000</v>
      </c>
      <c r="J220" s="1110">
        <v>25100</v>
      </c>
      <c r="K220" s="1033"/>
      <c r="L220" s="1033"/>
      <c r="M220" s="1160">
        <v>18900</v>
      </c>
      <c r="N220" s="1160">
        <v>25100</v>
      </c>
      <c r="O220" s="1160"/>
      <c r="P220" s="1160"/>
      <c r="Q220" s="1160"/>
      <c r="R220" s="1160"/>
      <c r="S220" s="1160"/>
      <c r="T220" s="1091">
        <f t="shared" si="288"/>
        <v>0</v>
      </c>
      <c r="U220" s="1091">
        <f t="shared" si="289"/>
        <v>25100</v>
      </c>
      <c r="V220" s="1091">
        <f t="shared" si="275"/>
        <v>0</v>
      </c>
      <c r="W220" s="1091"/>
      <c r="X220" s="1091">
        <f t="shared" si="290"/>
        <v>0</v>
      </c>
      <c r="Y220" s="1091">
        <f t="shared" si="291"/>
        <v>25100</v>
      </c>
      <c r="Z220" s="1091">
        <f t="shared" si="292"/>
        <v>0</v>
      </c>
      <c r="AA220" s="1091">
        <f t="shared" si="293"/>
        <v>25100</v>
      </c>
      <c r="AB220" s="1091">
        <f t="shared" si="294"/>
        <v>0</v>
      </c>
      <c r="AD220" s="650">
        <f t="shared" si="265"/>
        <v>0</v>
      </c>
      <c r="AI220" s="1277">
        <f>VLOOKUP(K220,'[2]ผลการเบิกจ่ายสะสม พ.ย. 66'!$C:$N,12,0)</f>
        <v>0</v>
      </c>
      <c r="AJ220" s="1274">
        <f t="shared" si="276"/>
        <v>0</v>
      </c>
    </row>
    <row r="221" spans="1:36" s="112" customFormat="1" ht="21" customHeight="1" outlineLevel="1" x14ac:dyDescent="0.2">
      <c r="A221" s="33"/>
      <c r="B221" s="57"/>
      <c r="C221" s="27" t="s">
        <v>81</v>
      </c>
      <c r="D221" s="1111">
        <v>600000</v>
      </c>
      <c r="E221" s="1109">
        <v>586700</v>
      </c>
      <c r="F221" s="1109"/>
      <c r="G221" s="1109"/>
      <c r="H221" s="1109">
        <v>580000</v>
      </c>
      <c r="I221" s="1110">
        <v>587000</v>
      </c>
      <c r="J221" s="1110">
        <v>486300</v>
      </c>
      <c r="K221" s="1033"/>
      <c r="L221" s="1033"/>
      <c r="M221" s="1160">
        <v>364800</v>
      </c>
      <c r="N221" s="1160">
        <v>486300</v>
      </c>
      <c r="O221" s="1160"/>
      <c r="P221" s="1160"/>
      <c r="Q221" s="1160"/>
      <c r="R221" s="1160"/>
      <c r="S221" s="1160"/>
      <c r="T221" s="1091">
        <f t="shared" si="288"/>
        <v>0</v>
      </c>
      <c r="U221" s="1091">
        <f t="shared" si="289"/>
        <v>486300</v>
      </c>
      <c r="V221" s="1091">
        <f t="shared" si="275"/>
        <v>0</v>
      </c>
      <c r="W221" s="1091"/>
      <c r="X221" s="1091">
        <f t="shared" si="290"/>
        <v>0</v>
      </c>
      <c r="Y221" s="1091">
        <f t="shared" si="291"/>
        <v>486300</v>
      </c>
      <c r="Z221" s="1091">
        <f t="shared" si="292"/>
        <v>0</v>
      </c>
      <c r="AA221" s="1091">
        <f t="shared" si="293"/>
        <v>486300</v>
      </c>
      <c r="AB221" s="1091">
        <f t="shared" si="294"/>
        <v>0</v>
      </c>
      <c r="AD221" s="650">
        <f t="shared" si="265"/>
        <v>0</v>
      </c>
      <c r="AI221" s="1277">
        <f>VLOOKUP(K221,'[2]ผลการเบิกจ่ายสะสม พ.ย. 66'!$C:$N,12,0)</f>
        <v>0</v>
      </c>
      <c r="AJ221" s="1274">
        <f t="shared" si="276"/>
        <v>0</v>
      </c>
    </row>
    <row r="222" spans="1:36" s="4" customFormat="1" ht="24.95" customHeight="1" outlineLevel="1" x14ac:dyDescent="0.2">
      <c r="A222" s="33"/>
      <c r="B222" s="34" t="s">
        <v>334</v>
      </c>
      <c r="C222" s="273"/>
      <c r="D222" s="1118">
        <v>3050400</v>
      </c>
      <c r="E222" s="1119">
        <v>953685.71</v>
      </c>
      <c r="F222" s="1119"/>
      <c r="G222" s="1119"/>
      <c r="H222" s="1119">
        <v>3050400</v>
      </c>
      <c r="I222" s="1106">
        <v>955000</v>
      </c>
      <c r="J222" s="1106">
        <v>686400</v>
      </c>
      <c r="K222" s="1040" t="s">
        <v>1371</v>
      </c>
      <c r="L222" s="1065" t="s">
        <v>1428</v>
      </c>
      <c r="M222" s="1105">
        <v>514800</v>
      </c>
      <c r="N222" s="1105">
        <v>686400</v>
      </c>
      <c r="O222" s="1105"/>
      <c r="P222" s="1105"/>
      <c r="Q222" s="1105"/>
      <c r="R222" s="1105"/>
      <c r="S222" s="1291">
        <v>63600</v>
      </c>
      <c r="T222" s="1091">
        <f t="shared" si="288"/>
        <v>63600</v>
      </c>
      <c r="U222" s="1091">
        <f t="shared" si="289"/>
        <v>622800</v>
      </c>
      <c r="V222" s="1091">
        <f t="shared" si="275"/>
        <v>9.265734265734265</v>
      </c>
      <c r="W222" s="1091"/>
      <c r="X222" s="1091">
        <f t="shared" si="290"/>
        <v>63600</v>
      </c>
      <c r="Y222" s="1091">
        <f t="shared" si="291"/>
        <v>622800</v>
      </c>
      <c r="Z222" s="1091">
        <f t="shared" si="292"/>
        <v>63600</v>
      </c>
      <c r="AA222" s="1091">
        <f t="shared" si="293"/>
        <v>622800</v>
      </c>
      <c r="AB222" s="1091">
        <f t="shared" si="294"/>
        <v>9.265734265734265</v>
      </c>
      <c r="AD222" s="650">
        <f t="shared" si="265"/>
        <v>0</v>
      </c>
      <c r="AI222" s="1277">
        <f>VLOOKUP(K222,'[2]ผลการเบิกจ่ายสะสม พ.ย. 66'!$C:$N,12,0)</f>
        <v>483919928.55000001</v>
      </c>
      <c r="AJ222" s="1274">
        <f t="shared" si="276"/>
        <v>483856328.55000001</v>
      </c>
    </row>
    <row r="223" spans="1:36" s="5" customFormat="1" ht="23.25" customHeight="1" x14ac:dyDescent="0.2">
      <c r="A223" s="198"/>
      <c r="B223" s="199" t="s">
        <v>84</v>
      </c>
      <c r="C223" s="199"/>
      <c r="D223" s="1153">
        <f>+D224+D238+D244+D258+D272+D287+D294+D308+D309+D310+D311+D313+D314+D327</f>
        <v>411600100</v>
      </c>
      <c r="E223" s="1150">
        <f>+E224+E238+E244+E258+E272+E287+E294+E309+E310+E313+E314+E327</f>
        <v>380624017.45999998</v>
      </c>
      <c r="F223" s="1150"/>
      <c r="G223" s="1150"/>
      <c r="H223" s="1150">
        <f>+H224+H238+H244+H258+H272+H287+H294+H308+H309+H310+H311+H313+H314+H327</f>
        <v>260914700</v>
      </c>
      <c r="I223" s="1151">
        <v>590897100</v>
      </c>
      <c r="J223" s="1151">
        <f>+J224+J238+J244+J258+J272+J287+J294+J308+J309+J310+J311+J313+J314+J327</f>
        <v>358020700</v>
      </c>
      <c r="K223" s="1040" t="s">
        <v>1371</v>
      </c>
      <c r="L223" s="1065" t="s">
        <v>1428</v>
      </c>
      <c r="M223" s="1153">
        <f t="shared" ref="M223:P223" si="295">+M224+M238+M244+M258+M272+M287+M294+M308+M309+M310+M311+M313+M314+M327</f>
        <v>184922100</v>
      </c>
      <c r="N223" s="1153">
        <f>+N224+N238+N244+N258+N272+N287+N294+N308+N309+N310+N311+N313+N314+N327</f>
        <v>358020700</v>
      </c>
      <c r="O223" s="1153">
        <f t="shared" si="295"/>
        <v>805206.24</v>
      </c>
      <c r="P223" s="1153">
        <f t="shared" si="295"/>
        <v>0</v>
      </c>
      <c r="Q223" s="1273">
        <f>75128838.81</f>
        <v>75128838.810000002</v>
      </c>
      <c r="R223" s="1153">
        <f t="shared" ref="R223:U223" si="296">+R224+R238+R244+R258+R272+R287+R294+R308+R309+R310+R311+R313+R314+R327</f>
        <v>0</v>
      </c>
      <c r="S223" s="1272">
        <f>1204820.24+(376841707.19-190623624.11-58736456.59-78792425.75)</f>
        <v>49894020.979999982</v>
      </c>
      <c r="T223" s="1153">
        <f t="shared" si="296"/>
        <v>49894020.979999997</v>
      </c>
      <c r="U223" s="1153">
        <f t="shared" si="296"/>
        <v>308931885.25999999</v>
      </c>
      <c r="V223" s="1153">
        <f t="shared" si="275"/>
        <v>13.904798988127819</v>
      </c>
      <c r="W223" s="1153">
        <f t="shared" ref="W223:AB223" si="297">+W224+W238+W244+W258+W272+W287+W294+W308+W309+W310+W311+W313+W314+W327</f>
        <v>0</v>
      </c>
      <c r="X223" s="1153">
        <f t="shared" si="297"/>
        <v>48046887.68</v>
      </c>
      <c r="Y223" s="1153">
        <f t="shared" si="297"/>
        <v>310779018.56</v>
      </c>
      <c r="Z223" s="1153">
        <f t="shared" si="297"/>
        <v>48046887.68</v>
      </c>
      <c r="AA223" s="1153">
        <f t="shared" si="297"/>
        <v>310779018.56</v>
      </c>
      <c r="AB223" s="1153">
        <f t="shared" si="297"/>
        <v>730.98479996104311</v>
      </c>
      <c r="AC223" s="650">
        <f>+S223-S224-S238-S244-S258-S272-S287-S294-S308-S309-S310-S311-S313-S314-S327</f>
        <v>-1.5133991837501526E-8</v>
      </c>
      <c r="AD223" s="650">
        <f t="shared" si="265"/>
        <v>0</v>
      </c>
      <c r="AI223" s="1277">
        <f>VLOOKUP(K223,'[2]ผลการเบิกจ่ายสะสม พ.ย. 66'!$C:$N,12,0)</f>
        <v>483919928.55000001</v>
      </c>
      <c r="AJ223" s="1274">
        <f t="shared" si="276"/>
        <v>434025907.57000005</v>
      </c>
    </row>
    <row r="224" spans="1:36" s="5" customFormat="1" ht="21" customHeight="1" outlineLevel="1" x14ac:dyDescent="0.2">
      <c r="A224" s="33"/>
      <c r="B224" s="34" t="s">
        <v>85</v>
      </c>
      <c r="C224" s="273"/>
      <c r="D224" s="1118">
        <f>SUM(D225:D237)</f>
        <v>33000000</v>
      </c>
      <c r="E224" s="1119">
        <f>SUM(E225:E237)</f>
        <v>52345789.739999995</v>
      </c>
      <c r="F224" s="1119"/>
      <c r="G224" s="1119"/>
      <c r="H224" s="1119">
        <f>SUM(H225:H237)</f>
        <v>33000000</v>
      </c>
      <c r="I224" s="1106">
        <v>57228600</v>
      </c>
      <c r="J224" s="1106">
        <f>SUM(J225:J237)</f>
        <v>33000000</v>
      </c>
      <c r="K224" s="1040" t="s">
        <v>1371</v>
      </c>
      <c r="L224" s="1065" t="s">
        <v>1428</v>
      </c>
      <c r="M224" s="1105">
        <f t="shared" ref="M224:U224" si="298">SUM(M225:M237)</f>
        <v>16747100</v>
      </c>
      <c r="N224" s="1105">
        <f>SUM(N225:N237)</f>
        <v>33000000</v>
      </c>
      <c r="O224" s="1240">
        <f t="shared" si="298"/>
        <v>-30000</v>
      </c>
      <c r="P224" s="1105">
        <f t="shared" si="298"/>
        <v>0</v>
      </c>
      <c r="Q224" s="1105">
        <f t="shared" si="298"/>
        <v>0</v>
      </c>
      <c r="R224" s="1105">
        <f t="shared" si="298"/>
        <v>0</v>
      </c>
      <c r="S224" s="1105">
        <f t="shared" si="298"/>
        <v>3187027.76</v>
      </c>
      <c r="T224" s="1105">
        <f t="shared" si="298"/>
        <v>3187027.76</v>
      </c>
      <c r="U224" s="1105">
        <f t="shared" si="298"/>
        <v>29782972.240000002</v>
      </c>
      <c r="V224" s="1105">
        <f t="shared" si="275"/>
        <v>9.6664475583864125</v>
      </c>
      <c r="W224" s="1105">
        <f t="shared" ref="W224:AB224" si="299">SUM(W225:W237)</f>
        <v>0</v>
      </c>
      <c r="X224" s="1105">
        <f t="shared" si="299"/>
        <v>3187027.76</v>
      </c>
      <c r="Y224" s="1105">
        <f t="shared" si="299"/>
        <v>29782972.240000002</v>
      </c>
      <c r="Z224" s="1105">
        <f t="shared" si="299"/>
        <v>3187027.76</v>
      </c>
      <c r="AA224" s="1105">
        <f t="shared" si="299"/>
        <v>29782972.240000002</v>
      </c>
      <c r="AB224" s="1105">
        <f t="shared" si="299"/>
        <v>16.378031036157957</v>
      </c>
      <c r="AD224" s="650">
        <f t="shared" si="265"/>
        <v>0</v>
      </c>
      <c r="AI224" s="1277">
        <f>VLOOKUP(K224,'[2]ผลการเบิกจ่ายสะสม พ.ย. 66'!$C:$N,12,0)</f>
        <v>483919928.55000001</v>
      </c>
      <c r="AJ224" s="1274">
        <f t="shared" si="276"/>
        <v>480732900.79000002</v>
      </c>
    </row>
    <row r="225" spans="1:36" s="5" customFormat="1" ht="21" customHeight="1" outlineLevel="1" x14ac:dyDescent="0.2">
      <c r="A225" s="33"/>
      <c r="B225" s="57"/>
      <c r="C225" s="27" t="s">
        <v>52</v>
      </c>
      <c r="D225" s="1111">
        <v>180000</v>
      </c>
      <c r="E225" s="1109">
        <v>43430</v>
      </c>
      <c r="F225" s="1109"/>
      <c r="G225" s="1109"/>
      <c r="H225" s="1109">
        <v>180000</v>
      </c>
      <c r="I225" s="1110">
        <v>300000</v>
      </c>
      <c r="J225" s="1110">
        <v>180000</v>
      </c>
      <c r="K225" s="1033"/>
      <c r="L225" s="1033"/>
      <c r="M225" s="1160">
        <v>135000</v>
      </c>
      <c r="N225" s="1160">
        <v>180000</v>
      </c>
      <c r="O225" s="1160"/>
      <c r="P225" s="1160"/>
      <c r="Q225" s="1160"/>
      <c r="R225" s="1160"/>
      <c r="S225" s="1289">
        <v>11630</v>
      </c>
      <c r="T225" s="1091">
        <f t="shared" ref="T225:T237" si="300">+R225+S225</f>
        <v>11630</v>
      </c>
      <c r="U225" s="1091">
        <f t="shared" ref="U225:U237" si="301">+N225+O225-T225</f>
        <v>168370</v>
      </c>
      <c r="V225" s="1091">
        <f t="shared" si="275"/>
        <v>6.4611111111111112</v>
      </c>
      <c r="W225" s="1091"/>
      <c r="X225" s="1091">
        <f t="shared" ref="X225:X237" si="302">+T225+Q225</f>
        <v>11630</v>
      </c>
      <c r="Y225" s="1091">
        <f t="shared" ref="Y225:Y237" si="303">+U225-Q225</f>
        <v>168370</v>
      </c>
      <c r="Z225" s="1091">
        <f t="shared" ref="Z225:Z237" si="304">+T225+Q225+P225</f>
        <v>11630</v>
      </c>
      <c r="AA225" s="1091">
        <f t="shared" ref="AA225:AA237" si="305">+U225-Q225-P225</f>
        <v>168370</v>
      </c>
      <c r="AB225" s="1091">
        <f t="shared" ref="AB225:AB237" si="306">IFERROR(Z225*100/(N225+O225),0)</f>
        <v>6.4611111111111112</v>
      </c>
      <c r="AD225" s="650">
        <f t="shared" si="265"/>
        <v>0</v>
      </c>
      <c r="AI225" s="1277">
        <f>VLOOKUP(K225,'[2]ผลการเบิกจ่ายสะสม พ.ย. 66'!$C:$N,12,0)</f>
        <v>0</v>
      </c>
      <c r="AJ225" s="1274">
        <f t="shared" si="276"/>
        <v>-11630</v>
      </c>
    </row>
    <row r="226" spans="1:36" s="5" customFormat="1" ht="21" customHeight="1" outlineLevel="1" x14ac:dyDescent="0.2">
      <c r="A226" s="33"/>
      <c r="B226" s="57"/>
      <c r="C226" s="27" t="s">
        <v>49</v>
      </c>
      <c r="D226" s="1111">
        <v>100000</v>
      </c>
      <c r="E226" s="1109">
        <v>0</v>
      </c>
      <c r="F226" s="1109"/>
      <c r="G226" s="1109"/>
      <c r="H226" s="1109">
        <v>100000</v>
      </c>
      <c r="I226" s="1110">
        <v>150000</v>
      </c>
      <c r="J226" s="1110">
        <v>100000</v>
      </c>
      <c r="K226" s="1033"/>
      <c r="L226" s="1033"/>
      <c r="M226" s="1160">
        <v>75200</v>
      </c>
      <c r="N226" s="1160">
        <v>100000</v>
      </c>
      <c r="O226" s="1241">
        <v>-30000</v>
      </c>
      <c r="P226" s="1160"/>
      <c r="Q226" s="1160"/>
      <c r="R226" s="1160"/>
      <c r="S226" s="1160"/>
      <c r="T226" s="1091">
        <f t="shared" si="300"/>
        <v>0</v>
      </c>
      <c r="U226" s="1091">
        <f t="shared" si="301"/>
        <v>70000</v>
      </c>
      <c r="V226" s="1091">
        <f t="shared" si="275"/>
        <v>0</v>
      </c>
      <c r="W226" s="1091"/>
      <c r="X226" s="1091">
        <f t="shared" si="302"/>
        <v>0</v>
      </c>
      <c r="Y226" s="1091">
        <f t="shared" si="303"/>
        <v>70000</v>
      </c>
      <c r="Z226" s="1091">
        <f t="shared" si="304"/>
        <v>0</v>
      </c>
      <c r="AA226" s="1091">
        <f t="shared" si="305"/>
        <v>70000</v>
      </c>
      <c r="AB226" s="1091">
        <f t="shared" si="306"/>
        <v>0</v>
      </c>
      <c r="AC226" s="5" t="s">
        <v>1455</v>
      </c>
      <c r="AD226" s="650">
        <f t="shared" si="265"/>
        <v>0</v>
      </c>
      <c r="AI226" s="1277">
        <f>VLOOKUP(K226,'[2]ผลการเบิกจ่ายสะสม พ.ย. 66'!$C:$N,12,0)</f>
        <v>0</v>
      </c>
      <c r="AJ226" s="1274">
        <f t="shared" si="276"/>
        <v>0</v>
      </c>
    </row>
    <row r="227" spans="1:36" s="5" customFormat="1" ht="21" customHeight="1" outlineLevel="1" x14ac:dyDescent="0.2">
      <c r="A227" s="33"/>
      <c r="B227" s="57"/>
      <c r="C227" s="27" t="s">
        <v>54</v>
      </c>
      <c r="D227" s="1111">
        <v>50000</v>
      </c>
      <c r="E227" s="1109">
        <v>4200</v>
      </c>
      <c r="F227" s="1109"/>
      <c r="G227" s="1109"/>
      <c r="H227" s="1109">
        <v>50000</v>
      </c>
      <c r="I227" s="1110">
        <v>100000</v>
      </c>
      <c r="J227" s="1110">
        <v>50000</v>
      </c>
      <c r="K227" s="1033"/>
      <c r="L227" s="1033"/>
      <c r="M227" s="1160">
        <v>37700</v>
      </c>
      <c r="N227" s="1160">
        <v>50000</v>
      </c>
      <c r="O227" s="1160"/>
      <c r="P227" s="1160"/>
      <c r="Q227" s="1160"/>
      <c r="R227" s="1160"/>
      <c r="S227" s="1160"/>
      <c r="T227" s="1091">
        <f t="shared" si="300"/>
        <v>0</v>
      </c>
      <c r="U227" s="1091">
        <f t="shared" si="301"/>
        <v>50000</v>
      </c>
      <c r="V227" s="1091">
        <f t="shared" si="275"/>
        <v>0</v>
      </c>
      <c r="W227" s="1091"/>
      <c r="X227" s="1091">
        <f t="shared" si="302"/>
        <v>0</v>
      </c>
      <c r="Y227" s="1091">
        <f t="shared" si="303"/>
        <v>50000</v>
      </c>
      <c r="Z227" s="1091">
        <f t="shared" si="304"/>
        <v>0</v>
      </c>
      <c r="AA227" s="1091">
        <f t="shared" si="305"/>
        <v>50000</v>
      </c>
      <c r="AB227" s="1091">
        <f t="shared" si="306"/>
        <v>0</v>
      </c>
      <c r="AD227" s="650">
        <f t="shared" si="265"/>
        <v>0</v>
      </c>
      <c r="AI227" s="1277">
        <f>VLOOKUP(K227,'[2]ผลการเบิกจ่ายสะสม พ.ย. 66'!$C:$N,12,0)</f>
        <v>0</v>
      </c>
      <c r="AJ227" s="1274">
        <f t="shared" si="276"/>
        <v>0</v>
      </c>
    </row>
    <row r="228" spans="1:36" s="5" customFormat="1" ht="21" customHeight="1" outlineLevel="1" x14ac:dyDescent="0.2">
      <c r="A228" s="33"/>
      <c r="B228" s="57"/>
      <c r="C228" s="27" t="s">
        <v>53</v>
      </c>
      <c r="D228" s="1111">
        <v>50000</v>
      </c>
      <c r="E228" s="1109">
        <v>0</v>
      </c>
      <c r="F228" s="1109"/>
      <c r="G228" s="1109"/>
      <c r="H228" s="1109">
        <v>50000</v>
      </c>
      <c r="I228" s="1110">
        <v>110000</v>
      </c>
      <c r="J228" s="1110">
        <v>50000</v>
      </c>
      <c r="K228" s="1033"/>
      <c r="L228" s="1033"/>
      <c r="M228" s="1160">
        <v>37700</v>
      </c>
      <c r="N228" s="1160">
        <v>50000</v>
      </c>
      <c r="O228" s="1160"/>
      <c r="P228" s="1160"/>
      <c r="Q228" s="1160"/>
      <c r="R228" s="1160"/>
      <c r="S228" s="1160"/>
      <c r="T228" s="1091">
        <f t="shared" si="300"/>
        <v>0</v>
      </c>
      <c r="U228" s="1091">
        <f t="shared" si="301"/>
        <v>50000</v>
      </c>
      <c r="V228" s="1091">
        <f t="shared" si="275"/>
        <v>0</v>
      </c>
      <c r="W228" s="1091"/>
      <c r="X228" s="1091">
        <f t="shared" si="302"/>
        <v>0</v>
      </c>
      <c r="Y228" s="1091">
        <f t="shared" si="303"/>
        <v>50000</v>
      </c>
      <c r="Z228" s="1091">
        <f t="shared" si="304"/>
        <v>0</v>
      </c>
      <c r="AA228" s="1091">
        <f t="shared" si="305"/>
        <v>50000</v>
      </c>
      <c r="AB228" s="1091">
        <f t="shared" si="306"/>
        <v>0</v>
      </c>
      <c r="AD228" s="650">
        <f t="shared" si="265"/>
        <v>0</v>
      </c>
      <c r="AI228" s="1277">
        <f>VLOOKUP(K228,'[2]ผลการเบิกจ่ายสะสม พ.ย. 66'!$C:$N,12,0)</f>
        <v>0</v>
      </c>
      <c r="AJ228" s="1274">
        <f t="shared" si="276"/>
        <v>0</v>
      </c>
    </row>
    <row r="229" spans="1:36" s="5" customFormat="1" ht="21" customHeight="1" outlineLevel="1" x14ac:dyDescent="0.2">
      <c r="A229" s="33"/>
      <c r="B229" s="57"/>
      <c r="C229" s="27" t="s">
        <v>80</v>
      </c>
      <c r="D229" s="1111">
        <v>100000</v>
      </c>
      <c r="E229" s="1109">
        <v>2540</v>
      </c>
      <c r="F229" s="1109"/>
      <c r="G229" s="1109"/>
      <c r="H229" s="1109">
        <v>100000</v>
      </c>
      <c r="I229" s="1110">
        <v>100000</v>
      </c>
      <c r="J229" s="1110">
        <v>100000</v>
      </c>
      <c r="K229" s="1033"/>
      <c r="L229" s="1033"/>
      <c r="M229" s="1160">
        <v>75200</v>
      </c>
      <c r="N229" s="1160">
        <v>100000</v>
      </c>
      <c r="O229" s="1160"/>
      <c r="P229" s="1160"/>
      <c r="Q229" s="1160"/>
      <c r="R229" s="1160"/>
      <c r="S229" s="1160"/>
      <c r="T229" s="1091">
        <f t="shared" si="300"/>
        <v>0</v>
      </c>
      <c r="U229" s="1091">
        <f t="shared" si="301"/>
        <v>100000</v>
      </c>
      <c r="V229" s="1091">
        <f t="shared" si="275"/>
        <v>0</v>
      </c>
      <c r="W229" s="1091"/>
      <c r="X229" s="1091">
        <f t="shared" si="302"/>
        <v>0</v>
      </c>
      <c r="Y229" s="1091">
        <f t="shared" si="303"/>
        <v>100000</v>
      </c>
      <c r="Z229" s="1091">
        <f t="shared" si="304"/>
        <v>0</v>
      </c>
      <c r="AA229" s="1091">
        <f t="shared" si="305"/>
        <v>100000</v>
      </c>
      <c r="AB229" s="1091">
        <f t="shared" si="306"/>
        <v>0</v>
      </c>
      <c r="AD229" s="650">
        <f t="shared" si="265"/>
        <v>0</v>
      </c>
      <c r="AI229" s="1277">
        <f>VLOOKUP(K229,'[2]ผลการเบิกจ่ายสะสม พ.ย. 66'!$C:$N,12,0)</f>
        <v>0</v>
      </c>
      <c r="AJ229" s="1274">
        <f t="shared" si="276"/>
        <v>0</v>
      </c>
    </row>
    <row r="230" spans="1:36" s="5" customFormat="1" ht="21" customHeight="1" outlineLevel="1" x14ac:dyDescent="0.2">
      <c r="A230" s="33"/>
      <c r="B230" s="57"/>
      <c r="C230" s="27" t="s">
        <v>63</v>
      </c>
      <c r="D230" s="1111">
        <v>50000</v>
      </c>
      <c r="E230" s="1109">
        <v>270</v>
      </c>
      <c r="F230" s="1109"/>
      <c r="G230" s="1109"/>
      <c r="H230" s="1109">
        <v>50000</v>
      </c>
      <c r="I230" s="1110">
        <v>50000</v>
      </c>
      <c r="J230" s="1110">
        <v>50000</v>
      </c>
      <c r="K230" s="1033"/>
      <c r="L230" s="1033"/>
      <c r="M230" s="1160">
        <v>37700</v>
      </c>
      <c r="N230" s="1160">
        <v>50000</v>
      </c>
      <c r="O230" s="1160"/>
      <c r="P230" s="1160"/>
      <c r="Q230" s="1160"/>
      <c r="R230" s="1160"/>
      <c r="S230" s="1160"/>
      <c r="T230" s="1091">
        <f t="shared" si="300"/>
        <v>0</v>
      </c>
      <c r="U230" s="1091">
        <f t="shared" si="301"/>
        <v>50000</v>
      </c>
      <c r="V230" s="1091">
        <f t="shared" si="275"/>
        <v>0</v>
      </c>
      <c r="W230" s="1091"/>
      <c r="X230" s="1091">
        <f t="shared" si="302"/>
        <v>0</v>
      </c>
      <c r="Y230" s="1091">
        <f t="shared" si="303"/>
        <v>50000</v>
      </c>
      <c r="Z230" s="1091">
        <f t="shared" si="304"/>
        <v>0</v>
      </c>
      <c r="AA230" s="1091">
        <f t="shared" si="305"/>
        <v>50000</v>
      </c>
      <c r="AB230" s="1091">
        <f t="shared" si="306"/>
        <v>0</v>
      </c>
      <c r="AD230" s="650">
        <f t="shared" si="265"/>
        <v>0</v>
      </c>
      <c r="AI230" s="1277">
        <f>VLOOKUP(K230,'[2]ผลการเบิกจ่ายสะสม พ.ย. 66'!$C:$N,12,0)</f>
        <v>0</v>
      </c>
      <c r="AJ230" s="1274">
        <f t="shared" si="276"/>
        <v>0</v>
      </c>
    </row>
    <row r="231" spans="1:36" s="5" customFormat="1" ht="21" customHeight="1" outlineLevel="1" x14ac:dyDescent="0.2">
      <c r="A231" s="33"/>
      <c r="B231" s="57"/>
      <c r="C231" s="27" t="s">
        <v>61</v>
      </c>
      <c r="D231" s="1111">
        <v>50000</v>
      </c>
      <c r="E231" s="1109">
        <v>0</v>
      </c>
      <c r="F231" s="1109"/>
      <c r="G231" s="1109"/>
      <c r="H231" s="1109">
        <v>50000</v>
      </c>
      <c r="I231" s="1110">
        <v>70000</v>
      </c>
      <c r="J231" s="1110">
        <v>50000</v>
      </c>
      <c r="K231" s="1033"/>
      <c r="L231" s="1033"/>
      <c r="M231" s="1160">
        <v>37700</v>
      </c>
      <c r="N231" s="1160">
        <v>50000</v>
      </c>
      <c r="O231" s="1160"/>
      <c r="P231" s="1160"/>
      <c r="Q231" s="1160"/>
      <c r="R231" s="1160"/>
      <c r="S231" s="1160"/>
      <c r="T231" s="1091">
        <f t="shared" si="300"/>
        <v>0</v>
      </c>
      <c r="U231" s="1091">
        <f t="shared" si="301"/>
        <v>50000</v>
      </c>
      <c r="V231" s="1091">
        <f t="shared" si="275"/>
        <v>0</v>
      </c>
      <c r="W231" s="1091"/>
      <c r="X231" s="1091">
        <f t="shared" si="302"/>
        <v>0</v>
      </c>
      <c r="Y231" s="1091">
        <f t="shared" si="303"/>
        <v>50000</v>
      </c>
      <c r="Z231" s="1091">
        <f t="shared" si="304"/>
        <v>0</v>
      </c>
      <c r="AA231" s="1091">
        <f t="shared" si="305"/>
        <v>50000</v>
      </c>
      <c r="AB231" s="1091">
        <f t="shared" si="306"/>
        <v>0</v>
      </c>
      <c r="AD231" s="650">
        <f t="shared" si="265"/>
        <v>0</v>
      </c>
      <c r="AI231" s="1277">
        <f>VLOOKUP(K231,'[2]ผลการเบิกจ่ายสะสม พ.ย. 66'!$C:$N,12,0)</f>
        <v>0</v>
      </c>
      <c r="AJ231" s="1274">
        <f t="shared" si="276"/>
        <v>0</v>
      </c>
    </row>
    <row r="232" spans="1:36" s="5" customFormat="1" ht="21" customHeight="1" outlineLevel="1" x14ac:dyDescent="0.2">
      <c r="A232" s="33"/>
      <c r="B232" s="57"/>
      <c r="C232" s="27" t="s">
        <v>51</v>
      </c>
      <c r="D232" s="1111">
        <v>50000</v>
      </c>
      <c r="E232" s="1109">
        <v>0</v>
      </c>
      <c r="F232" s="1109"/>
      <c r="G232" s="1109"/>
      <c r="H232" s="1109">
        <v>50000</v>
      </c>
      <c r="I232" s="1110">
        <v>100000</v>
      </c>
      <c r="J232" s="1110">
        <v>50000</v>
      </c>
      <c r="K232" s="1033"/>
      <c r="L232" s="1033"/>
      <c r="M232" s="1160">
        <v>37700</v>
      </c>
      <c r="N232" s="1160">
        <v>50000</v>
      </c>
      <c r="O232" s="1160"/>
      <c r="P232" s="1160"/>
      <c r="Q232" s="1160"/>
      <c r="R232" s="1160"/>
      <c r="S232" s="1160"/>
      <c r="T232" s="1091">
        <f t="shared" si="300"/>
        <v>0</v>
      </c>
      <c r="U232" s="1091">
        <f t="shared" si="301"/>
        <v>50000</v>
      </c>
      <c r="V232" s="1091">
        <f t="shared" si="275"/>
        <v>0</v>
      </c>
      <c r="W232" s="1091"/>
      <c r="X232" s="1091">
        <f t="shared" si="302"/>
        <v>0</v>
      </c>
      <c r="Y232" s="1091">
        <f t="shared" si="303"/>
        <v>50000</v>
      </c>
      <c r="Z232" s="1091">
        <f t="shared" si="304"/>
        <v>0</v>
      </c>
      <c r="AA232" s="1091">
        <f t="shared" si="305"/>
        <v>50000</v>
      </c>
      <c r="AB232" s="1091">
        <f t="shared" si="306"/>
        <v>0</v>
      </c>
      <c r="AD232" s="650">
        <f t="shared" si="265"/>
        <v>0</v>
      </c>
      <c r="AI232" s="1277">
        <f>VLOOKUP(K232,'[2]ผลการเบิกจ่ายสะสม พ.ย. 66'!$C:$N,12,0)</f>
        <v>0</v>
      </c>
      <c r="AJ232" s="1274">
        <f t="shared" si="276"/>
        <v>0</v>
      </c>
    </row>
    <row r="233" spans="1:36" s="5" customFormat="1" ht="21" customHeight="1" outlineLevel="1" x14ac:dyDescent="0.2">
      <c r="A233" s="33"/>
      <c r="B233" s="57"/>
      <c r="C233" s="27" t="s">
        <v>62</v>
      </c>
      <c r="D233" s="1111">
        <v>50000</v>
      </c>
      <c r="E233" s="1109">
        <v>240</v>
      </c>
      <c r="F233" s="1109"/>
      <c r="G233" s="1109"/>
      <c r="H233" s="1109">
        <v>50000</v>
      </c>
      <c r="I233" s="1110">
        <v>150000</v>
      </c>
      <c r="J233" s="1110">
        <v>50000</v>
      </c>
      <c r="K233" s="1033"/>
      <c r="L233" s="1033"/>
      <c r="M233" s="1160">
        <v>37700</v>
      </c>
      <c r="N233" s="1160">
        <v>50000</v>
      </c>
      <c r="O233" s="1160"/>
      <c r="P233" s="1160"/>
      <c r="Q233" s="1160"/>
      <c r="R233" s="1160"/>
      <c r="S233" s="1160"/>
      <c r="T233" s="1091">
        <f t="shared" si="300"/>
        <v>0</v>
      </c>
      <c r="U233" s="1091">
        <f t="shared" si="301"/>
        <v>50000</v>
      </c>
      <c r="V233" s="1091">
        <f t="shared" si="275"/>
        <v>0</v>
      </c>
      <c r="W233" s="1091"/>
      <c r="X233" s="1091">
        <f t="shared" si="302"/>
        <v>0</v>
      </c>
      <c r="Y233" s="1091">
        <f t="shared" si="303"/>
        <v>50000</v>
      </c>
      <c r="Z233" s="1091">
        <f t="shared" si="304"/>
        <v>0</v>
      </c>
      <c r="AA233" s="1091">
        <f t="shared" si="305"/>
        <v>50000</v>
      </c>
      <c r="AB233" s="1091">
        <f t="shared" si="306"/>
        <v>0</v>
      </c>
      <c r="AD233" s="650">
        <f t="shared" si="265"/>
        <v>0</v>
      </c>
      <c r="AI233" s="1277">
        <f>VLOOKUP(K233,'[2]ผลการเบิกจ่ายสะสม พ.ย. 66'!$C:$N,12,0)</f>
        <v>0</v>
      </c>
      <c r="AJ233" s="1274">
        <f t="shared" si="276"/>
        <v>0</v>
      </c>
    </row>
    <row r="234" spans="1:36" s="5" customFormat="1" ht="21" customHeight="1" outlineLevel="1" x14ac:dyDescent="0.2">
      <c r="A234" s="33"/>
      <c r="B234" s="57"/>
      <c r="C234" s="27" t="s">
        <v>43</v>
      </c>
      <c r="D234" s="1111">
        <v>50000</v>
      </c>
      <c r="E234" s="1109">
        <v>0</v>
      </c>
      <c r="F234" s="1109"/>
      <c r="G234" s="1109"/>
      <c r="H234" s="1109">
        <v>50000</v>
      </c>
      <c r="I234" s="1110">
        <v>50000</v>
      </c>
      <c r="J234" s="1110">
        <v>50000</v>
      </c>
      <c r="K234" s="1033"/>
      <c r="L234" s="1033"/>
      <c r="M234" s="1160">
        <v>37700</v>
      </c>
      <c r="N234" s="1160">
        <v>50000</v>
      </c>
      <c r="O234" s="1160"/>
      <c r="P234" s="1160"/>
      <c r="Q234" s="1160"/>
      <c r="R234" s="1160"/>
      <c r="S234" s="1160"/>
      <c r="T234" s="1091">
        <f t="shared" si="300"/>
        <v>0</v>
      </c>
      <c r="U234" s="1091">
        <f t="shared" si="301"/>
        <v>50000</v>
      </c>
      <c r="V234" s="1091">
        <f t="shared" si="275"/>
        <v>0</v>
      </c>
      <c r="W234" s="1091"/>
      <c r="X234" s="1091">
        <f t="shared" si="302"/>
        <v>0</v>
      </c>
      <c r="Y234" s="1091">
        <f t="shared" si="303"/>
        <v>50000</v>
      </c>
      <c r="Z234" s="1091">
        <f t="shared" si="304"/>
        <v>0</v>
      </c>
      <c r="AA234" s="1091">
        <f t="shared" si="305"/>
        <v>50000</v>
      </c>
      <c r="AB234" s="1091">
        <f t="shared" si="306"/>
        <v>0</v>
      </c>
      <c r="AD234" s="650">
        <f t="shared" si="265"/>
        <v>0</v>
      </c>
      <c r="AI234" s="1277">
        <f>VLOOKUP(K234,'[2]ผลการเบิกจ่ายสะสม พ.ย. 66'!$C:$N,12,0)</f>
        <v>0</v>
      </c>
      <c r="AJ234" s="1274">
        <f t="shared" si="276"/>
        <v>0</v>
      </c>
    </row>
    <row r="235" spans="1:36" s="5" customFormat="1" ht="21" customHeight="1" outlineLevel="1" x14ac:dyDescent="0.2">
      <c r="A235" s="33"/>
      <c r="B235" s="57"/>
      <c r="C235" s="27" t="s">
        <v>50</v>
      </c>
      <c r="D235" s="1111">
        <v>100000</v>
      </c>
      <c r="E235" s="1109">
        <v>0</v>
      </c>
      <c r="F235" s="1109"/>
      <c r="G235" s="1109"/>
      <c r="H235" s="1109">
        <v>100000</v>
      </c>
      <c r="I235" s="1110">
        <v>350000</v>
      </c>
      <c r="J235" s="1110">
        <v>100000</v>
      </c>
      <c r="K235" s="1033"/>
      <c r="L235" s="1033"/>
      <c r="M235" s="1160">
        <v>75200</v>
      </c>
      <c r="N235" s="1160">
        <v>100000</v>
      </c>
      <c r="O235" s="1160"/>
      <c r="P235" s="1160"/>
      <c r="Q235" s="1160"/>
      <c r="R235" s="1160"/>
      <c r="S235" s="1160"/>
      <c r="T235" s="1091">
        <f t="shared" si="300"/>
        <v>0</v>
      </c>
      <c r="U235" s="1091">
        <f t="shared" si="301"/>
        <v>100000</v>
      </c>
      <c r="V235" s="1091">
        <f t="shared" si="275"/>
        <v>0</v>
      </c>
      <c r="W235" s="1091"/>
      <c r="X235" s="1091">
        <f t="shared" si="302"/>
        <v>0</v>
      </c>
      <c r="Y235" s="1091">
        <f t="shared" si="303"/>
        <v>100000</v>
      </c>
      <c r="Z235" s="1091">
        <f t="shared" si="304"/>
        <v>0</v>
      </c>
      <c r="AA235" s="1091">
        <f t="shared" si="305"/>
        <v>100000</v>
      </c>
      <c r="AB235" s="1091">
        <f t="shared" si="306"/>
        <v>0</v>
      </c>
      <c r="AD235" s="650">
        <f t="shared" si="265"/>
        <v>0</v>
      </c>
      <c r="AI235" s="1277">
        <f>VLOOKUP(K235,'[2]ผลการเบิกจ่ายสะสม พ.ย. 66'!$C:$N,12,0)</f>
        <v>0</v>
      </c>
      <c r="AJ235" s="1274">
        <f t="shared" si="276"/>
        <v>0</v>
      </c>
    </row>
    <row r="236" spans="1:36" s="5" customFormat="1" ht="21" customHeight="1" outlineLevel="1" x14ac:dyDescent="0.2">
      <c r="A236" s="33"/>
      <c r="B236" s="57"/>
      <c r="C236" s="27" t="s">
        <v>42</v>
      </c>
      <c r="D236" s="1111">
        <v>150000</v>
      </c>
      <c r="E236" s="1109">
        <v>97234.66</v>
      </c>
      <c r="F236" s="1109"/>
      <c r="G236" s="1109"/>
      <c r="H236" s="1109">
        <v>150000</v>
      </c>
      <c r="I236" s="1110">
        <v>200000</v>
      </c>
      <c r="J236" s="1110">
        <v>150000</v>
      </c>
      <c r="K236" s="1033"/>
      <c r="L236" s="1033"/>
      <c r="M236" s="1160">
        <v>112600</v>
      </c>
      <c r="N236" s="1160">
        <v>150000</v>
      </c>
      <c r="O236" s="1160"/>
      <c r="P236" s="1160"/>
      <c r="Q236" s="1160"/>
      <c r="R236" s="1160"/>
      <c r="S236" s="1160"/>
      <c r="T236" s="1091">
        <f t="shared" si="300"/>
        <v>0</v>
      </c>
      <c r="U236" s="1091">
        <f t="shared" si="301"/>
        <v>150000</v>
      </c>
      <c r="V236" s="1091">
        <f t="shared" si="275"/>
        <v>0</v>
      </c>
      <c r="W236" s="1091"/>
      <c r="X236" s="1091">
        <f t="shared" si="302"/>
        <v>0</v>
      </c>
      <c r="Y236" s="1091">
        <f t="shared" si="303"/>
        <v>150000</v>
      </c>
      <c r="Z236" s="1091">
        <f t="shared" si="304"/>
        <v>0</v>
      </c>
      <c r="AA236" s="1091">
        <f t="shared" si="305"/>
        <v>150000</v>
      </c>
      <c r="AB236" s="1091">
        <f t="shared" si="306"/>
        <v>0</v>
      </c>
      <c r="AD236" s="650">
        <f t="shared" si="265"/>
        <v>0</v>
      </c>
      <c r="AI236" s="1277">
        <f>VLOOKUP(K236,'[2]ผลการเบิกจ่ายสะสม พ.ย. 66'!$C:$N,12,0)</f>
        <v>0</v>
      </c>
      <c r="AJ236" s="1274">
        <f t="shared" si="276"/>
        <v>0</v>
      </c>
    </row>
    <row r="237" spans="1:36" s="5" customFormat="1" ht="21" customHeight="1" outlineLevel="1" x14ac:dyDescent="0.2">
      <c r="A237" s="33"/>
      <c r="B237" s="57" t="s">
        <v>81</v>
      </c>
      <c r="C237" s="27" t="s">
        <v>81</v>
      </c>
      <c r="D237" s="1111">
        <v>32020000</v>
      </c>
      <c r="E237" s="1109">
        <v>52197875.079999998</v>
      </c>
      <c r="F237" s="1109"/>
      <c r="G237" s="1109"/>
      <c r="H237" s="1109">
        <v>32020000</v>
      </c>
      <c r="I237" s="1110">
        <v>55498600</v>
      </c>
      <c r="J237" s="1110">
        <v>32020000</v>
      </c>
      <c r="K237" s="1033"/>
      <c r="L237" s="1033"/>
      <c r="M237" s="1160">
        <v>16010000</v>
      </c>
      <c r="N237" s="1160">
        <v>32020000</v>
      </c>
      <c r="O237" s="1160"/>
      <c r="P237" s="1160"/>
      <c r="Q237" s="1160"/>
      <c r="R237" s="1160"/>
      <c r="S237" s="1292">
        <f>65412.76+3109985</f>
        <v>3175397.76</v>
      </c>
      <c r="T237" s="1091">
        <f t="shared" si="300"/>
        <v>3175397.76</v>
      </c>
      <c r="U237" s="1091">
        <f t="shared" si="301"/>
        <v>28844602.240000002</v>
      </c>
      <c r="V237" s="1091">
        <f t="shared" si="275"/>
        <v>9.9169199250468463</v>
      </c>
      <c r="W237" s="1091"/>
      <c r="X237" s="1091">
        <f t="shared" si="302"/>
        <v>3175397.76</v>
      </c>
      <c r="Y237" s="1091">
        <f t="shared" si="303"/>
        <v>28844602.240000002</v>
      </c>
      <c r="Z237" s="1091">
        <f t="shared" si="304"/>
        <v>3175397.76</v>
      </c>
      <c r="AA237" s="1091">
        <f t="shared" si="305"/>
        <v>28844602.240000002</v>
      </c>
      <c r="AB237" s="1091">
        <f t="shared" si="306"/>
        <v>9.9169199250468463</v>
      </c>
      <c r="AD237" s="650">
        <f t="shared" si="265"/>
        <v>0</v>
      </c>
      <c r="AI237" s="1277">
        <f>VLOOKUP(K237,'[2]ผลการเบิกจ่ายสะสม พ.ย. 66'!$C:$N,12,0)</f>
        <v>0</v>
      </c>
      <c r="AJ237" s="1274">
        <f t="shared" si="276"/>
        <v>-3175397.76</v>
      </c>
    </row>
    <row r="238" spans="1:36" s="5" customFormat="1" ht="21" customHeight="1" outlineLevel="1" x14ac:dyDescent="0.2">
      <c r="A238" s="33"/>
      <c r="B238" s="34" t="s">
        <v>86</v>
      </c>
      <c r="C238" s="273"/>
      <c r="D238" s="1118">
        <f>SUM(D239:D243)</f>
        <v>291700</v>
      </c>
      <c r="E238" s="1119">
        <f>SUM(E239:E243)</f>
        <v>318694.82</v>
      </c>
      <c r="F238" s="1119"/>
      <c r="G238" s="1119"/>
      <c r="H238" s="1119">
        <f>SUM(H239:H243)</f>
        <v>291700</v>
      </c>
      <c r="I238" s="1106">
        <v>1880000</v>
      </c>
      <c r="J238" s="1106">
        <f>SUM(J239:J243)</f>
        <v>291700</v>
      </c>
      <c r="K238" s="1040" t="s">
        <v>1371</v>
      </c>
      <c r="L238" s="1065" t="s">
        <v>1428</v>
      </c>
      <c r="M238" s="1105">
        <f t="shared" ref="M238:U238" si="307">SUM(M239:M243)</f>
        <v>219300</v>
      </c>
      <c r="N238" s="1105">
        <f>SUM(N239:N243)</f>
        <v>291700</v>
      </c>
      <c r="O238" s="1105">
        <f t="shared" si="307"/>
        <v>0</v>
      </c>
      <c r="P238" s="1105">
        <f t="shared" si="307"/>
        <v>0</v>
      </c>
      <c r="Q238" s="1105">
        <f t="shared" si="307"/>
        <v>0</v>
      </c>
      <c r="R238" s="1105">
        <f t="shared" si="307"/>
        <v>0</v>
      </c>
      <c r="S238" s="1105">
        <f t="shared" si="307"/>
        <v>0</v>
      </c>
      <c r="T238" s="1105">
        <f t="shared" si="307"/>
        <v>0</v>
      </c>
      <c r="U238" s="1105">
        <f t="shared" si="307"/>
        <v>291700</v>
      </c>
      <c r="V238" s="1105">
        <f t="shared" si="275"/>
        <v>0</v>
      </c>
      <c r="W238" s="1105">
        <f t="shared" ref="W238:AB238" si="308">SUM(W239:W243)</f>
        <v>0</v>
      </c>
      <c r="X238" s="1105">
        <f t="shared" si="308"/>
        <v>0</v>
      </c>
      <c r="Y238" s="1105">
        <f t="shared" si="308"/>
        <v>291700</v>
      </c>
      <c r="Z238" s="1105">
        <f t="shared" si="308"/>
        <v>0</v>
      </c>
      <c r="AA238" s="1105">
        <f t="shared" si="308"/>
        <v>291700</v>
      </c>
      <c r="AB238" s="1105">
        <f t="shared" si="308"/>
        <v>0</v>
      </c>
      <c r="AD238" s="650">
        <f t="shared" si="265"/>
        <v>0</v>
      </c>
      <c r="AI238" s="1277">
        <f>VLOOKUP(K238,'[2]ผลการเบิกจ่ายสะสม พ.ย. 66'!$C:$N,12,0)</f>
        <v>483919928.55000001</v>
      </c>
      <c r="AJ238" s="1274">
        <f t="shared" si="276"/>
        <v>483919928.55000001</v>
      </c>
    </row>
    <row r="239" spans="1:36" s="5" customFormat="1" ht="21" customHeight="1" outlineLevel="1" x14ac:dyDescent="0.2">
      <c r="A239" s="33"/>
      <c r="B239" s="57"/>
      <c r="C239" s="27" t="s">
        <v>52</v>
      </c>
      <c r="D239" s="1111">
        <v>50000</v>
      </c>
      <c r="E239" s="1109">
        <v>0</v>
      </c>
      <c r="F239" s="1109"/>
      <c r="G239" s="1109"/>
      <c r="H239" s="1109">
        <v>50000</v>
      </c>
      <c r="I239" s="1110">
        <v>80000</v>
      </c>
      <c r="J239" s="1110">
        <v>50000</v>
      </c>
      <c r="K239" s="1033"/>
      <c r="L239" s="1033"/>
      <c r="M239" s="1160">
        <v>37600</v>
      </c>
      <c r="N239" s="1160">
        <v>50000</v>
      </c>
      <c r="O239" s="1160"/>
      <c r="P239" s="1160"/>
      <c r="Q239" s="1160"/>
      <c r="R239" s="1160"/>
      <c r="S239" s="1160"/>
      <c r="T239" s="1091">
        <f t="shared" ref="T239:T243" si="309">+R239+S239</f>
        <v>0</v>
      </c>
      <c r="U239" s="1091">
        <f t="shared" ref="U239:U243" si="310">+N239+O239-T239</f>
        <v>50000</v>
      </c>
      <c r="V239" s="1091">
        <f t="shared" si="275"/>
        <v>0</v>
      </c>
      <c r="W239" s="1091"/>
      <c r="X239" s="1091">
        <f t="shared" ref="X239:X243" si="311">+T239+Q239</f>
        <v>0</v>
      </c>
      <c r="Y239" s="1091">
        <f t="shared" ref="Y239:Y243" si="312">+U239-Q239</f>
        <v>50000</v>
      </c>
      <c r="Z239" s="1091">
        <f t="shared" ref="Z239:Z243" si="313">+T239+Q239+P239</f>
        <v>0</v>
      </c>
      <c r="AA239" s="1091">
        <f t="shared" ref="AA239:AA243" si="314">+U239-Q239-P239</f>
        <v>50000</v>
      </c>
      <c r="AB239" s="1091">
        <f t="shared" ref="AB239:AB243" si="315">IFERROR(Z239*100/(N239+O239),0)</f>
        <v>0</v>
      </c>
      <c r="AD239" s="650">
        <f t="shared" si="265"/>
        <v>0</v>
      </c>
      <c r="AI239" s="1277">
        <f>VLOOKUP(K239,'[2]ผลการเบิกจ่ายสะสม พ.ย. 66'!$C:$N,12,0)</f>
        <v>0</v>
      </c>
      <c r="AJ239" s="1274">
        <f t="shared" si="276"/>
        <v>0</v>
      </c>
    </row>
    <row r="240" spans="1:36" s="5" customFormat="1" ht="21" customHeight="1" outlineLevel="1" x14ac:dyDescent="0.2">
      <c r="A240" s="33"/>
      <c r="B240" s="57"/>
      <c r="C240" s="27" t="s">
        <v>51</v>
      </c>
      <c r="D240" s="1111">
        <v>50000</v>
      </c>
      <c r="E240" s="1109">
        <v>0</v>
      </c>
      <c r="F240" s="1109"/>
      <c r="G240" s="1109"/>
      <c r="H240" s="1109">
        <v>50000</v>
      </c>
      <c r="I240" s="1110">
        <v>50000</v>
      </c>
      <c r="J240" s="1110">
        <v>50000</v>
      </c>
      <c r="K240" s="1033"/>
      <c r="L240" s="1033"/>
      <c r="M240" s="1160">
        <v>37600</v>
      </c>
      <c r="N240" s="1160">
        <v>50000</v>
      </c>
      <c r="O240" s="1160"/>
      <c r="P240" s="1160"/>
      <c r="Q240" s="1160"/>
      <c r="R240" s="1160"/>
      <c r="S240" s="1160"/>
      <c r="T240" s="1091">
        <f t="shared" si="309"/>
        <v>0</v>
      </c>
      <c r="U240" s="1091">
        <f t="shared" si="310"/>
        <v>50000</v>
      </c>
      <c r="V240" s="1091">
        <f t="shared" si="275"/>
        <v>0</v>
      </c>
      <c r="W240" s="1091"/>
      <c r="X240" s="1091">
        <f t="shared" si="311"/>
        <v>0</v>
      </c>
      <c r="Y240" s="1091">
        <f t="shared" si="312"/>
        <v>50000</v>
      </c>
      <c r="Z240" s="1091">
        <f t="shared" si="313"/>
        <v>0</v>
      </c>
      <c r="AA240" s="1091">
        <f t="shared" si="314"/>
        <v>50000</v>
      </c>
      <c r="AB240" s="1091">
        <f t="shared" si="315"/>
        <v>0</v>
      </c>
      <c r="AD240" s="650">
        <f t="shared" si="265"/>
        <v>0</v>
      </c>
      <c r="AI240" s="1277">
        <f>VLOOKUP(K240,'[2]ผลการเบิกจ่ายสะสม พ.ย. 66'!$C:$N,12,0)</f>
        <v>0</v>
      </c>
      <c r="AJ240" s="1274">
        <f t="shared" si="276"/>
        <v>0</v>
      </c>
    </row>
    <row r="241" spans="1:36" s="5" customFormat="1" ht="21" customHeight="1" outlineLevel="1" x14ac:dyDescent="0.2">
      <c r="A241" s="33"/>
      <c r="B241" s="57"/>
      <c r="C241" s="27" t="s">
        <v>50</v>
      </c>
      <c r="D241" s="1111">
        <v>50000</v>
      </c>
      <c r="E241" s="1109">
        <v>0</v>
      </c>
      <c r="F241" s="1109"/>
      <c r="G241" s="1109"/>
      <c r="H241" s="1109">
        <v>50000</v>
      </c>
      <c r="I241" s="1110">
        <v>300000</v>
      </c>
      <c r="J241" s="1110">
        <v>50000</v>
      </c>
      <c r="K241" s="1033"/>
      <c r="L241" s="1033"/>
      <c r="M241" s="1160">
        <v>37600</v>
      </c>
      <c r="N241" s="1160">
        <v>50000</v>
      </c>
      <c r="O241" s="1160"/>
      <c r="P241" s="1160"/>
      <c r="Q241" s="1160"/>
      <c r="R241" s="1160"/>
      <c r="S241" s="1160"/>
      <c r="T241" s="1091">
        <f t="shared" si="309"/>
        <v>0</v>
      </c>
      <c r="U241" s="1091">
        <f t="shared" si="310"/>
        <v>50000</v>
      </c>
      <c r="V241" s="1091">
        <f t="shared" si="275"/>
        <v>0</v>
      </c>
      <c r="W241" s="1091"/>
      <c r="X241" s="1091">
        <f t="shared" si="311"/>
        <v>0</v>
      </c>
      <c r="Y241" s="1091">
        <f t="shared" si="312"/>
        <v>50000</v>
      </c>
      <c r="Z241" s="1091">
        <f t="shared" si="313"/>
        <v>0</v>
      </c>
      <c r="AA241" s="1091">
        <f t="shared" si="314"/>
        <v>50000</v>
      </c>
      <c r="AB241" s="1091">
        <f t="shared" si="315"/>
        <v>0</v>
      </c>
      <c r="AD241" s="650">
        <f t="shared" si="265"/>
        <v>0</v>
      </c>
      <c r="AI241" s="1277">
        <f>VLOOKUP(K241,'[2]ผลการเบิกจ่ายสะสม พ.ย. 66'!$C:$N,12,0)</f>
        <v>0</v>
      </c>
      <c r="AJ241" s="1274">
        <f t="shared" si="276"/>
        <v>0</v>
      </c>
    </row>
    <row r="242" spans="1:36" s="5" customFormat="1" ht="21" customHeight="1" outlineLevel="1" x14ac:dyDescent="0.2">
      <c r="A242" s="33"/>
      <c r="B242" s="57"/>
      <c r="C242" s="27" t="s">
        <v>42</v>
      </c>
      <c r="D242" s="1111">
        <v>50000</v>
      </c>
      <c r="E242" s="1109">
        <v>100716.3</v>
      </c>
      <c r="F242" s="1109"/>
      <c r="G242" s="1109"/>
      <c r="H242" s="1109">
        <v>50000</v>
      </c>
      <c r="I242" s="1110">
        <v>150000</v>
      </c>
      <c r="J242" s="1110">
        <v>50000</v>
      </c>
      <c r="K242" s="1033"/>
      <c r="L242" s="1033"/>
      <c r="M242" s="1160">
        <v>37600</v>
      </c>
      <c r="N242" s="1160">
        <v>50000</v>
      </c>
      <c r="O242" s="1160"/>
      <c r="P242" s="1160"/>
      <c r="Q242" s="1160"/>
      <c r="R242" s="1160"/>
      <c r="S242" s="1160"/>
      <c r="T242" s="1091">
        <f t="shared" si="309"/>
        <v>0</v>
      </c>
      <c r="U242" s="1091">
        <f t="shared" si="310"/>
        <v>50000</v>
      </c>
      <c r="V242" s="1091">
        <f t="shared" si="275"/>
        <v>0</v>
      </c>
      <c r="W242" s="1091"/>
      <c r="X242" s="1091">
        <f t="shared" si="311"/>
        <v>0</v>
      </c>
      <c r="Y242" s="1091">
        <f t="shared" si="312"/>
        <v>50000</v>
      </c>
      <c r="Z242" s="1091">
        <f t="shared" si="313"/>
        <v>0</v>
      </c>
      <c r="AA242" s="1091">
        <f t="shared" si="314"/>
        <v>50000</v>
      </c>
      <c r="AB242" s="1091">
        <f t="shared" si="315"/>
        <v>0</v>
      </c>
      <c r="AD242" s="650">
        <f t="shared" si="265"/>
        <v>0</v>
      </c>
      <c r="AI242" s="1277">
        <f>VLOOKUP(K242,'[2]ผลการเบิกจ่ายสะสม พ.ย. 66'!$C:$N,12,0)</f>
        <v>0</v>
      </c>
      <c r="AJ242" s="1274">
        <f t="shared" si="276"/>
        <v>0</v>
      </c>
    </row>
    <row r="243" spans="1:36" s="5" customFormat="1" ht="21" customHeight="1" outlineLevel="1" x14ac:dyDescent="0.2">
      <c r="A243" s="33"/>
      <c r="B243" s="57"/>
      <c r="C243" s="27" t="s">
        <v>81</v>
      </c>
      <c r="D243" s="1111">
        <v>91700</v>
      </c>
      <c r="E243" s="1109">
        <v>217978.52</v>
      </c>
      <c r="F243" s="1109"/>
      <c r="G243" s="1109"/>
      <c r="H243" s="1109">
        <v>91700</v>
      </c>
      <c r="I243" s="1110">
        <v>1300000</v>
      </c>
      <c r="J243" s="1110">
        <v>91700</v>
      </c>
      <c r="K243" s="1033"/>
      <c r="L243" s="1033"/>
      <c r="M243" s="1160">
        <v>68900</v>
      </c>
      <c r="N243" s="1160">
        <v>91700</v>
      </c>
      <c r="O243" s="1160"/>
      <c r="P243" s="1160"/>
      <c r="Q243" s="1160"/>
      <c r="R243" s="1160"/>
      <c r="S243" s="1160"/>
      <c r="T243" s="1091">
        <f t="shared" si="309"/>
        <v>0</v>
      </c>
      <c r="U243" s="1091">
        <f t="shared" si="310"/>
        <v>91700</v>
      </c>
      <c r="V243" s="1091">
        <f t="shared" si="275"/>
        <v>0</v>
      </c>
      <c r="W243" s="1091"/>
      <c r="X243" s="1091">
        <f t="shared" si="311"/>
        <v>0</v>
      </c>
      <c r="Y243" s="1091">
        <f t="shared" si="312"/>
        <v>91700</v>
      </c>
      <c r="Z243" s="1091">
        <f t="shared" si="313"/>
        <v>0</v>
      </c>
      <c r="AA243" s="1091">
        <f t="shared" si="314"/>
        <v>91700</v>
      </c>
      <c r="AB243" s="1091">
        <f t="shared" si="315"/>
        <v>0</v>
      </c>
      <c r="AD243" s="650">
        <f t="shared" si="265"/>
        <v>0</v>
      </c>
      <c r="AI243" s="1277">
        <f>VLOOKUP(K243,'[2]ผลการเบิกจ่ายสะสม พ.ย. 66'!$C:$N,12,0)</f>
        <v>0</v>
      </c>
      <c r="AJ243" s="1274">
        <f t="shared" si="276"/>
        <v>0</v>
      </c>
    </row>
    <row r="244" spans="1:36" s="5" customFormat="1" ht="21" customHeight="1" outlineLevel="1" x14ac:dyDescent="0.2">
      <c r="A244" s="33"/>
      <c r="B244" s="34" t="s">
        <v>87</v>
      </c>
      <c r="C244" s="273"/>
      <c r="D244" s="1118">
        <f>SUM(D245:D257)</f>
        <v>13538200</v>
      </c>
      <c r="E244" s="1119">
        <f>SUM(E245:E257)</f>
        <v>668889.80000000005</v>
      </c>
      <c r="F244" s="1119"/>
      <c r="G244" s="1119"/>
      <c r="H244" s="1119">
        <f>SUM(H245:H257)</f>
        <v>4346500</v>
      </c>
      <c r="I244" s="1106">
        <v>6400000</v>
      </c>
      <c r="J244" s="1106">
        <f>SUM(J245:J257)</f>
        <v>2211000</v>
      </c>
      <c r="K244" s="1040" t="s">
        <v>1371</v>
      </c>
      <c r="L244" s="1065" t="s">
        <v>1428</v>
      </c>
      <c r="M244" s="1105">
        <f t="shared" ref="M244:U244" si="316">SUM(M245:M257)</f>
        <v>1659600</v>
      </c>
      <c r="N244" s="1105">
        <f>SUM(N245:N257)</f>
        <v>2211000</v>
      </c>
      <c r="O244" s="1105">
        <f t="shared" si="316"/>
        <v>0</v>
      </c>
      <c r="P244" s="1105">
        <f t="shared" si="316"/>
        <v>0</v>
      </c>
      <c r="Q244" s="1105">
        <f t="shared" si="316"/>
        <v>0</v>
      </c>
      <c r="R244" s="1105">
        <f t="shared" si="316"/>
        <v>0</v>
      </c>
      <c r="S244" s="1105">
        <f t="shared" si="316"/>
        <v>6420</v>
      </c>
      <c r="T244" s="1105">
        <f t="shared" si="316"/>
        <v>6420</v>
      </c>
      <c r="U244" s="1105">
        <f t="shared" si="316"/>
        <v>2204580</v>
      </c>
      <c r="V244" s="1105">
        <f t="shared" si="275"/>
        <v>0.29036635006784262</v>
      </c>
      <c r="W244" s="1105">
        <f t="shared" ref="W244:AB244" si="317">SUM(W245:W257)</f>
        <v>0</v>
      </c>
      <c r="X244" s="1105">
        <f t="shared" si="317"/>
        <v>6420</v>
      </c>
      <c r="Y244" s="1105">
        <f t="shared" si="317"/>
        <v>2204580</v>
      </c>
      <c r="Z244" s="1105">
        <f t="shared" si="317"/>
        <v>6420</v>
      </c>
      <c r="AA244" s="1105">
        <f t="shared" si="317"/>
        <v>2204580</v>
      </c>
      <c r="AB244" s="1105">
        <f t="shared" si="317"/>
        <v>0.30703012912482064</v>
      </c>
      <c r="AD244" s="650">
        <f t="shared" si="265"/>
        <v>0</v>
      </c>
      <c r="AI244" s="1277">
        <f>VLOOKUP(K244,'[2]ผลการเบิกจ่ายสะสม พ.ย. 66'!$C:$N,12,0)</f>
        <v>483919928.55000001</v>
      </c>
      <c r="AJ244" s="1274">
        <f t="shared" si="276"/>
        <v>483913508.55000001</v>
      </c>
    </row>
    <row r="245" spans="1:36" s="5" customFormat="1" ht="21" customHeight="1" outlineLevel="1" x14ac:dyDescent="0.2">
      <c r="A245" s="33"/>
      <c r="B245" s="57"/>
      <c r="C245" s="27" t="s">
        <v>52</v>
      </c>
      <c r="D245" s="1111">
        <v>50000</v>
      </c>
      <c r="E245" s="1109">
        <v>12572.5</v>
      </c>
      <c r="F245" s="1109"/>
      <c r="G245" s="1109"/>
      <c r="H245" s="1109">
        <v>16000</v>
      </c>
      <c r="I245" s="1110">
        <v>80000</v>
      </c>
      <c r="J245" s="1110">
        <v>10000</v>
      </c>
      <c r="K245" s="1033"/>
      <c r="L245" s="1033"/>
      <c r="M245" s="1160">
        <v>7600</v>
      </c>
      <c r="N245" s="1160">
        <v>10000</v>
      </c>
      <c r="O245" s="1160"/>
      <c r="P245" s="1160"/>
      <c r="Q245" s="1160"/>
      <c r="R245" s="1160"/>
      <c r="S245" s="1160"/>
      <c r="T245" s="1091">
        <f t="shared" ref="T245:T257" si="318">+R245+S245</f>
        <v>0</v>
      </c>
      <c r="U245" s="1091">
        <f t="shared" ref="U245:U257" si="319">+N245+O245-T245</f>
        <v>10000</v>
      </c>
      <c r="V245" s="1091">
        <f t="shared" si="275"/>
        <v>0</v>
      </c>
      <c r="W245" s="1091"/>
      <c r="X245" s="1091">
        <f t="shared" ref="X245:X257" si="320">+T245+Q245</f>
        <v>0</v>
      </c>
      <c r="Y245" s="1091">
        <f t="shared" ref="Y245:Y257" si="321">+U245-Q245</f>
        <v>10000</v>
      </c>
      <c r="Z245" s="1091">
        <f t="shared" ref="Z245:Z257" si="322">+T245+Q245+P245</f>
        <v>0</v>
      </c>
      <c r="AA245" s="1091">
        <f t="shared" ref="AA245:AA257" si="323">+U245-Q245-P245</f>
        <v>10000</v>
      </c>
      <c r="AB245" s="1091">
        <f t="shared" ref="AB245:AB257" si="324">IFERROR(Z245*100/(N245+O245),0)</f>
        <v>0</v>
      </c>
      <c r="AD245" s="650">
        <f t="shared" si="265"/>
        <v>0</v>
      </c>
      <c r="AI245" s="1277">
        <f>VLOOKUP(K245,'[2]ผลการเบิกจ่ายสะสม พ.ย. 66'!$C:$N,12,0)</f>
        <v>0</v>
      </c>
      <c r="AJ245" s="1274">
        <f t="shared" si="276"/>
        <v>0</v>
      </c>
    </row>
    <row r="246" spans="1:36" s="5" customFormat="1" ht="21" customHeight="1" outlineLevel="1" x14ac:dyDescent="0.2">
      <c r="A246" s="33"/>
      <c r="B246" s="57"/>
      <c r="C246" s="27" t="s">
        <v>49</v>
      </c>
      <c r="D246" s="1111">
        <v>40000</v>
      </c>
      <c r="E246" s="1109">
        <v>0</v>
      </c>
      <c r="F246" s="1109"/>
      <c r="G246" s="1109"/>
      <c r="H246" s="1109">
        <v>12800</v>
      </c>
      <c r="I246" s="1110">
        <v>50000</v>
      </c>
      <c r="J246" s="1110">
        <v>10000</v>
      </c>
      <c r="K246" s="1033"/>
      <c r="L246" s="1033"/>
      <c r="M246" s="1160">
        <v>7600</v>
      </c>
      <c r="N246" s="1160">
        <v>10000</v>
      </c>
      <c r="O246" s="1160"/>
      <c r="P246" s="1160"/>
      <c r="Q246" s="1160"/>
      <c r="R246" s="1160"/>
      <c r="S246" s="1160"/>
      <c r="T246" s="1091">
        <f t="shared" si="318"/>
        <v>0</v>
      </c>
      <c r="U246" s="1091">
        <f t="shared" si="319"/>
        <v>10000</v>
      </c>
      <c r="V246" s="1091">
        <f t="shared" si="275"/>
        <v>0</v>
      </c>
      <c r="W246" s="1091"/>
      <c r="X246" s="1091">
        <f t="shared" si="320"/>
        <v>0</v>
      </c>
      <c r="Y246" s="1091">
        <f t="shared" si="321"/>
        <v>10000</v>
      </c>
      <c r="Z246" s="1091">
        <f t="shared" si="322"/>
        <v>0</v>
      </c>
      <c r="AA246" s="1091">
        <f t="shared" si="323"/>
        <v>10000</v>
      </c>
      <c r="AB246" s="1091">
        <f t="shared" si="324"/>
        <v>0</v>
      </c>
      <c r="AD246" s="650">
        <f t="shared" si="265"/>
        <v>0</v>
      </c>
      <c r="AI246" s="1277">
        <f>VLOOKUP(K246,'[2]ผลการเบิกจ่ายสะสม พ.ย. 66'!$C:$N,12,0)</f>
        <v>0</v>
      </c>
      <c r="AJ246" s="1274">
        <f t="shared" si="276"/>
        <v>0</v>
      </c>
    </row>
    <row r="247" spans="1:36" s="5" customFormat="1" ht="21" customHeight="1" outlineLevel="1" x14ac:dyDescent="0.2">
      <c r="A247" s="33"/>
      <c r="B247" s="57"/>
      <c r="C247" s="27" t="s">
        <v>54</v>
      </c>
      <c r="D247" s="1111">
        <v>50000</v>
      </c>
      <c r="E247" s="1109">
        <v>0</v>
      </c>
      <c r="F247" s="1109"/>
      <c r="G247" s="1109"/>
      <c r="H247" s="1109">
        <v>16000</v>
      </c>
      <c r="I247" s="1110">
        <v>50000</v>
      </c>
      <c r="J247" s="1110">
        <v>10000</v>
      </c>
      <c r="K247" s="1033"/>
      <c r="L247" s="1033"/>
      <c r="M247" s="1160">
        <v>7600</v>
      </c>
      <c r="N247" s="1160">
        <v>10000</v>
      </c>
      <c r="O247" s="1160"/>
      <c r="P247" s="1160"/>
      <c r="Q247" s="1160"/>
      <c r="R247" s="1160"/>
      <c r="S247" s="1160"/>
      <c r="T247" s="1091">
        <f t="shared" si="318"/>
        <v>0</v>
      </c>
      <c r="U247" s="1091">
        <f t="shared" si="319"/>
        <v>10000</v>
      </c>
      <c r="V247" s="1091">
        <f t="shared" si="275"/>
        <v>0</v>
      </c>
      <c r="W247" s="1091"/>
      <c r="X247" s="1091">
        <f t="shared" si="320"/>
        <v>0</v>
      </c>
      <c r="Y247" s="1091">
        <f t="shared" si="321"/>
        <v>10000</v>
      </c>
      <c r="Z247" s="1091">
        <f t="shared" si="322"/>
        <v>0</v>
      </c>
      <c r="AA247" s="1091">
        <f t="shared" si="323"/>
        <v>10000</v>
      </c>
      <c r="AB247" s="1091">
        <f t="shared" si="324"/>
        <v>0</v>
      </c>
      <c r="AD247" s="650">
        <f t="shared" si="265"/>
        <v>0</v>
      </c>
      <c r="AI247" s="1277">
        <f>VLOOKUP(K247,'[2]ผลการเบิกจ่ายสะสม พ.ย. 66'!$C:$N,12,0)</f>
        <v>0</v>
      </c>
      <c r="AJ247" s="1274">
        <f t="shared" si="276"/>
        <v>0</v>
      </c>
    </row>
    <row r="248" spans="1:36" s="5" customFormat="1" ht="21" customHeight="1" outlineLevel="1" x14ac:dyDescent="0.2">
      <c r="A248" s="33"/>
      <c r="B248" s="57"/>
      <c r="C248" s="27" t="s">
        <v>66</v>
      </c>
      <c r="D248" s="1111">
        <v>25000</v>
      </c>
      <c r="E248" s="1109">
        <v>4055.3</v>
      </c>
      <c r="F248" s="1109"/>
      <c r="G248" s="1109"/>
      <c r="H248" s="1109">
        <v>8000</v>
      </c>
      <c r="I248" s="1110">
        <v>30000</v>
      </c>
      <c r="J248" s="1110">
        <v>10000</v>
      </c>
      <c r="K248" s="1033"/>
      <c r="L248" s="1033"/>
      <c r="M248" s="1160">
        <v>7600</v>
      </c>
      <c r="N248" s="1160">
        <v>10000</v>
      </c>
      <c r="O248" s="1160"/>
      <c r="P248" s="1160"/>
      <c r="Q248" s="1160"/>
      <c r="R248" s="1160"/>
      <c r="S248" s="1160"/>
      <c r="T248" s="1091">
        <f t="shared" si="318"/>
        <v>0</v>
      </c>
      <c r="U248" s="1091">
        <f t="shared" si="319"/>
        <v>10000</v>
      </c>
      <c r="V248" s="1091">
        <f t="shared" si="275"/>
        <v>0</v>
      </c>
      <c r="W248" s="1091"/>
      <c r="X248" s="1091">
        <f t="shared" si="320"/>
        <v>0</v>
      </c>
      <c r="Y248" s="1091">
        <f t="shared" si="321"/>
        <v>10000</v>
      </c>
      <c r="Z248" s="1091">
        <f t="shared" si="322"/>
        <v>0</v>
      </c>
      <c r="AA248" s="1091">
        <f t="shared" si="323"/>
        <v>10000</v>
      </c>
      <c r="AB248" s="1091">
        <f t="shared" si="324"/>
        <v>0</v>
      </c>
      <c r="AD248" s="650">
        <f t="shared" si="265"/>
        <v>0</v>
      </c>
      <c r="AI248" s="1277">
        <f>VLOOKUP(K248,'[2]ผลการเบิกจ่ายสะสม พ.ย. 66'!$C:$N,12,0)</f>
        <v>0</v>
      </c>
      <c r="AJ248" s="1274">
        <f t="shared" si="276"/>
        <v>0</v>
      </c>
    </row>
    <row r="249" spans="1:36" s="5" customFormat="1" ht="21" customHeight="1" outlineLevel="1" x14ac:dyDescent="0.2">
      <c r="A249" s="33"/>
      <c r="B249" s="57"/>
      <c r="C249" s="27" t="s">
        <v>80</v>
      </c>
      <c r="D249" s="1111">
        <v>150200</v>
      </c>
      <c r="E249" s="1109">
        <v>42907</v>
      </c>
      <c r="F249" s="1109"/>
      <c r="G249" s="1109"/>
      <c r="H249" s="1109">
        <v>48200</v>
      </c>
      <c r="I249" s="1110">
        <v>150000</v>
      </c>
      <c r="J249" s="1110">
        <v>10000</v>
      </c>
      <c r="K249" s="1033"/>
      <c r="L249" s="1033"/>
      <c r="M249" s="1160">
        <v>7600</v>
      </c>
      <c r="N249" s="1160">
        <v>10000</v>
      </c>
      <c r="O249" s="1160"/>
      <c r="P249" s="1160"/>
      <c r="Q249" s="1160"/>
      <c r="R249" s="1160"/>
      <c r="S249" s="1160"/>
      <c r="T249" s="1091">
        <f t="shared" si="318"/>
        <v>0</v>
      </c>
      <c r="U249" s="1091">
        <f t="shared" si="319"/>
        <v>10000</v>
      </c>
      <c r="V249" s="1091">
        <f t="shared" si="275"/>
        <v>0</v>
      </c>
      <c r="W249" s="1091"/>
      <c r="X249" s="1091">
        <f t="shared" si="320"/>
        <v>0</v>
      </c>
      <c r="Y249" s="1091">
        <f t="shared" si="321"/>
        <v>10000</v>
      </c>
      <c r="Z249" s="1091">
        <f t="shared" si="322"/>
        <v>0</v>
      </c>
      <c r="AA249" s="1091">
        <f t="shared" si="323"/>
        <v>10000</v>
      </c>
      <c r="AB249" s="1091">
        <f t="shared" si="324"/>
        <v>0</v>
      </c>
      <c r="AD249" s="650">
        <f t="shared" si="265"/>
        <v>0</v>
      </c>
      <c r="AI249" s="1277">
        <f>VLOOKUP(K249,'[2]ผลการเบิกจ่ายสะสม พ.ย. 66'!$C:$N,12,0)</f>
        <v>0</v>
      </c>
      <c r="AJ249" s="1274">
        <f t="shared" si="276"/>
        <v>0</v>
      </c>
    </row>
    <row r="250" spans="1:36" s="5" customFormat="1" ht="21" customHeight="1" outlineLevel="1" x14ac:dyDescent="0.2">
      <c r="A250" s="33"/>
      <c r="B250" s="57"/>
      <c r="C250" s="27" t="s">
        <v>63</v>
      </c>
      <c r="D250" s="1111">
        <v>100000</v>
      </c>
      <c r="E250" s="1109">
        <v>16513.5</v>
      </c>
      <c r="F250" s="1109"/>
      <c r="G250" s="1109"/>
      <c r="H250" s="1109">
        <v>32100</v>
      </c>
      <c r="I250" s="1110">
        <v>100000</v>
      </c>
      <c r="J250" s="1110">
        <v>10000</v>
      </c>
      <c r="K250" s="1033"/>
      <c r="L250" s="1033"/>
      <c r="M250" s="1160">
        <v>7600</v>
      </c>
      <c r="N250" s="1160">
        <v>10000</v>
      </c>
      <c r="O250" s="1160"/>
      <c r="P250" s="1160"/>
      <c r="Q250" s="1160"/>
      <c r="R250" s="1160"/>
      <c r="S250" s="1160"/>
      <c r="T250" s="1091">
        <f t="shared" si="318"/>
        <v>0</v>
      </c>
      <c r="U250" s="1091">
        <f t="shared" si="319"/>
        <v>10000</v>
      </c>
      <c r="V250" s="1091">
        <f t="shared" si="275"/>
        <v>0</v>
      </c>
      <c r="W250" s="1091"/>
      <c r="X250" s="1091">
        <f t="shared" si="320"/>
        <v>0</v>
      </c>
      <c r="Y250" s="1091">
        <f t="shared" si="321"/>
        <v>10000</v>
      </c>
      <c r="Z250" s="1091">
        <f t="shared" si="322"/>
        <v>0</v>
      </c>
      <c r="AA250" s="1091">
        <f t="shared" si="323"/>
        <v>10000</v>
      </c>
      <c r="AB250" s="1091">
        <f t="shared" si="324"/>
        <v>0</v>
      </c>
      <c r="AD250" s="650">
        <f t="shared" si="265"/>
        <v>0</v>
      </c>
      <c r="AI250" s="1277">
        <f>VLOOKUP(K250,'[2]ผลการเบิกจ่ายสะสม พ.ย. 66'!$C:$N,12,0)</f>
        <v>0</v>
      </c>
      <c r="AJ250" s="1274">
        <f t="shared" si="276"/>
        <v>0</v>
      </c>
    </row>
    <row r="251" spans="1:36" s="5" customFormat="1" ht="21" customHeight="1" outlineLevel="1" x14ac:dyDescent="0.2">
      <c r="A251" s="33"/>
      <c r="B251" s="57"/>
      <c r="C251" s="27" t="s">
        <v>61</v>
      </c>
      <c r="D251" s="1111">
        <v>100000</v>
      </c>
      <c r="E251" s="1109">
        <v>5000</v>
      </c>
      <c r="F251" s="1109"/>
      <c r="G251" s="1109"/>
      <c r="H251" s="1109">
        <v>32100</v>
      </c>
      <c r="I251" s="1110">
        <v>150000</v>
      </c>
      <c r="J251" s="1110">
        <v>10000</v>
      </c>
      <c r="K251" s="1033"/>
      <c r="L251" s="1033"/>
      <c r="M251" s="1160">
        <v>7600</v>
      </c>
      <c r="N251" s="1160">
        <v>10000</v>
      </c>
      <c r="O251" s="1160"/>
      <c r="P251" s="1160"/>
      <c r="Q251" s="1160"/>
      <c r="R251" s="1160"/>
      <c r="S251" s="1160"/>
      <c r="T251" s="1091">
        <f t="shared" si="318"/>
        <v>0</v>
      </c>
      <c r="U251" s="1091">
        <f t="shared" si="319"/>
        <v>10000</v>
      </c>
      <c r="V251" s="1091">
        <f t="shared" si="275"/>
        <v>0</v>
      </c>
      <c r="W251" s="1091"/>
      <c r="X251" s="1091">
        <f t="shared" si="320"/>
        <v>0</v>
      </c>
      <c r="Y251" s="1091">
        <f t="shared" si="321"/>
        <v>10000</v>
      </c>
      <c r="Z251" s="1091">
        <f t="shared" si="322"/>
        <v>0</v>
      </c>
      <c r="AA251" s="1091">
        <f t="shared" si="323"/>
        <v>10000</v>
      </c>
      <c r="AB251" s="1091">
        <f t="shared" si="324"/>
        <v>0</v>
      </c>
      <c r="AD251" s="650">
        <f t="shared" si="265"/>
        <v>0</v>
      </c>
      <c r="AI251" s="1277">
        <f>VLOOKUP(K251,'[2]ผลการเบิกจ่ายสะสม พ.ย. 66'!$C:$N,12,0)</f>
        <v>0</v>
      </c>
      <c r="AJ251" s="1274">
        <f t="shared" si="276"/>
        <v>0</v>
      </c>
    </row>
    <row r="252" spans="1:36" s="5" customFormat="1" ht="21" customHeight="1" outlineLevel="1" x14ac:dyDescent="0.2">
      <c r="A252" s="33"/>
      <c r="B252" s="57"/>
      <c r="C252" s="27" t="s">
        <v>51</v>
      </c>
      <c r="D252" s="1111">
        <v>200000</v>
      </c>
      <c r="E252" s="1109">
        <v>0</v>
      </c>
      <c r="F252" s="1109"/>
      <c r="G252" s="1109"/>
      <c r="H252" s="1109">
        <v>61200</v>
      </c>
      <c r="I252" s="1110">
        <v>200000</v>
      </c>
      <c r="J252" s="1110">
        <v>10000</v>
      </c>
      <c r="K252" s="1033"/>
      <c r="L252" s="1033"/>
      <c r="M252" s="1160">
        <v>7600</v>
      </c>
      <c r="N252" s="1160">
        <v>10000</v>
      </c>
      <c r="O252" s="1160"/>
      <c r="P252" s="1160"/>
      <c r="Q252" s="1160"/>
      <c r="R252" s="1160"/>
      <c r="S252" s="1160"/>
      <c r="T252" s="1091">
        <f t="shared" si="318"/>
        <v>0</v>
      </c>
      <c r="U252" s="1091">
        <f t="shared" si="319"/>
        <v>10000</v>
      </c>
      <c r="V252" s="1091">
        <f t="shared" si="275"/>
        <v>0</v>
      </c>
      <c r="W252" s="1091"/>
      <c r="X252" s="1091">
        <f t="shared" si="320"/>
        <v>0</v>
      </c>
      <c r="Y252" s="1091">
        <f t="shared" si="321"/>
        <v>10000</v>
      </c>
      <c r="Z252" s="1091">
        <f t="shared" si="322"/>
        <v>0</v>
      </c>
      <c r="AA252" s="1091">
        <f t="shared" si="323"/>
        <v>10000</v>
      </c>
      <c r="AB252" s="1091">
        <f t="shared" si="324"/>
        <v>0</v>
      </c>
      <c r="AD252" s="650">
        <f t="shared" si="265"/>
        <v>0</v>
      </c>
      <c r="AI252" s="1277">
        <f>VLOOKUP(K252,'[2]ผลการเบิกจ่ายสะสม พ.ย. 66'!$C:$N,12,0)</f>
        <v>0</v>
      </c>
      <c r="AJ252" s="1274">
        <f t="shared" si="276"/>
        <v>0</v>
      </c>
    </row>
    <row r="253" spans="1:36" s="5" customFormat="1" ht="21" customHeight="1" outlineLevel="1" x14ac:dyDescent="0.2">
      <c r="A253" s="33"/>
      <c r="B253" s="57"/>
      <c r="C253" s="27" t="s">
        <v>62</v>
      </c>
      <c r="D253" s="1111">
        <v>120000</v>
      </c>
      <c r="E253" s="1109">
        <v>0</v>
      </c>
      <c r="F253" s="1109"/>
      <c r="G253" s="1109"/>
      <c r="H253" s="1109">
        <v>38500</v>
      </c>
      <c r="I253" s="1110">
        <v>150000</v>
      </c>
      <c r="J253" s="1110">
        <v>10000</v>
      </c>
      <c r="K253" s="1033"/>
      <c r="L253" s="1033"/>
      <c r="M253" s="1160">
        <v>7600</v>
      </c>
      <c r="N253" s="1160">
        <v>10000</v>
      </c>
      <c r="O253" s="1160"/>
      <c r="P253" s="1160"/>
      <c r="Q253" s="1160"/>
      <c r="R253" s="1160"/>
      <c r="S253" s="1160"/>
      <c r="T253" s="1091">
        <f t="shared" si="318"/>
        <v>0</v>
      </c>
      <c r="U253" s="1091">
        <f t="shared" si="319"/>
        <v>10000</v>
      </c>
      <c r="V253" s="1091">
        <f t="shared" si="275"/>
        <v>0</v>
      </c>
      <c r="W253" s="1091"/>
      <c r="X253" s="1091">
        <f t="shared" si="320"/>
        <v>0</v>
      </c>
      <c r="Y253" s="1091">
        <f t="shared" si="321"/>
        <v>10000</v>
      </c>
      <c r="Z253" s="1091">
        <f t="shared" si="322"/>
        <v>0</v>
      </c>
      <c r="AA253" s="1091">
        <f t="shared" si="323"/>
        <v>10000</v>
      </c>
      <c r="AB253" s="1091">
        <f t="shared" si="324"/>
        <v>0</v>
      </c>
      <c r="AD253" s="650">
        <f t="shared" si="265"/>
        <v>0</v>
      </c>
      <c r="AI253" s="1277">
        <f>VLOOKUP(K253,'[2]ผลการเบิกจ่ายสะสม พ.ย. 66'!$C:$N,12,0)</f>
        <v>0</v>
      </c>
      <c r="AJ253" s="1274">
        <f t="shared" si="276"/>
        <v>0</v>
      </c>
    </row>
    <row r="254" spans="1:36" s="5" customFormat="1" ht="21" customHeight="1" outlineLevel="1" x14ac:dyDescent="0.2">
      <c r="A254" s="33"/>
      <c r="B254" s="57"/>
      <c r="C254" s="27" t="s">
        <v>43</v>
      </c>
      <c r="D254" s="1111">
        <v>250000</v>
      </c>
      <c r="E254" s="1109">
        <v>27071</v>
      </c>
      <c r="F254" s="1109"/>
      <c r="G254" s="1109"/>
      <c r="H254" s="1109">
        <v>80300</v>
      </c>
      <c r="I254" s="1110">
        <v>150000</v>
      </c>
      <c r="J254" s="1110">
        <v>10000</v>
      </c>
      <c r="K254" s="1033"/>
      <c r="L254" s="1033"/>
      <c r="M254" s="1160">
        <v>7600</v>
      </c>
      <c r="N254" s="1160">
        <v>10000</v>
      </c>
      <c r="O254" s="1160"/>
      <c r="P254" s="1160"/>
      <c r="Q254" s="1160"/>
      <c r="R254" s="1160"/>
      <c r="S254" s="1160"/>
      <c r="T254" s="1091">
        <f t="shared" si="318"/>
        <v>0</v>
      </c>
      <c r="U254" s="1091">
        <f t="shared" si="319"/>
        <v>10000</v>
      </c>
      <c r="V254" s="1091">
        <f t="shared" si="275"/>
        <v>0</v>
      </c>
      <c r="W254" s="1091"/>
      <c r="X254" s="1091">
        <f t="shared" si="320"/>
        <v>0</v>
      </c>
      <c r="Y254" s="1091">
        <f t="shared" si="321"/>
        <v>10000</v>
      </c>
      <c r="Z254" s="1091">
        <f t="shared" si="322"/>
        <v>0</v>
      </c>
      <c r="AA254" s="1091">
        <f t="shared" si="323"/>
        <v>10000</v>
      </c>
      <c r="AB254" s="1091">
        <f t="shared" si="324"/>
        <v>0</v>
      </c>
      <c r="AD254" s="650">
        <f t="shared" si="265"/>
        <v>0</v>
      </c>
      <c r="AI254" s="1277">
        <f>VLOOKUP(K254,'[2]ผลการเบิกจ่ายสะสม พ.ย. 66'!$C:$N,12,0)</f>
        <v>0</v>
      </c>
      <c r="AJ254" s="1274">
        <f t="shared" si="276"/>
        <v>0</v>
      </c>
    </row>
    <row r="255" spans="1:36" s="5" customFormat="1" ht="21" customHeight="1" outlineLevel="1" x14ac:dyDescent="0.2">
      <c r="A255" s="33"/>
      <c r="B255" s="57"/>
      <c r="C255" s="27" t="s">
        <v>50</v>
      </c>
      <c r="D255" s="1111">
        <v>300000</v>
      </c>
      <c r="E255" s="1109">
        <v>39000</v>
      </c>
      <c r="F255" s="1109"/>
      <c r="G255" s="1109"/>
      <c r="H255" s="1109">
        <v>96300</v>
      </c>
      <c r="I255" s="1110">
        <v>300000</v>
      </c>
      <c r="J255" s="1110">
        <v>10000</v>
      </c>
      <c r="K255" s="1033"/>
      <c r="L255" s="1033"/>
      <c r="M255" s="1160">
        <v>7600</v>
      </c>
      <c r="N255" s="1160">
        <v>10000</v>
      </c>
      <c r="O255" s="1160"/>
      <c r="P255" s="1160"/>
      <c r="Q255" s="1160"/>
      <c r="R255" s="1160"/>
      <c r="S255" s="1160"/>
      <c r="T255" s="1091">
        <f t="shared" si="318"/>
        <v>0</v>
      </c>
      <c r="U255" s="1091">
        <f t="shared" si="319"/>
        <v>10000</v>
      </c>
      <c r="V255" s="1091">
        <f t="shared" si="275"/>
        <v>0</v>
      </c>
      <c r="W255" s="1091"/>
      <c r="X255" s="1091">
        <f t="shared" si="320"/>
        <v>0</v>
      </c>
      <c r="Y255" s="1091">
        <f t="shared" si="321"/>
        <v>10000</v>
      </c>
      <c r="Z255" s="1091">
        <f t="shared" si="322"/>
        <v>0</v>
      </c>
      <c r="AA255" s="1091">
        <f t="shared" si="323"/>
        <v>10000</v>
      </c>
      <c r="AB255" s="1091">
        <f t="shared" si="324"/>
        <v>0</v>
      </c>
      <c r="AD255" s="650">
        <f t="shared" si="265"/>
        <v>0</v>
      </c>
      <c r="AI255" s="1277">
        <f>VLOOKUP(K255,'[2]ผลการเบิกจ่ายสะสม พ.ย. 66'!$C:$N,12,0)</f>
        <v>0</v>
      </c>
      <c r="AJ255" s="1274">
        <f t="shared" si="276"/>
        <v>0</v>
      </c>
    </row>
    <row r="256" spans="1:36" s="5" customFormat="1" ht="21" customHeight="1" outlineLevel="1" x14ac:dyDescent="0.2">
      <c r="A256" s="33"/>
      <c r="B256" s="57"/>
      <c r="C256" s="27" t="s">
        <v>42</v>
      </c>
      <c r="D256" s="1111">
        <v>100000</v>
      </c>
      <c r="E256" s="1109">
        <v>46634</v>
      </c>
      <c r="F256" s="1109"/>
      <c r="G256" s="1109"/>
      <c r="H256" s="1109">
        <v>32100</v>
      </c>
      <c r="I256" s="1110">
        <v>100000</v>
      </c>
      <c r="J256" s="1110">
        <v>10000</v>
      </c>
      <c r="K256" s="1033"/>
      <c r="L256" s="1033"/>
      <c r="M256" s="1160">
        <v>7600</v>
      </c>
      <c r="N256" s="1160">
        <v>10000</v>
      </c>
      <c r="O256" s="1160"/>
      <c r="P256" s="1160"/>
      <c r="Q256" s="1160"/>
      <c r="R256" s="1160"/>
      <c r="S256" s="1160"/>
      <c r="T256" s="1091">
        <f t="shared" si="318"/>
        <v>0</v>
      </c>
      <c r="U256" s="1091">
        <f t="shared" si="319"/>
        <v>10000</v>
      </c>
      <c r="V256" s="1091">
        <f t="shared" si="275"/>
        <v>0</v>
      </c>
      <c r="W256" s="1091"/>
      <c r="X256" s="1091">
        <f t="shared" si="320"/>
        <v>0</v>
      </c>
      <c r="Y256" s="1091">
        <f t="shared" si="321"/>
        <v>10000</v>
      </c>
      <c r="Z256" s="1091">
        <f t="shared" si="322"/>
        <v>0</v>
      </c>
      <c r="AA256" s="1091">
        <f t="shared" si="323"/>
        <v>10000</v>
      </c>
      <c r="AB256" s="1091">
        <f t="shared" si="324"/>
        <v>0</v>
      </c>
      <c r="AD256" s="650">
        <f t="shared" si="265"/>
        <v>0</v>
      </c>
      <c r="AI256" s="1277">
        <f>VLOOKUP(K256,'[2]ผลการเบิกจ่ายสะสม พ.ย. 66'!$C:$N,12,0)</f>
        <v>0</v>
      </c>
      <c r="AJ256" s="1274">
        <f t="shared" si="276"/>
        <v>0</v>
      </c>
    </row>
    <row r="257" spans="1:36" s="5" customFormat="1" ht="21" customHeight="1" outlineLevel="1" x14ac:dyDescent="0.2">
      <c r="A257" s="33"/>
      <c r="B257" s="57"/>
      <c r="C257" s="27" t="s">
        <v>81</v>
      </c>
      <c r="D257" s="1111">
        <v>12053000</v>
      </c>
      <c r="E257" s="1109">
        <v>475136.5</v>
      </c>
      <c r="F257" s="1109"/>
      <c r="G257" s="1109"/>
      <c r="H257" s="1109">
        <v>3872900</v>
      </c>
      <c r="I257" s="1110">
        <v>4890000</v>
      </c>
      <c r="J257" s="1110">
        <v>2091000</v>
      </c>
      <c r="K257" s="1033"/>
      <c r="L257" s="1033"/>
      <c r="M257" s="1160">
        <v>1568400</v>
      </c>
      <c r="N257" s="1160">
        <v>2091000</v>
      </c>
      <c r="O257" s="1160"/>
      <c r="P257" s="1160"/>
      <c r="Q257" s="1160"/>
      <c r="R257" s="1160"/>
      <c r="S257" s="1289">
        <v>6420</v>
      </c>
      <c r="T257" s="1091">
        <f t="shared" si="318"/>
        <v>6420</v>
      </c>
      <c r="U257" s="1091">
        <f t="shared" si="319"/>
        <v>2084580</v>
      </c>
      <c r="V257" s="1091">
        <f t="shared" si="275"/>
        <v>0.30703012912482064</v>
      </c>
      <c r="W257" s="1091"/>
      <c r="X257" s="1091">
        <f t="shared" si="320"/>
        <v>6420</v>
      </c>
      <c r="Y257" s="1091">
        <f t="shared" si="321"/>
        <v>2084580</v>
      </c>
      <c r="Z257" s="1091">
        <f t="shared" si="322"/>
        <v>6420</v>
      </c>
      <c r="AA257" s="1091">
        <f t="shared" si="323"/>
        <v>2084580</v>
      </c>
      <c r="AB257" s="1091">
        <f t="shared" si="324"/>
        <v>0.30703012912482064</v>
      </c>
      <c r="AD257" s="650">
        <f t="shared" si="265"/>
        <v>0</v>
      </c>
      <c r="AI257" s="1277">
        <f>VLOOKUP(K257,'[2]ผลการเบิกจ่ายสะสม พ.ย. 66'!$C:$N,12,0)</f>
        <v>0</v>
      </c>
      <c r="AJ257" s="1274">
        <f t="shared" si="276"/>
        <v>-6420</v>
      </c>
    </row>
    <row r="258" spans="1:36" s="5" customFormat="1" ht="21" customHeight="1" outlineLevel="1" x14ac:dyDescent="0.2">
      <c r="A258" s="33"/>
      <c r="B258" s="34" t="s">
        <v>88</v>
      </c>
      <c r="C258" s="273"/>
      <c r="D258" s="1118">
        <f>SUM(D259:D271)</f>
        <v>15841200</v>
      </c>
      <c r="E258" s="1119">
        <f>SUM(E259:E271)</f>
        <v>9814719.7800000012</v>
      </c>
      <c r="F258" s="1119"/>
      <c r="G258" s="1119"/>
      <c r="H258" s="1119">
        <f>SUM(H259:H271)</f>
        <v>9269400</v>
      </c>
      <c r="I258" s="1106">
        <v>28426700</v>
      </c>
      <c r="J258" s="1106">
        <f>SUM(J259:J271)</f>
        <v>9814700</v>
      </c>
      <c r="K258" s="1040" t="s">
        <v>1371</v>
      </c>
      <c r="L258" s="1065" t="s">
        <v>1428</v>
      </c>
      <c r="M258" s="1105">
        <f t="shared" ref="M258:U258" si="325">SUM(M259:M271)</f>
        <v>4909400</v>
      </c>
      <c r="N258" s="1105">
        <f>SUM(N259:N271)</f>
        <v>9814700</v>
      </c>
      <c r="O258" s="1105">
        <f t="shared" si="325"/>
        <v>1528900</v>
      </c>
      <c r="P258" s="1105">
        <f t="shared" si="325"/>
        <v>0</v>
      </c>
      <c r="Q258" s="1105">
        <f t="shared" si="325"/>
        <v>0</v>
      </c>
      <c r="R258" s="1105">
        <f t="shared" si="325"/>
        <v>0</v>
      </c>
      <c r="S258" s="1105">
        <f t="shared" si="325"/>
        <v>0</v>
      </c>
      <c r="T258" s="1105">
        <f t="shared" si="325"/>
        <v>0</v>
      </c>
      <c r="U258" s="1105">
        <f t="shared" si="325"/>
        <v>11343600</v>
      </c>
      <c r="V258" s="1105">
        <f t="shared" si="275"/>
        <v>0</v>
      </c>
      <c r="W258" s="1105">
        <f t="shared" ref="W258:AB258" si="326">SUM(W259:W271)</f>
        <v>0</v>
      </c>
      <c r="X258" s="1105">
        <f t="shared" si="326"/>
        <v>0</v>
      </c>
      <c r="Y258" s="1105">
        <f t="shared" si="326"/>
        <v>11343600</v>
      </c>
      <c r="Z258" s="1105">
        <f t="shared" si="326"/>
        <v>0</v>
      </c>
      <c r="AA258" s="1105">
        <f t="shared" si="326"/>
        <v>11343600</v>
      </c>
      <c r="AB258" s="1105">
        <f t="shared" si="326"/>
        <v>0</v>
      </c>
      <c r="AD258" s="650">
        <f t="shared" si="265"/>
        <v>0</v>
      </c>
      <c r="AI258" s="1277">
        <f>VLOOKUP(K258,'[2]ผลการเบิกจ่ายสะสม พ.ย. 66'!$C:$N,12,0)</f>
        <v>483919928.55000001</v>
      </c>
      <c r="AJ258" s="1274">
        <f t="shared" si="276"/>
        <v>483919928.55000001</v>
      </c>
    </row>
    <row r="259" spans="1:36" s="5" customFormat="1" ht="21" customHeight="1" outlineLevel="1" x14ac:dyDescent="0.2">
      <c r="A259" s="33"/>
      <c r="B259" s="57"/>
      <c r="C259" s="27" t="s">
        <v>52</v>
      </c>
      <c r="D259" s="1111">
        <v>300000</v>
      </c>
      <c r="E259" s="1109">
        <v>133556.16</v>
      </c>
      <c r="F259" s="1109"/>
      <c r="G259" s="1109"/>
      <c r="H259" s="1109">
        <v>175500</v>
      </c>
      <c r="I259" s="1110">
        <v>300000</v>
      </c>
      <c r="J259" s="1110">
        <v>175500</v>
      </c>
      <c r="K259" s="1033"/>
      <c r="L259" s="1033"/>
      <c r="M259" s="1160">
        <v>87900</v>
      </c>
      <c r="N259" s="1160">
        <v>175500</v>
      </c>
      <c r="O259" s="1160"/>
      <c r="P259" s="1160"/>
      <c r="Q259" s="1160"/>
      <c r="R259" s="1160"/>
      <c r="S259" s="1160"/>
      <c r="T259" s="1091">
        <f t="shared" ref="T259:T271" si="327">+R259+S259</f>
        <v>0</v>
      </c>
      <c r="U259" s="1091">
        <f t="shared" ref="U259:U271" si="328">+N259+O259-T259</f>
        <v>175500</v>
      </c>
      <c r="V259" s="1091">
        <f t="shared" si="275"/>
        <v>0</v>
      </c>
      <c r="W259" s="1091"/>
      <c r="X259" s="1091">
        <f t="shared" ref="X259:X271" si="329">+T259+Q259</f>
        <v>0</v>
      </c>
      <c r="Y259" s="1091">
        <f t="shared" ref="Y259:Y271" si="330">+U259-Q259</f>
        <v>175500</v>
      </c>
      <c r="Z259" s="1091">
        <f t="shared" ref="Z259:Z271" si="331">+T259+Q259+P259</f>
        <v>0</v>
      </c>
      <c r="AA259" s="1091">
        <f t="shared" ref="AA259:AA271" si="332">+U259-Q259-P259</f>
        <v>175500</v>
      </c>
      <c r="AB259" s="1091">
        <f t="shared" ref="AB259:AB271" si="333">IFERROR(Z259*100/(N259+O259),0)</f>
        <v>0</v>
      </c>
      <c r="AD259" s="650">
        <f t="shared" si="265"/>
        <v>0</v>
      </c>
      <c r="AI259" s="1277">
        <f>VLOOKUP(K259,'[2]ผลการเบิกจ่ายสะสม พ.ย. 66'!$C:$N,12,0)</f>
        <v>0</v>
      </c>
      <c r="AJ259" s="1274">
        <f t="shared" si="276"/>
        <v>0</v>
      </c>
    </row>
    <row r="260" spans="1:36" s="5" customFormat="1" ht="21" customHeight="1" outlineLevel="1" x14ac:dyDescent="0.2">
      <c r="A260" s="33"/>
      <c r="B260" s="57"/>
      <c r="C260" s="27" t="s">
        <v>49</v>
      </c>
      <c r="D260" s="1111">
        <v>300000</v>
      </c>
      <c r="E260" s="1109">
        <v>74604.399999999994</v>
      </c>
      <c r="F260" s="1109"/>
      <c r="G260" s="1109"/>
      <c r="H260" s="1109">
        <v>175500</v>
      </c>
      <c r="I260" s="1110">
        <v>300000</v>
      </c>
      <c r="J260" s="1110">
        <v>175500</v>
      </c>
      <c r="K260" s="1033"/>
      <c r="L260" s="1033"/>
      <c r="M260" s="1160">
        <v>87900</v>
      </c>
      <c r="N260" s="1160">
        <v>175500</v>
      </c>
      <c r="O260" s="1160"/>
      <c r="P260" s="1160"/>
      <c r="Q260" s="1160"/>
      <c r="R260" s="1160"/>
      <c r="S260" s="1160"/>
      <c r="T260" s="1091">
        <f t="shared" si="327"/>
        <v>0</v>
      </c>
      <c r="U260" s="1091">
        <f t="shared" si="328"/>
        <v>175500</v>
      </c>
      <c r="V260" s="1091">
        <f t="shared" si="275"/>
        <v>0</v>
      </c>
      <c r="W260" s="1091"/>
      <c r="X260" s="1091">
        <f t="shared" si="329"/>
        <v>0</v>
      </c>
      <c r="Y260" s="1091">
        <f t="shared" si="330"/>
        <v>175500</v>
      </c>
      <c r="Z260" s="1091">
        <f t="shared" si="331"/>
        <v>0</v>
      </c>
      <c r="AA260" s="1091">
        <f t="shared" si="332"/>
        <v>175500</v>
      </c>
      <c r="AB260" s="1091">
        <f t="shared" si="333"/>
        <v>0</v>
      </c>
      <c r="AD260" s="650">
        <f t="shared" si="265"/>
        <v>0</v>
      </c>
      <c r="AI260" s="1277">
        <f>VLOOKUP(K260,'[2]ผลการเบิกจ่ายสะสม พ.ย. 66'!$C:$N,12,0)</f>
        <v>0</v>
      </c>
      <c r="AJ260" s="1274">
        <f t="shared" si="276"/>
        <v>0</v>
      </c>
    </row>
    <row r="261" spans="1:36" s="5" customFormat="1" ht="21" customHeight="1" outlineLevel="1" x14ac:dyDescent="0.2">
      <c r="A261" s="33"/>
      <c r="B261" s="57"/>
      <c r="C261" s="27" t="s">
        <v>54</v>
      </c>
      <c r="D261" s="1111">
        <v>100000</v>
      </c>
      <c r="E261" s="1109">
        <v>24032.959999999999</v>
      </c>
      <c r="F261" s="1109"/>
      <c r="G261" s="1109"/>
      <c r="H261" s="1109">
        <v>58500</v>
      </c>
      <c r="I261" s="1110">
        <v>108000</v>
      </c>
      <c r="J261" s="1110">
        <v>58500</v>
      </c>
      <c r="K261" s="1033"/>
      <c r="L261" s="1033"/>
      <c r="M261" s="1160">
        <v>29400</v>
      </c>
      <c r="N261" s="1160">
        <v>58500</v>
      </c>
      <c r="O261" s="1160"/>
      <c r="P261" s="1160"/>
      <c r="Q261" s="1160"/>
      <c r="R261" s="1160"/>
      <c r="S261" s="1160"/>
      <c r="T261" s="1091">
        <f t="shared" si="327"/>
        <v>0</v>
      </c>
      <c r="U261" s="1091">
        <f t="shared" si="328"/>
        <v>58500</v>
      </c>
      <c r="V261" s="1091">
        <f t="shared" si="275"/>
        <v>0</v>
      </c>
      <c r="W261" s="1091"/>
      <c r="X261" s="1091">
        <f t="shared" si="329"/>
        <v>0</v>
      </c>
      <c r="Y261" s="1091">
        <f t="shared" si="330"/>
        <v>58500</v>
      </c>
      <c r="Z261" s="1091">
        <f t="shared" si="331"/>
        <v>0</v>
      </c>
      <c r="AA261" s="1091">
        <f t="shared" si="332"/>
        <v>58500</v>
      </c>
      <c r="AB261" s="1091">
        <f t="shared" si="333"/>
        <v>0</v>
      </c>
      <c r="AD261" s="650">
        <f t="shared" si="265"/>
        <v>0</v>
      </c>
      <c r="AI261" s="1277">
        <f>VLOOKUP(K261,'[2]ผลการเบิกจ่ายสะสม พ.ย. 66'!$C:$N,12,0)</f>
        <v>0</v>
      </c>
      <c r="AJ261" s="1274">
        <f t="shared" si="276"/>
        <v>0</v>
      </c>
    </row>
    <row r="262" spans="1:36" s="5" customFormat="1" ht="21" customHeight="1" outlineLevel="1" x14ac:dyDescent="0.2">
      <c r="A262" s="33"/>
      <c r="B262" s="57"/>
      <c r="C262" s="27" t="s">
        <v>53</v>
      </c>
      <c r="D262" s="1111">
        <v>120000</v>
      </c>
      <c r="E262" s="1109">
        <v>43811.8</v>
      </c>
      <c r="F262" s="1109"/>
      <c r="G262" s="1109"/>
      <c r="H262" s="1109">
        <v>70200</v>
      </c>
      <c r="I262" s="1110">
        <v>144000</v>
      </c>
      <c r="J262" s="1110">
        <v>70200</v>
      </c>
      <c r="K262" s="1033"/>
      <c r="L262" s="1033"/>
      <c r="M262" s="1160">
        <v>35400</v>
      </c>
      <c r="N262" s="1160">
        <v>70200</v>
      </c>
      <c r="O262" s="1160"/>
      <c r="P262" s="1160"/>
      <c r="Q262" s="1160"/>
      <c r="R262" s="1160"/>
      <c r="S262" s="1160"/>
      <c r="T262" s="1091">
        <f t="shared" si="327"/>
        <v>0</v>
      </c>
      <c r="U262" s="1091">
        <f t="shared" si="328"/>
        <v>70200</v>
      </c>
      <c r="V262" s="1091">
        <f t="shared" si="275"/>
        <v>0</v>
      </c>
      <c r="W262" s="1091"/>
      <c r="X262" s="1091">
        <f t="shared" si="329"/>
        <v>0</v>
      </c>
      <c r="Y262" s="1091">
        <f t="shared" si="330"/>
        <v>70200</v>
      </c>
      <c r="Z262" s="1091">
        <f t="shared" si="331"/>
        <v>0</v>
      </c>
      <c r="AA262" s="1091">
        <f t="shared" si="332"/>
        <v>70200</v>
      </c>
      <c r="AB262" s="1091">
        <f t="shared" si="333"/>
        <v>0</v>
      </c>
      <c r="AD262" s="650">
        <f t="shared" si="265"/>
        <v>0</v>
      </c>
      <c r="AI262" s="1277">
        <f>VLOOKUP(K262,'[2]ผลการเบิกจ่ายสะสม พ.ย. 66'!$C:$N,12,0)</f>
        <v>0</v>
      </c>
      <c r="AJ262" s="1274">
        <f t="shared" si="276"/>
        <v>0</v>
      </c>
    </row>
    <row r="263" spans="1:36" s="5" customFormat="1" ht="21" customHeight="1" outlineLevel="1" x14ac:dyDescent="0.2">
      <c r="A263" s="33"/>
      <c r="B263" s="57"/>
      <c r="C263" s="27" t="s">
        <v>80</v>
      </c>
      <c r="D263" s="1111"/>
      <c r="E263" s="1109">
        <v>310829.90000000002</v>
      </c>
      <c r="F263" s="1109"/>
      <c r="G263" s="1109"/>
      <c r="H263" s="1109">
        <v>260000</v>
      </c>
      <c r="I263" s="1110">
        <v>434700</v>
      </c>
      <c r="J263" s="1110">
        <v>260000</v>
      </c>
      <c r="K263" s="1033"/>
      <c r="L263" s="1033"/>
      <c r="M263" s="1160">
        <v>130300</v>
      </c>
      <c r="N263" s="1160">
        <v>260000</v>
      </c>
      <c r="O263" s="1160"/>
      <c r="P263" s="1160"/>
      <c r="Q263" s="1160"/>
      <c r="R263" s="1160"/>
      <c r="S263" s="1160"/>
      <c r="T263" s="1091">
        <f t="shared" si="327"/>
        <v>0</v>
      </c>
      <c r="U263" s="1091">
        <f t="shared" si="328"/>
        <v>260000</v>
      </c>
      <c r="V263" s="1091">
        <f t="shared" si="275"/>
        <v>0</v>
      </c>
      <c r="W263" s="1091"/>
      <c r="X263" s="1091">
        <f t="shared" si="329"/>
        <v>0</v>
      </c>
      <c r="Y263" s="1091">
        <f t="shared" si="330"/>
        <v>260000</v>
      </c>
      <c r="Z263" s="1091">
        <f t="shared" si="331"/>
        <v>0</v>
      </c>
      <c r="AA263" s="1091">
        <f t="shared" si="332"/>
        <v>260000</v>
      </c>
      <c r="AB263" s="1091">
        <f t="shared" si="333"/>
        <v>0</v>
      </c>
      <c r="AD263" s="650">
        <f t="shared" si="265"/>
        <v>0</v>
      </c>
      <c r="AI263" s="1277">
        <f>VLOOKUP(K263,'[2]ผลการเบิกจ่ายสะสม พ.ย. 66'!$C:$N,12,0)</f>
        <v>0</v>
      </c>
      <c r="AJ263" s="1274">
        <f t="shared" si="276"/>
        <v>0</v>
      </c>
    </row>
    <row r="264" spans="1:36" s="5" customFormat="1" ht="21" customHeight="1" outlineLevel="1" x14ac:dyDescent="0.2">
      <c r="A264" s="33"/>
      <c r="B264" s="57"/>
      <c r="C264" s="27" t="s">
        <v>63</v>
      </c>
      <c r="D264" s="1111">
        <v>400000</v>
      </c>
      <c r="E264" s="1109">
        <v>126256.24</v>
      </c>
      <c r="F264" s="1109"/>
      <c r="G264" s="1109"/>
      <c r="H264" s="1109">
        <v>234000</v>
      </c>
      <c r="I264" s="1110">
        <v>260000</v>
      </c>
      <c r="J264" s="1110">
        <v>234000</v>
      </c>
      <c r="K264" s="1033"/>
      <c r="L264" s="1033"/>
      <c r="M264" s="1160">
        <v>117000</v>
      </c>
      <c r="N264" s="1160">
        <v>234000</v>
      </c>
      <c r="O264" s="1160"/>
      <c r="P264" s="1160"/>
      <c r="Q264" s="1160"/>
      <c r="R264" s="1160"/>
      <c r="S264" s="1160"/>
      <c r="T264" s="1091">
        <f t="shared" si="327"/>
        <v>0</v>
      </c>
      <c r="U264" s="1091">
        <f t="shared" si="328"/>
        <v>234000</v>
      </c>
      <c r="V264" s="1091">
        <f t="shared" si="275"/>
        <v>0</v>
      </c>
      <c r="W264" s="1091"/>
      <c r="X264" s="1091">
        <f t="shared" si="329"/>
        <v>0</v>
      </c>
      <c r="Y264" s="1091">
        <f t="shared" si="330"/>
        <v>234000</v>
      </c>
      <c r="Z264" s="1091">
        <f t="shared" si="331"/>
        <v>0</v>
      </c>
      <c r="AA264" s="1091">
        <f t="shared" si="332"/>
        <v>234000</v>
      </c>
      <c r="AB264" s="1091">
        <f t="shared" si="333"/>
        <v>0</v>
      </c>
      <c r="AD264" s="650">
        <f t="shared" si="265"/>
        <v>0</v>
      </c>
      <c r="AI264" s="1277">
        <f>VLOOKUP(K264,'[2]ผลการเบิกจ่ายสะสม พ.ย. 66'!$C:$N,12,0)</f>
        <v>0</v>
      </c>
      <c r="AJ264" s="1274">
        <f t="shared" si="276"/>
        <v>0</v>
      </c>
    </row>
    <row r="265" spans="1:36" s="5" customFormat="1" ht="21" customHeight="1" outlineLevel="1" x14ac:dyDescent="0.2">
      <c r="A265" s="33"/>
      <c r="B265" s="57"/>
      <c r="C265" s="27" t="s">
        <v>61</v>
      </c>
      <c r="D265" s="1111">
        <v>300000</v>
      </c>
      <c r="E265" s="1109">
        <v>116560.8</v>
      </c>
      <c r="F265" s="1109"/>
      <c r="G265" s="1109"/>
      <c r="H265" s="1109">
        <v>175500</v>
      </c>
      <c r="I265" s="1110">
        <v>350000</v>
      </c>
      <c r="J265" s="1110">
        <v>175500</v>
      </c>
      <c r="K265" s="1033"/>
      <c r="L265" s="1033"/>
      <c r="M265" s="1160">
        <v>87900</v>
      </c>
      <c r="N265" s="1160">
        <v>175500</v>
      </c>
      <c r="O265" s="1160"/>
      <c r="P265" s="1160"/>
      <c r="Q265" s="1160"/>
      <c r="R265" s="1160"/>
      <c r="S265" s="1160"/>
      <c r="T265" s="1091">
        <f t="shared" si="327"/>
        <v>0</v>
      </c>
      <c r="U265" s="1091">
        <f t="shared" si="328"/>
        <v>175500</v>
      </c>
      <c r="V265" s="1091">
        <f t="shared" si="275"/>
        <v>0</v>
      </c>
      <c r="W265" s="1091"/>
      <c r="X265" s="1091">
        <f t="shared" si="329"/>
        <v>0</v>
      </c>
      <c r="Y265" s="1091">
        <f t="shared" si="330"/>
        <v>175500</v>
      </c>
      <c r="Z265" s="1091">
        <f t="shared" si="331"/>
        <v>0</v>
      </c>
      <c r="AA265" s="1091">
        <f t="shared" si="332"/>
        <v>175500</v>
      </c>
      <c r="AB265" s="1091">
        <f t="shared" si="333"/>
        <v>0</v>
      </c>
      <c r="AD265" s="650">
        <f t="shared" si="265"/>
        <v>0</v>
      </c>
      <c r="AI265" s="1277">
        <f>VLOOKUP(K265,'[2]ผลการเบิกจ่ายสะสม พ.ย. 66'!$C:$N,12,0)</f>
        <v>0</v>
      </c>
      <c r="AJ265" s="1274">
        <f t="shared" si="276"/>
        <v>0</v>
      </c>
    </row>
    <row r="266" spans="1:36" s="5" customFormat="1" ht="21" customHeight="1" outlineLevel="1" x14ac:dyDescent="0.2">
      <c r="A266" s="33"/>
      <c r="B266" s="57"/>
      <c r="C266" s="27" t="s">
        <v>51</v>
      </c>
      <c r="D266" s="1111">
        <v>250000</v>
      </c>
      <c r="E266" s="1109">
        <v>99649.44</v>
      </c>
      <c r="F266" s="1109"/>
      <c r="G266" s="1109"/>
      <c r="H266" s="1109">
        <v>146200</v>
      </c>
      <c r="I266" s="1110">
        <v>350000</v>
      </c>
      <c r="J266" s="1110">
        <v>146200</v>
      </c>
      <c r="K266" s="1033"/>
      <c r="L266" s="1033"/>
      <c r="M266" s="1160">
        <v>73200</v>
      </c>
      <c r="N266" s="1160">
        <v>146200</v>
      </c>
      <c r="O266" s="1160"/>
      <c r="P266" s="1160"/>
      <c r="Q266" s="1160"/>
      <c r="R266" s="1160"/>
      <c r="S266" s="1160"/>
      <c r="T266" s="1091">
        <f t="shared" si="327"/>
        <v>0</v>
      </c>
      <c r="U266" s="1091">
        <f t="shared" si="328"/>
        <v>146200</v>
      </c>
      <c r="V266" s="1091">
        <f t="shared" si="275"/>
        <v>0</v>
      </c>
      <c r="W266" s="1091"/>
      <c r="X266" s="1091">
        <f t="shared" si="329"/>
        <v>0</v>
      </c>
      <c r="Y266" s="1091">
        <f t="shared" si="330"/>
        <v>146200</v>
      </c>
      <c r="Z266" s="1091">
        <f t="shared" si="331"/>
        <v>0</v>
      </c>
      <c r="AA266" s="1091">
        <f t="shared" si="332"/>
        <v>146200</v>
      </c>
      <c r="AB266" s="1091">
        <f t="shared" si="333"/>
        <v>0</v>
      </c>
      <c r="AD266" s="650">
        <f t="shared" si="265"/>
        <v>0</v>
      </c>
      <c r="AI266" s="1277">
        <f>VLOOKUP(K266,'[2]ผลการเบิกจ่ายสะสม พ.ย. 66'!$C:$N,12,0)</f>
        <v>0</v>
      </c>
      <c r="AJ266" s="1274">
        <f t="shared" si="276"/>
        <v>0</v>
      </c>
    </row>
    <row r="267" spans="1:36" s="5" customFormat="1" ht="21" customHeight="1" outlineLevel="1" x14ac:dyDescent="0.2">
      <c r="A267" s="33"/>
      <c r="B267" s="57"/>
      <c r="C267" s="27" t="s">
        <v>62</v>
      </c>
      <c r="D267" s="1111">
        <v>250000</v>
      </c>
      <c r="E267" s="1109">
        <v>140169.4</v>
      </c>
      <c r="F267" s="1109"/>
      <c r="G267" s="1109"/>
      <c r="H267" s="1109">
        <v>146200</v>
      </c>
      <c r="I267" s="1110">
        <v>360000</v>
      </c>
      <c r="J267" s="1110">
        <v>146200</v>
      </c>
      <c r="K267" s="1033"/>
      <c r="L267" s="1033"/>
      <c r="M267" s="1160">
        <v>73200</v>
      </c>
      <c r="N267" s="1160">
        <v>146200</v>
      </c>
      <c r="O267" s="1160"/>
      <c r="P267" s="1160"/>
      <c r="Q267" s="1160"/>
      <c r="R267" s="1160"/>
      <c r="S267" s="1160"/>
      <c r="T267" s="1091">
        <f t="shared" si="327"/>
        <v>0</v>
      </c>
      <c r="U267" s="1091">
        <f t="shared" si="328"/>
        <v>146200</v>
      </c>
      <c r="V267" s="1091">
        <f t="shared" si="275"/>
        <v>0</v>
      </c>
      <c r="W267" s="1091"/>
      <c r="X267" s="1091">
        <f t="shared" si="329"/>
        <v>0</v>
      </c>
      <c r="Y267" s="1091">
        <f t="shared" si="330"/>
        <v>146200</v>
      </c>
      <c r="Z267" s="1091">
        <f t="shared" si="331"/>
        <v>0</v>
      </c>
      <c r="AA267" s="1091">
        <f t="shared" si="332"/>
        <v>146200</v>
      </c>
      <c r="AB267" s="1091">
        <f t="shared" si="333"/>
        <v>0</v>
      </c>
      <c r="AD267" s="650">
        <f t="shared" ref="AD267:AD329" si="334">+N267+O267-R267-S267-U267</f>
        <v>0</v>
      </c>
      <c r="AI267" s="1277">
        <f>VLOOKUP(K267,'[2]ผลการเบิกจ่ายสะสม พ.ย. 66'!$C:$N,12,0)</f>
        <v>0</v>
      </c>
      <c r="AJ267" s="1274">
        <f t="shared" si="276"/>
        <v>0</v>
      </c>
    </row>
    <row r="268" spans="1:36" s="5" customFormat="1" ht="21" customHeight="1" outlineLevel="1" x14ac:dyDescent="0.2">
      <c r="A268" s="33"/>
      <c r="B268" s="57"/>
      <c r="C268" s="27" t="s">
        <v>43</v>
      </c>
      <c r="D268" s="1111">
        <v>220000</v>
      </c>
      <c r="E268" s="1109">
        <v>67988.320000000007</v>
      </c>
      <c r="F268" s="1109"/>
      <c r="G268" s="1109"/>
      <c r="H268" s="1109">
        <v>128700</v>
      </c>
      <c r="I268" s="1110">
        <v>220000</v>
      </c>
      <c r="J268" s="1110">
        <v>128700</v>
      </c>
      <c r="K268" s="1033"/>
      <c r="L268" s="1033"/>
      <c r="M268" s="1160">
        <v>64500</v>
      </c>
      <c r="N268" s="1160">
        <v>128700</v>
      </c>
      <c r="O268" s="1160"/>
      <c r="P268" s="1160"/>
      <c r="Q268" s="1160"/>
      <c r="R268" s="1160"/>
      <c r="S268" s="1160"/>
      <c r="T268" s="1091">
        <f t="shared" si="327"/>
        <v>0</v>
      </c>
      <c r="U268" s="1091">
        <f t="shared" si="328"/>
        <v>128700</v>
      </c>
      <c r="V268" s="1091">
        <f t="shared" si="275"/>
        <v>0</v>
      </c>
      <c r="W268" s="1091"/>
      <c r="X268" s="1091">
        <f t="shared" si="329"/>
        <v>0</v>
      </c>
      <c r="Y268" s="1091">
        <f t="shared" si="330"/>
        <v>128700</v>
      </c>
      <c r="Z268" s="1091">
        <f t="shared" si="331"/>
        <v>0</v>
      </c>
      <c r="AA268" s="1091">
        <f t="shared" si="332"/>
        <v>128700</v>
      </c>
      <c r="AB268" s="1091">
        <f t="shared" si="333"/>
        <v>0</v>
      </c>
      <c r="AD268" s="650">
        <f t="shared" si="334"/>
        <v>0</v>
      </c>
      <c r="AI268" s="1277">
        <f>VLOOKUP(K268,'[2]ผลการเบิกจ่ายสะสม พ.ย. 66'!$C:$N,12,0)</f>
        <v>0</v>
      </c>
      <c r="AJ268" s="1274">
        <f t="shared" si="276"/>
        <v>0</v>
      </c>
    </row>
    <row r="269" spans="1:36" s="5" customFormat="1" ht="21" customHeight="1" outlineLevel="1" x14ac:dyDescent="0.2">
      <c r="A269" s="33"/>
      <c r="B269" s="57"/>
      <c r="C269" s="27" t="s">
        <v>50</v>
      </c>
      <c r="D269" s="1111">
        <v>500000</v>
      </c>
      <c r="E269" s="1109">
        <v>164660.56</v>
      </c>
      <c r="F269" s="1109"/>
      <c r="G269" s="1109"/>
      <c r="H269" s="1109">
        <v>292500</v>
      </c>
      <c r="I269" s="1110">
        <v>800000</v>
      </c>
      <c r="J269" s="1110">
        <v>292500</v>
      </c>
      <c r="K269" s="1033"/>
      <c r="L269" s="1033"/>
      <c r="M269" s="1160">
        <v>146400</v>
      </c>
      <c r="N269" s="1160">
        <v>292500</v>
      </c>
      <c r="O269" s="1160"/>
      <c r="P269" s="1160"/>
      <c r="Q269" s="1160"/>
      <c r="R269" s="1160"/>
      <c r="S269" s="1160"/>
      <c r="T269" s="1091">
        <f t="shared" si="327"/>
        <v>0</v>
      </c>
      <c r="U269" s="1091">
        <f t="shared" si="328"/>
        <v>292500</v>
      </c>
      <c r="V269" s="1091">
        <f t="shared" si="275"/>
        <v>0</v>
      </c>
      <c r="W269" s="1091"/>
      <c r="X269" s="1091">
        <f t="shared" si="329"/>
        <v>0</v>
      </c>
      <c r="Y269" s="1091">
        <f t="shared" si="330"/>
        <v>292500</v>
      </c>
      <c r="Z269" s="1091">
        <f t="shared" si="331"/>
        <v>0</v>
      </c>
      <c r="AA269" s="1091">
        <f t="shared" si="332"/>
        <v>292500</v>
      </c>
      <c r="AB269" s="1091">
        <f t="shared" si="333"/>
        <v>0</v>
      </c>
      <c r="AD269" s="650">
        <f t="shared" si="334"/>
        <v>0</v>
      </c>
      <c r="AI269" s="1277">
        <f>VLOOKUP(K269,'[2]ผลการเบิกจ่ายสะสม พ.ย. 66'!$C:$N,12,0)</f>
        <v>0</v>
      </c>
      <c r="AJ269" s="1274">
        <f t="shared" si="276"/>
        <v>0</v>
      </c>
    </row>
    <row r="270" spans="1:36" s="5" customFormat="1" ht="21" customHeight="1" outlineLevel="1" x14ac:dyDescent="0.2">
      <c r="A270" s="33"/>
      <c r="B270" s="57"/>
      <c r="C270" s="27" t="s">
        <v>42</v>
      </c>
      <c r="D270" s="1111">
        <v>5000000</v>
      </c>
      <c r="E270" s="1109">
        <v>3339643.42</v>
      </c>
      <c r="F270" s="1109"/>
      <c r="G270" s="1109"/>
      <c r="H270" s="1109">
        <v>2925500</v>
      </c>
      <c r="I270" s="1110">
        <v>19500000</v>
      </c>
      <c r="J270" s="1110">
        <f>2925500+545300</f>
        <v>3470800</v>
      </c>
      <c r="K270" s="1033"/>
      <c r="L270" s="1033"/>
      <c r="M270" s="1160">
        <v>1735600</v>
      </c>
      <c r="N270" s="1160">
        <f>2925500+545300</f>
        <v>3470800</v>
      </c>
      <c r="O270" s="1241">
        <v>-200000</v>
      </c>
      <c r="P270" s="1160"/>
      <c r="Q270" s="1160"/>
      <c r="R270" s="1160"/>
      <c r="S270" s="1160"/>
      <c r="T270" s="1091">
        <f t="shared" si="327"/>
        <v>0</v>
      </c>
      <c r="U270" s="1091">
        <f t="shared" si="328"/>
        <v>3270800</v>
      </c>
      <c r="V270" s="1091">
        <f t="shared" si="275"/>
        <v>0</v>
      </c>
      <c r="W270" s="1091"/>
      <c r="X270" s="1091">
        <f t="shared" si="329"/>
        <v>0</v>
      </c>
      <c r="Y270" s="1091">
        <f t="shared" si="330"/>
        <v>3270800</v>
      </c>
      <c r="Z270" s="1091">
        <f t="shared" si="331"/>
        <v>0</v>
      </c>
      <c r="AA270" s="1091">
        <f t="shared" si="332"/>
        <v>3270800</v>
      </c>
      <c r="AB270" s="1091">
        <f t="shared" si="333"/>
        <v>0</v>
      </c>
      <c r="AC270" s="5" t="s">
        <v>1460</v>
      </c>
      <c r="AD270" s="650">
        <f t="shared" si="334"/>
        <v>0</v>
      </c>
      <c r="AI270" s="1277">
        <f>VLOOKUP(K270,'[2]ผลการเบิกจ่ายสะสม พ.ย. 66'!$C:$N,12,0)</f>
        <v>0</v>
      </c>
      <c r="AJ270" s="1274">
        <f t="shared" si="276"/>
        <v>0</v>
      </c>
    </row>
    <row r="271" spans="1:36" s="5" customFormat="1" ht="21" customHeight="1" outlineLevel="1" x14ac:dyDescent="0.2">
      <c r="A271" s="104"/>
      <c r="B271" s="921"/>
      <c r="C271" s="920" t="s">
        <v>686</v>
      </c>
      <c r="D271" s="1146">
        <v>8101200</v>
      </c>
      <c r="E271" s="1147">
        <v>5172956.38</v>
      </c>
      <c r="F271" s="1147"/>
      <c r="G271" s="1147"/>
      <c r="H271" s="1147">
        <v>4481100</v>
      </c>
      <c r="I271" s="1152">
        <v>5300000</v>
      </c>
      <c r="J271" s="1152">
        <f>4481100</f>
        <v>4481100</v>
      </c>
      <c r="K271" s="1043"/>
      <c r="L271" s="1043"/>
      <c r="M271" s="1164">
        <v>2240700</v>
      </c>
      <c r="N271" s="1164">
        <f>4481100</f>
        <v>4481100</v>
      </c>
      <c r="O271" s="1164">
        <v>1728900</v>
      </c>
      <c r="P271" s="1164"/>
      <c r="Q271" s="1164"/>
      <c r="R271" s="1164"/>
      <c r="S271" s="1164"/>
      <c r="T271" s="1091">
        <f t="shared" si="327"/>
        <v>0</v>
      </c>
      <c r="U271" s="1091">
        <f t="shared" si="328"/>
        <v>6210000</v>
      </c>
      <c r="V271" s="1091">
        <f t="shared" ref="V271:V334" si="335">IFERROR(T271*100/(N271+O271),0)</f>
        <v>0</v>
      </c>
      <c r="W271" s="1091"/>
      <c r="X271" s="1091">
        <f t="shared" si="329"/>
        <v>0</v>
      </c>
      <c r="Y271" s="1091">
        <f t="shared" si="330"/>
        <v>6210000</v>
      </c>
      <c r="Z271" s="1091">
        <f t="shared" si="331"/>
        <v>0</v>
      </c>
      <c r="AA271" s="1091">
        <f t="shared" si="332"/>
        <v>6210000</v>
      </c>
      <c r="AB271" s="1091">
        <f t="shared" si="333"/>
        <v>0</v>
      </c>
      <c r="AC271" s="5" t="s">
        <v>1456</v>
      </c>
      <c r="AD271" s="650">
        <f t="shared" si="334"/>
        <v>0</v>
      </c>
      <c r="AI271" s="1277">
        <f>VLOOKUP(K271,'[2]ผลการเบิกจ่ายสะสม พ.ย. 66'!$C:$N,12,0)</f>
        <v>0</v>
      </c>
      <c r="AJ271" s="1274">
        <f t="shared" ref="AJ271:AJ334" si="336">+AI271-S271</f>
        <v>0</v>
      </c>
    </row>
    <row r="272" spans="1:36" s="5" customFormat="1" ht="21" customHeight="1" outlineLevel="1" x14ac:dyDescent="0.2">
      <c r="A272" s="33"/>
      <c r="B272" s="34" t="s">
        <v>89</v>
      </c>
      <c r="C272" s="273"/>
      <c r="D272" s="1118">
        <f>SUM(D273:D285)</f>
        <v>95705100</v>
      </c>
      <c r="E272" s="1119">
        <f>SUM(E273:E285)</f>
        <v>57552336.780000001</v>
      </c>
      <c r="F272" s="1119"/>
      <c r="G272" s="1119"/>
      <c r="H272" s="1119">
        <f>SUM(H273:H285)</f>
        <v>87132200</v>
      </c>
      <c r="I272" s="1106">
        <v>164807100</v>
      </c>
      <c r="J272" s="1106">
        <f>SUM(J273:J285)</f>
        <v>85532500</v>
      </c>
      <c r="K272" s="1040" t="s">
        <v>1371</v>
      </c>
      <c r="L272" s="1065" t="s">
        <v>1428</v>
      </c>
      <c r="M272" s="1105">
        <f t="shared" ref="M272:U272" si="337">SUM(M273:M285)</f>
        <v>42768400</v>
      </c>
      <c r="N272" s="1105">
        <f>SUM(N273:N285)</f>
        <v>85532500</v>
      </c>
      <c r="O272" s="1105">
        <f t="shared" si="337"/>
        <v>89614.76</v>
      </c>
      <c r="P272" s="1105">
        <f t="shared" si="337"/>
        <v>0</v>
      </c>
      <c r="Q272" s="1105">
        <f t="shared" si="337"/>
        <v>0</v>
      </c>
      <c r="R272" s="1105">
        <f t="shared" si="337"/>
        <v>0</v>
      </c>
      <c r="S272" s="1105">
        <f t="shared" si="337"/>
        <v>226978.68</v>
      </c>
      <c r="T272" s="1105">
        <f t="shared" si="337"/>
        <v>226978.68</v>
      </c>
      <c r="U272" s="1105">
        <f t="shared" si="337"/>
        <v>85395136.079999998</v>
      </c>
      <c r="V272" s="1105">
        <f t="shared" si="335"/>
        <v>0.26509352243427348</v>
      </c>
      <c r="W272" s="1105">
        <f t="shared" ref="W272:AB272" si="338">SUM(W273:W285)</f>
        <v>0</v>
      </c>
      <c r="X272" s="1105">
        <f t="shared" si="338"/>
        <v>226978.68</v>
      </c>
      <c r="Y272" s="1105">
        <f t="shared" si="338"/>
        <v>85395136.079999998</v>
      </c>
      <c r="Z272" s="1105">
        <f t="shared" si="338"/>
        <v>226978.68</v>
      </c>
      <c r="AA272" s="1105">
        <f t="shared" si="338"/>
        <v>85395136.079999998</v>
      </c>
      <c r="AB272" s="1105">
        <f t="shared" si="338"/>
        <v>20.125116077982284</v>
      </c>
      <c r="AD272" s="650">
        <f t="shared" si="334"/>
        <v>0</v>
      </c>
      <c r="AI272" s="1277">
        <f>VLOOKUP(K272,'[2]ผลการเบิกจ่ายสะสม พ.ย. 66'!$C:$N,12,0)</f>
        <v>483919928.55000001</v>
      </c>
      <c r="AJ272" s="1274">
        <f t="shared" si="336"/>
        <v>483692949.87</v>
      </c>
    </row>
    <row r="273" spans="1:36" s="5" customFormat="1" ht="21" customHeight="1" outlineLevel="1" x14ac:dyDescent="0.2">
      <c r="A273" s="33"/>
      <c r="B273" s="57"/>
      <c r="C273" s="27" t="s">
        <v>52</v>
      </c>
      <c r="D273" s="1111">
        <v>500000</v>
      </c>
      <c r="E273" s="1109">
        <v>40530</v>
      </c>
      <c r="F273" s="1109"/>
      <c r="G273" s="1109"/>
      <c r="H273" s="1109">
        <v>455200</v>
      </c>
      <c r="I273" s="1110">
        <v>550000</v>
      </c>
      <c r="J273" s="1110">
        <v>446800</v>
      </c>
      <c r="K273" s="1033"/>
      <c r="L273" s="1033"/>
      <c r="M273" s="1160">
        <v>223600</v>
      </c>
      <c r="N273" s="1160">
        <v>446800</v>
      </c>
      <c r="O273" s="1160"/>
      <c r="P273" s="1160"/>
      <c r="Q273" s="1160"/>
      <c r="R273" s="1160"/>
      <c r="S273" s="1160"/>
      <c r="T273" s="1091">
        <f t="shared" ref="T273:T285" si="339">+R273+S273</f>
        <v>0</v>
      </c>
      <c r="U273" s="1091">
        <f t="shared" ref="U273:U285" si="340">+N273+O273-T273</f>
        <v>446800</v>
      </c>
      <c r="V273" s="1091">
        <f t="shared" si="335"/>
        <v>0</v>
      </c>
      <c r="W273" s="1091"/>
      <c r="X273" s="1091">
        <f t="shared" ref="X273:X285" si="341">+T273+Q273</f>
        <v>0</v>
      </c>
      <c r="Y273" s="1091">
        <f t="shared" ref="Y273:Y285" si="342">+U273-Q273</f>
        <v>446800</v>
      </c>
      <c r="Z273" s="1091">
        <f t="shared" ref="Z273:Z285" si="343">+T273+Q273+P273</f>
        <v>0</v>
      </c>
      <c r="AA273" s="1091">
        <f t="shared" ref="AA273:AA285" si="344">+U273-Q273-P273</f>
        <v>446800</v>
      </c>
      <c r="AB273" s="1091">
        <f t="shared" ref="AB273:AB285" si="345">IFERROR(Z273*100/(N273+O273),0)</f>
        <v>0</v>
      </c>
      <c r="AD273" s="650">
        <f t="shared" si="334"/>
        <v>0</v>
      </c>
      <c r="AI273" s="1277">
        <f>VLOOKUP(K273,'[2]ผลการเบิกจ่ายสะสม พ.ย. 66'!$C:$N,12,0)</f>
        <v>0</v>
      </c>
      <c r="AJ273" s="1274">
        <f t="shared" si="336"/>
        <v>0</v>
      </c>
    </row>
    <row r="274" spans="1:36" s="5" customFormat="1" ht="21" customHeight="1" outlineLevel="1" x14ac:dyDescent="0.2">
      <c r="A274" s="33"/>
      <c r="B274" s="57"/>
      <c r="C274" s="27" t="s">
        <v>49</v>
      </c>
      <c r="D274" s="1111">
        <v>250000</v>
      </c>
      <c r="E274" s="1109">
        <v>14005</v>
      </c>
      <c r="F274" s="1109"/>
      <c r="G274" s="1109"/>
      <c r="H274" s="1109">
        <v>227600</v>
      </c>
      <c r="I274" s="1110">
        <v>300000</v>
      </c>
      <c r="J274" s="1110">
        <v>223500</v>
      </c>
      <c r="K274" s="1033"/>
      <c r="L274" s="1033"/>
      <c r="M274" s="1160">
        <v>111900</v>
      </c>
      <c r="N274" s="1160">
        <v>223500</v>
      </c>
      <c r="O274" s="1241">
        <v>-70000</v>
      </c>
      <c r="P274" s="1160"/>
      <c r="Q274" s="1160"/>
      <c r="R274" s="1160"/>
      <c r="S274" s="1289">
        <f>605</f>
        <v>605</v>
      </c>
      <c r="T274" s="1091">
        <f t="shared" si="339"/>
        <v>605</v>
      </c>
      <c r="U274" s="1091">
        <f t="shared" si="340"/>
        <v>152895</v>
      </c>
      <c r="V274" s="1091">
        <f t="shared" si="335"/>
        <v>0.39413680781758959</v>
      </c>
      <c r="W274" s="1091"/>
      <c r="X274" s="1091">
        <f t="shared" si="341"/>
        <v>605</v>
      </c>
      <c r="Y274" s="1091">
        <f t="shared" si="342"/>
        <v>152895</v>
      </c>
      <c r="Z274" s="1091">
        <f t="shared" si="343"/>
        <v>605</v>
      </c>
      <c r="AA274" s="1091">
        <f t="shared" si="344"/>
        <v>152895</v>
      </c>
      <c r="AB274" s="1091">
        <f t="shared" si="345"/>
        <v>0.39413680781758959</v>
      </c>
      <c r="AC274" s="5" t="s">
        <v>1455</v>
      </c>
      <c r="AD274" s="650">
        <f t="shared" si="334"/>
        <v>0</v>
      </c>
      <c r="AI274" s="1277">
        <f>VLOOKUP(K274,'[2]ผลการเบิกจ่ายสะสม พ.ย. 66'!$C:$N,12,0)</f>
        <v>0</v>
      </c>
      <c r="AJ274" s="1274">
        <f t="shared" si="336"/>
        <v>-605</v>
      </c>
    </row>
    <row r="275" spans="1:36" s="5" customFormat="1" ht="21" customHeight="1" outlineLevel="1" x14ac:dyDescent="0.2">
      <c r="A275" s="33"/>
      <c r="B275" s="57"/>
      <c r="C275" s="27" t="s">
        <v>54</v>
      </c>
      <c r="D275" s="1111">
        <v>500000</v>
      </c>
      <c r="E275" s="1109">
        <v>86385</v>
      </c>
      <c r="F275" s="1109"/>
      <c r="G275" s="1109"/>
      <c r="H275" s="1109">
        <v>455200</v>
      </c>
      <c r="I275" s="1110">
        <v>600000</v>
      </c>
      <c r="J275" s="1110">
        <v>446800</v>
      </c>
      <c r="K275" s="1033"/>
      <c r="L275" s="1033"/>
      <c r="M275" s="1160">
        <v>223600</v>
      </c>
      <c r="N275" s="1160">
        <v>446800</v>
      </c>
      <c r="O275" s="1160">
        <v>72000</v>
      </c>
      <c r="P275" s="1160"/>
      <c r="Q275" s="1160"/>
      <c r="R275" s="1160"/>
      <c r="S275" s="1289">
        <f>580</f>
        <v>580</v>
      </c>
      <c r="T275" s="1091">
        <f t="shared" si="339"/>
        <v>580</v>
      </c>
      <c r="U275" s="1091">
        <f t="shared" si="340"/>
        <v>518220</v>
      </c>
      <c r="V275" s="1091">
        <f t="shared" si="335"/>
        <v>0.1117964533538936</v>
      </c>
      <c r="W275" s="1091"/>
      <c r="X275" s="1091">
        <f t="shared" si="341"/>
        <v>580</v>
      </c>
      <c r="Y275" s="1091">
        <f t="shared" si="342"/>
        <v>518220</v>
      </c>
      <c r="Z275" s="1091">
        <f t="shared" si="343"/>
        <v>580</v>
      </c>
      <c r="AA275" s="1091">
        <f t="shared" si="344"/>
        <v>518220</v>
      </c>
      <c r="AB275" s="1091">
        <f t="shared" si="345"/>
        <v>0.1117964533538936</v>
      </c>
      <c r="AC275" s="5" t="s">
        <v>1452</v>
      </c>
      <c r="AD275" s="650">
        <f t="shared" si="334"/>
        <v>0</v>
      </c>
      <c r="AI275" s="1277">
        <f>VLOOKUP(K275,'[2]ผลการเบิกจ่ายสะสม พ.ย. 66'!$C:$N,12,0)</f>
        <v>0</v>
      </c>
      <c r="AJ275" s="1274">
        <f t="shared" si="336"/>
        <v>-580</v>
      </c>
    </row>
    <row r="276" spans="1:36" s="5" customFormat="1" ht="21" customHeight="1" outlineLevel="1" x14ac:dyDescent="0.2">
      <c r="A276" s="33"/>
      <c r="B276" s="57"/>
      <c r="C276" s="27" t="s">
        <v>53</v>
      </c>
      <c r="D276" s="1111">
        <v>300000</v>
      </c>
      <c r="E276" s="1109">
        <v>30890</v>
      </c>
      <c r="F276" s="1109"/>
      <c r="G276" s="1109"/>
      <c r="H276" s="1109">
        <v>273100</v>
      </c>
      <c r="I276" s="1110">
        <v>360000</v>
      </c>
      <c r="J276" s="1110">
        <v>268400</v>
      </c>
      <c r="K276" s="1033"/>
      <c r="L276" s="1033"/>
      <c r="M276" s="1160">
        <v>134400</v>
      </c>
      <c r="N276" s="1160">
        <v>268400</v>
      </c>
      <c r="O276" s="1160"/>
      <c r="P276" s="1160"/>
      <c r="Q276" s="1160"/>
      <c r="R276" s="1160"/>
      <c r="S276" s="1289">
        <f>450</f>
        <v>450</v>
      </c>
      <c r="T276" s="1091">
        <f t="shared" si="339"/>
        <v>450</v>
      </c>
      <c r="U276" s="1091">
        <f t="shared" si="340"/>
        <v>267950</v>
      </c>
      <c r="V276" s="1091">
        <f t="shared" si="335"/>
        <v>0.1676602086438152</v>
      </c>
      <c r="W276" s="1091"/>
      <c r="X276" s="1091">
        <f t="shared" si="341"/>
        <v>450</v>
      </c>
      <c r="Y276" s="1091">
        <f t="shared" si="342"/>
        <v>267950</v>
      </c>
      <c r="Z276" s="1091">
        <f t="shared" si="343"/>
        <v>450</v>
      </c>
      <c r="AA276" s="1091">
        <f t="shared" si="344"/>
        <v>267950</v>
      </c>
      <c r="AB276" s="1091">
        <f t="shared" si="345"/>
        <v>0.1676602086438152</v>
      </c>
      <c r="AD276" s="650">
        <f t="shared" si="334"/>
        <v>0</v>
      </c>
      <c r="AI276" s="1277">
        <f>VLOOKUP(K276,'[2]ผลการเบิกจ่ายสะสม พ.ย. 66'!$C:$N,12,0)</f>
        <v>0</v>
      </c>
      <c r="AJ276" s="1274">
        <f t="shared" si="336"/>
        <v>-450</v>
      </c>
    </row>
    <row r="277" spans="1:36" s="5" customFormat="1" ht="21" customHeight="1" outlineLevel="1" x14ac:dyDescent="0.2">
      <c r="A277" s="33"/>
      <c r="B277" s="57"/>
      <c r="C277" s="27" t="s">
        <v>80</v>
      </c>
      <c r="D277" s="1111">
        <v>3000000</v>
      </c>
      <c r="E277" s="1109">
        <v>3932591.72</v>
      </c>
      <c r="F277" s="1109"/>
      <c r="G277" s="1109"/>
      <c r="H277" s="1109">
        <v>2731300</v>
      </c>
      <c r="I277" s="1110">
        <v>3369400</v>
      </c>
      <c r="J277" s="1110">
        <v>2681000</v>
      </c>
      <c r="K277" s="1033"/>
      <c r="L277" s="1033"/>
      <c r="M277" s="1160">
        <v>1340600</v>
      </c>
      <c r="N277" s="1160">
        <v>2681000</v>
      </c>
      <c r="O277" s="1160"/>
      <c r="P277" s="1160"/>
      <c r="Q277" s="1160"/>
      <c r="R277" s="1160"/>
      <c r="S277" s="1289">
        <f>100</f>
        <v>100</v>
      </c>
      <c r="T277" s="1091">
        <f t="shared" si="339"/>
        <v>100</v>
      </c>
      <c r="U277" s="1091">
        <f t="shared" si="340"/>
        <v>2680900</v>
      </c>
      <c r="V277" s="1091">
        <f t="shared" si="335"/>
        <v>3.7299515106303618E-3</v>
      </c>
      <c r="W277" s="1091"/>
      <c r="X277" s="1091">
        <f t="shared" si="341"/>
        <v>100</v>
      </c>
      <c r="Y277" s="1091">
        <f t="shared" si="342"/>
        <v>2680900</v>
      </c>
      <c r="Z277" s="1091">
        <f t="shared" si="343"/>
        <v>100</v>
      </c>
      <c r="AA277" s="1091">
        <f t="shared" si="344"/>
        <v>2680900</v>
      </c>
      <c r="AB277" s="1091">
        <f t="shared" si="345"/>
        <v>3.7299515106303618E-3</v>
      </c>
      <c r="AD277" s="650">
        <f t="shared" si="334"/>
        <v>0</v>
      </c>
      <c r="AI277" s="1277">
        <f>VLOOKUP(K277,'[2]ผลการเบิกจ่ายสะสม พ.ย. 66'!$C:$N,12,0)</f>
        <v>0</v>
      </c>
      <c r="AJ277" s="1274">
        <f t="shared" si="336"/>
        <v>-100</v>
      </c>
    </row>
    <row r="278" spans="1:36" s="5" customFormat="1" ht="21" customHeight="1" outlineLevel="1" x14ac:dyDescent="0.2">
      <c r="A278" s="33"/>
      <c r="B278" s="57"/>
      <c r="C278" s="27" t="s">
        <v>63</v>
      </c>
      <c r="D278" s="1111">
        <v>150000</v>
      </c>
      <c r="E278" s="1109">
        <v>147136</v>
      </c>
      <c r="F278" s="1109"/>
      <c r="G278" s="1109"/>
      <c r="H278" s="1109">
        <v>136600</v>
      </c>
      <c r="I278" s="1110">
        <v>190000</v>
      </c>
      <c r="J278" s="1110">
        <v>135000</v>
      </c>
      <c r="K278" s="1033"/>
      <c r="L278" s="1033"/>
      <c r="M278" s="1160">
        <v>67800</v>
      </c>
      <c r="N278" s="1160">
        <v>135000</v>
      </c>
      <c r="O278" s="1160">
        <v>87614.76</v>
      </c>
      <c r="P278" s="1160"/>
      <c r="Q278" s="1160"/>
      <c r="R278" s="1160"/>
      <c r="S278" s="1289">
        <v>360</v>
      </c>
      <c r="T278" s="1091">
        <f t="shared" si="339"/>
        <v>360</v>
      </c>
      <c r="U278" s="1091">
        <f t="shared" si="340"/>
        <v>222254.76</v>
      </c>
      <c r="V278" s="1091">
        <f t="shared" si="335"/>
        <v>0.16171434454750439</v>
      </c>
      <c r="W278" s="1091"/>
      <c r="X278" s="1091">
        <f t="shared" si="341"/>
        <v>360</v>
      </c>
      <c r="Y278" s="1091">
        <f t="shared" si="342"/>
        <v>222254.76</v>
      </c>
      <c r="Z278" s="1091">
        <f t="shared" si="343"/>
        <v>360</v>
      </c>
      <c r="AA278" s="1091">
        <f t="shared" si="344"/>
        <v>222254.76</v>
      </c>
      <c r="AB278" s="1091">
        <f t="shared" si="345"/>
        <v>0.16171434454750439</v>
      </c>
      <c r="AC278" s="5" t="s">
        <v>1453</v>
      </c>
      <c r="AD278" s="650">
        <f t="shared" si="334"/>
        <v>0</v>
      </c>
      <c r="AI278" s="1277">
        <f>VLOOKUP(K278,'[2]ผลการเบิกจ่ายสะสม พ.ย. 66'!$C:$N,12,0)</f>
        <v>0</v>
      </c>
      <c r="AJ278" s="1274">
        <f t="shared" si="336"/>
        <v>-360</v>
      </c>
    </row>
    <row r="279" spans="1:36" s="5" customFormat="1" ht="21" customHeight="1" outlineLevel="1" x14ac:dyDescent="0.2">
      <c r="A279" s="33"/>
      <c r="B279" s="57"/>
      <c r="C279" s="27" t="s">
        <v>61</v>
      </c>
      <c r="D279" s="1111">
        <v>150000</v>
      </c>
      <c r="E279" s="1109">
        <v>44059</v>
      </c>
      <c r="F279" s="1109"/>
      <c r="G279" s="1109"/>
      <c r="H279" s="1109">
        <v>136600</v>
      </c>
      <c r="I279" s="1110">
        <v>200000</v>
      </c>
      <c r="J279" s="1110">
        <v>135000</v>
      </c>
      <c r="K279" s="1033"/>
      <c r="L279" s="1033"/>
      <c r="M279" s="1160">
        <v>67800</v>
      </c>
      <c r="N279" s="1160">
        <v>135000</v>
      </c>
      <c r="O279" s="1160"/>
      <c r="P279" s="1160"/>
      <c r="Q279" s="1160"/>
      <c r="R279" s="1160"/>
      <c r="S279" s="1289">
        <v>170</v>
      </c>
      <c r="T279" s="1091">
        <f t="shared" si="339"/>
        <v>170</v>
      </c>
      <c r="U279" s="1091">
        <f t="shared" si="340"/>
        <v>134830</v>
      </c>
      <c r="V279" s="1091">
        <f t="shared" si="335"/>
        <v>0.12592592592592591</v>
      </c>
      <c r="W279" s="1091"/>
      <c r="X279" s="1091">
        <f t="shared" si="341"/>
        <v>170</v>
      </c>
      <c r="Y279" s="1091">
        <f t="shared" si="342"/>
        <v>134830</v>
      </c>
      <c r="Z279" s="1091">
        <f t="shared" si="343"/>
        <v>170</v>
      </c>
      <c r="AA279" s="1091">
        <f t="shared" si="344"/>
        <v>134830</v>
      </c>
      <c r="AB279" s="1091">
        <f t="shared" si="345"/>
        <v>0.12592592592592591</v>
      </c>
      <c r="AD279" s="650">
        <f t="shared" si="334"/>
        <v>0</v>
      </c>
      <c r="AI279" s="1277">
        <f>VLOOKUP(K279,'[2]ผลการเบิกจ่ายสะสม พ.ย. 66'!$C:$N,12,0)</f>
        <v>0</v>
      </c>
      <c r="AJ279" s="1274">
        <f t="shared" si="336"/>
        <v>-170</v>
      </c>
    </row>
    <row r="280" spans="1:36" s="5" customFormat="1" ht="21" customHeight="1" outlineLevel="1" x14ac:dyDescent="0.2">
      <c r="A280" s="33"/>
      <c r="B280" s="57"/>
      <c r="C280" s="27" t="s">
        <v>51</v>
      </c>
      <c r="D280" s="1111">
        <v>150000</v>
      </c>
      <c r="E280" s="1109">
        <v>147165</v>
      </c>
      <c r="F280" s="1109"/>
      <c r="G280" s="1109"/>
      <c r="H280" s="1109">
        <v>136600</v>
      </c>
      <c r="I280" s="1110">
        <v>250000</v>
      </c>
      <c r="J280" s="1110">
        <v>135000</v>
      </c>
      <c r="K280" s="1033"/>
      <c r="L280" s="1033"/>
      <c r="M280" s="1160">
        <v>67800</v>
      </c>
      <c r="N280" s="1160">
        <v>135000</v>
      </c>
      <c r="O280" s="1160"/>
      <c r="P280" s="1160"/>
      <c r="Q280" s="1160"/>
      <c r="R280" s="1160"/>
      <c r="S280" s="1289">
        <v>13300</v>
      </c>
      <c r="T280" s="1091">
        <f t="shared" si="339"/>
        <v>13300</v>
      </c>
      <c r="U280" s="1091">
        <f t="shared" si="340"/>
        <v>121700</v>
      </c>
      <c r="V280" s="1091">
        <f t="shared" si="335"/>
        <v>9.8518518518518512</v>
      </c>
      <c r="W280" s="1091"/>
      <c r="X280" s="1091">
        <f t="shared" si="341"/>
        <v>13300</v>
      </c>
      <c r="Y280" s="1091">
        <f t="shared" si="342"/>
        <v>121700</v>
      </c>
      <c r="Z280" s="1091">
        <f t="shared" si="343"/>
        <v>13300</v>
      </c>
      <c r="AA280" s="1091">
        <f t="shared" si="344"/>
        <v>121700</v>
      </c>
      <c r="AB280" s="1091">
        <f t="shared" si="345"/>
        <v>9.8518518518518512</v>
      </c>
      <c r="AD280" s="650">
        <f t="shared" si="334"/>
        <v>0</v>
      </c>
      <c r="AI280" s="1277">
        <f>VLOOKUP(K280,'[2]ผลการเบิกจ่ายสะสม พ.ย. 66'!$C:$N,12,0)</f>
        <v>0</v>
      </c>
      <c r="AJ280" s="1274">
        <f t="shared" si="336"/>
        <v>-13300</v>
      </c>
    </row>
    <row r="281" spans="1:36" s="5" customFormat="1" ht="21" customHeight="1" outlineLevel="1" x14ac:dyDescent="0.2">
      <c r="A281" s="33"/>
      <c r="B281" s="57"/>
      <c r="C281" s="27" t="s">
        <v>62</v>
      </c>
      <c r="D281" s="1111">
        <v>200000</v>
      </c>
      <c r="E281" s="1109">
        <v>239799.9</v>
      </c>
      <c r="F281" s="1109"/>
      <c r="G281" s="1109"/>
      <c r="H281" s="1109">
        <v>182100</v>
      </c>
      <c r="I281" s="1110">
        <v>610000</v>
      </c>
      <c r="J281" s="1110">
        <v>178800</v>
      </c>
      <c r="K281" s="1033"/>
      <c r="L281" s="1033"/>
      <c r="M281" s="1160">
        <v>89400</v>
      </c>
      <c r="N281" s="1160">
        <v>178800</v>
      </c>
      <c r="O281" s="1160"/>
      <c r="P281" s="1160"/>
      <c r="Q281" s="1160"/>
      <c r="R281" s="1160"/>
      <c r="S281" s="1289">
        <v>1320</v>
      </c>
      <c r="T281" s="1091">
        <f t="shared" si="339"/>
        <v>1320</v>
      </c>
      <c r="U281" s="1091">
        <f t="shared" si="340"/>
        <v>177480</v>
      </c>
      <c r="V281" s="1091">
        <f t="shared" si="335"/>
        <v>0.73825503355704702</v>
      </c>
      <c r="W281" s="1091"/>
      <c r="X281" s="1091">
        <f t="shared" si="341"/>
        <v>1320</v>
      </c>
      <c r="Y281" s="1091">
        <f t="shared" si="342"/>
        <v>177480</v>
      </c>
      <c r="Z281" s="1091">
        <f t="shared" si="343"/>
        <v>1320</v>
      </c>
      <c r="AA281" s="1091">
        <f t="shared" si="344"/>
        <v>177480</v>
      </c>
      <c r="AB281" s="1091">
        <f t="shared" si="345"/>
        <v>0.73825503355704702</v>
      </c>
      <c r="AD281" s="650">
        <f t="shared" si="334"/>
        <v>0</v>
      </c>
      <c r="AI281" s="1277">
        <f>VLOOKUP(K281,'[2]ผลการเบิกจ่ายสะสม พ.ย. 66'!$C:$N,12,0)</f>
        <v>0</v>
      </c>
      <c r="AJ281" s="1274">
        <f t="shared" si="336"/>
        <v>-1320</v>
      </c>
    </row>
    <row r="282" spans="1:36" s="5" customFormat="1" ht="21" customHeight="1" outlineLevel="1" x14ac:dyDescent="0.2">
      <c r="A282" s="33"/>
      <c r="B282" s="57"/>
      <c r="C282" s="27" t="s">
        <v>43</v>
      </c>
      <c r="D282" s="1111">
        <v>600000</v>
      </c>
      <c r="E282" s="1109">
        <v>225036.45</v>
      </c>
      <c r="F282" s="1109"/>
      <c r="G282" s="1109"/>
      <c r="H282" s="1109">
        <v>546300</v>
      </c>
      <c r="I282" s="1110">
        <v>600000</v>
      </c>
      <c r="J282" s="1110">
        <v>536300</v>
      </c>
      <c r="K282" s="1033"/>
      <c r="L282" s="1033"/>
      <c r="M282" s="1160">
        <v>268200</v>
      </c>
      <c r="N282" s="1160">
        <v>536300</v>
      </c>
      <c r="O282" s="1160"/>
      <c r="P282" s="1160"/>
      <c r="Q282" s="1160"/>
      <c r="R282" s="1160"/>
      <c r="S282" s="1289">
        <v>43436</v>
      </c>
      <c r="T282" s="1091">
        <f t="shared" si="339"/>
        <v>43436</v>
      </c>
      <c r="U282" s="1091">
        <f t="shared" si="340"/>
        <v>492864</v>
      </c>
      <c r="V282" s="1091">
        <f t="shared" si="335"/>
        <v>8.0991982099571143</v>
      </c>
      <c r="W282" s="1091"/>
      <c r="X282" s="1091">
        <f t="shared" si="341"/>
        <v>43436</v>
      </c>
      <c r="Y282" s="1091">
        <f t="shared" si="342"/>
        <v>492864</v>
      </c>
      <c r="Z282" s="1091">
        <f t="shared" si="343"/>
        <v>43436</v>
      </c>
      <c r="AA282" s="1091">
        <f t="shared" si="344"/>
        <v>492864</v>
      </c>
      <c r="AB282" s="1091">
        <f t="shared" si="345"/>
        <v>8.0991982099571143</v>
      </c>
      <c r="AD282" s="650">
        <f t="shared" si="334"/>
        <v>0</v>
      </c>
      <c r="AI282" s="1277">
        <f>VLOOKUP(K282,'[2]ผลการเบิกจ่ายสะสม พ.ย. 66'!$C:$N,12,0)</f>
        <v>0</v>
      </c>
      <c r="AJ282" s="1274">
        <f t="shared" si="336"/>
        <v>-43436</v>
      </c>
    </row>
    <row r="283" spans="1:36" s="5" customFormat="1" ht="21" customHeight="1" outlineLevel="1" x14ac:dyDescent="0.2">
      <c r="A283" s="33"/>
      <c r="B283" s="57"/>
      <c r="C283" s="27" t="s">
        <v>50</v>
      </c>
      <c r="D283" s="1111">
        <v>300000</v>
      </c>
      <c r="E283" s="1109">
        <v>425651.3</v>
      </c>
      <c r="F283" s="1109"/>
      <c r="G283" s="1109"/>
      <c r="H283" s="1109">
        <v>273100</v>
      </c>
      <c r="I283" s="1110">
        <v>900000</v>
      </c>
      <c r="J283" s="1110">
        <v>268400</v>
      </c>
      <c r="K283" s="1033"/>
      <c r="L283" s="1033"/>
      <c r="M283" s="1160">
        <v>134400</v>
      </c>
      <c r="N283" s="1160">
        <v>268400</v>
      </c>
      <c r="O283" s="1160"/>
      <c r="P283" s="1160"/>
      <c r="Q283" s="1160"/>
      <c r="R283" s="1160"/>
      <c r="S283" s="1289">
        <v>100</v>
      </c>
      <c r="T283" s="1091">
        <f t="shared" si="339"/>
        <v>100</v>
      </c>
      <c r="U283" s="1091">
        <f t="shared" si="340"/>
        <v>268300</v>
      </c>
      <c r="V283" s="1091">
        <f t="shared" si="335"/>
        <v>3.7257824143070044E-2</v>
      </c>
      <c r="W283" s="1091"/>
      <c r="X283" s="1091">
        <f t="shared" si="341"/>
        <v>100</v>
      </c>
      <c r="Y283" s="1091">
        <f t="shared" si="342"/>
        <v>268300</v>
      </c>
      <c r="Z283" s="1091">
        <f t="shared" si="343"/>
        <v>100</v>
      </c>
      <c r="AA283" s="1091">
        <f t="shared" si="344"/>
        <v>268300</v>
      </c>
      <c r="AB283" s="1091">
        <f t="shared" si="345"/>
        <v>3.7257824143070044E-2</v>
      </c>
      <c r="AD283" s="650">
        <f t="shared" si="334"/>
        <v>0</v>
      </c>
      <c r="AI283" s="1277">
        <f>VLOOKUP(K283,'[2]ผลการเบิกจ่ายสะสม พ.ย. 66'!$C:$N,12,0)</f>
        <v>0</v>
      </c>
      <c r="AJ283" s="1274">
        <f t="shared" si="336"/>
        <v>-100</v>
      </c>
    </row>
    <row r="284" spans="1:36" s="5" customFormat="1" ht="21" customHeight="1" outlineLevel="1" x14ac:dyDescent="0.2">
      <c r="A284" s="33"/>
      <c r="B284" s="57"/>
      <c r="C284" s="27" t="s">
        <v>42</v>
      </c>
      <c r="D284" s="1111">
        <v>15000000</v>
      </c>
      <c r="E284" s="1109">
        <v>14210872.550000001</v>
      </c>
      <c r="F284" s="1109"/>
      <c r="G284" s="1109"/>
      <c r="H284" s="1109">
        <v>15000000</v>
      </c>
      <c r="I284" s="1110">
        <v>12655000</v>
      </c>
      <c r="J284" s="1110">
        <f>(H284-(H284*1.84/100))</f>
        <v>14724000</v>
      </c>
      <c r="K284" s="1033"/>
      <c r="L284" s="1033"/>
      <c r="M284" s="1160">
        <v>7362000</v>
      </c>
      <c r="N284" s="1160">
        <v>14724000</v>
      </c>
      <c r="O284" s="1160"/>
      <c r="P284" s="1160"/>
      <c r="Q284" s="1160"/>
      <c r="R284" s="1160"/>
      <c r="S284" s="1289">
        <v>33970</v>
      </c>
      <c r="T284" s="1091">
        <f t="shared" si="339"/>
        <v>33970</v>
      </c>
      <c r="U284" s="1091">
        <f t="shared" si="340"/>
        <v>14690030</v>
      </c>
      <c r="V284" s="1091">
        <f t="shared" si="335"/>
        <v>0.23071176310785113</v>
      </c>
      <c r="W284" s="1091"/>
      <c r="X284" s="1091">
        <f t="shared" si="341"/>
        <v>33970</v>
      </c>
      <c r="Y284" s="1091">
        <f t="shared" si="342"/>
        <v>14690030</v>
      </c>
      <c r="Z284" s="1091">
        <f t="shared" si="343"/>
        <v>33970</v>
      </c>
      <c r="AA284" s="1091">
        <f t="shared" si="344"/>
        <v>14690030</v>
      </c>
      <c r="AB284" s="1091">
        <f t="shared" si="345"/>
        <v>0.23071176310785113</v>
      </c>
      <c r="AD284" s="650">
        <f t="shared" si="334"/>
        <v>0</v>
      </c>
      <c r="AI284" s="1277">
        <f>VLOOKUP(K284,'[2]ผลการเบิกจ่ายสะสม พ.ย. 66'!$C:$N,12,0)</f>
        <v>0</v>
      </c>
      <c r="AJ284" s="1274">
        <f t="shared" si="336"/>
        <v>-33970</v>
      </c>
    </row>
    <row r="285" spans="1:36" s="5" customFormat="1" ht="21" customHeight="1" outlineLevel="1" x14ac:dyDescent="0.2">
      <c r="A285" s="33"/>
      <c r="B285" s="57"/>
      <c r="C285" s="27" t="s">
        <v>81</v>
      </c>
      <c r="D285" s="1111">
        <f>73835000+770100</f>
        <v>74605100</v>
      </c>
      <c r="E285" s="1109">
        <v>38008214.859999999</v>
      </c>
      <c r="F285" s="1109"/>
      <c r="G285" s="1109"/>
      <c r="H285" s="1109">
        <v>66578500</v>
      </c>
      <c r="I285" s="1110">
        <v>144222700</v>
      </c>
      <c r="J285" s="1110">
        <v>65353500</v>
      </c>
      <c r="K285" s="1033"/>
      <c r="L285" s="1033"/>
      <c r="M285" s="1160">
        <v>32676900</v>
      </c>
      <c r="N285" s="1160">
        <v>65353500</v>
      </c>
      <c r="O285" s="1160"/>
      <c r="P285" s="1160"/>
      <c r="Q285" s="1160"/>
      <c r="R285" s="1160"/>
      <c r="S285" s="1289">
        <f>139442.68-6855</f>
        <v>132587.68</v>
      </c>
      <c r="T285" s="1091">
        <f t="shared" si="339"/>
        <v>132587.68</v>
      </c>
      <c r="U285" s="1091">
        <f t="shared" si="340"/>
        <v>65220912.32</v>
      </c>
      <c r="V285" s="1091">
        <f t="shared" si="335"/>
        <v>0.20287770356599111</v>
      </c>
      <c r="W285" s="1091"/>
      <c r="X285" s="1091">
        <f t="shared" si="341"/>
        <v>132587.68</v>
      </c>
      <c r="Y285" s="1091">
        <f t="shared" si="342"/>
        <v>65220912.32</v>
      </c>
      <c r="Z285" s="1091">
        <f t="shared" si="343"/>
        <v>132587.68</v>
      </c>
      <c r="AA285" s="1091">
        <f t="shared" si="344"/>
        <v>65220912.32</v>
      </c>
      <c r="AB285" s="1091">
        <f t="shared" si="345"/>
        <v>0.20287770356599111</v>
      </c>
      <c r="AD285" s="650">
        <f t="shared" si="334"/>
        <v>0</v>
      </c>
      <c r="AI285" s="1277">
        <f>VLOOKUP(K285,'[2]ผลการเบิกจ่ายสะสม พ.ย. 66'!$C:$N,12,0)</f>
        <v>0</v>
      </c>
      <c r="AJ285" s="1274">
        <f t="shared" si="336"/>
        <v>-132587.68</v>
      </c>
    </row>
    <row r="286" spans="1:36" s="5" customFormat="1" ht="21" customHeight="1" outlineLevel="1" x14ac:dyDescent="0.2">
      <c r="A286" s="33"/>
      <c r="B286" s="183" t="s">
        <v>879</v>
      </c>
      <c r="C286" s="27"/>
      <c r="D286" s="1111"/>
      <c r="E286" s="1119"/>
      <c r="F286" s="1119"/>
      <c r="G286" s="1119"/>
      <c r="H286" s="1119">
        <v>0</v>
      </c>
      <c r="I286" s="1106"/>
      <c r="J286" s="1106"/>
      <c r="K286" s="1040"/>
      <c r="L286" s="1040"/>
      <c r="M286" s="1105"/>
      <c r="N286" s="1105"/>
      <c r="O286" s="1105"/>
      <c r="P286" s="1105"/>
      <c r="Q286" s="1105"/>
      <c r="R286" s="1105"/>
      <c r="S286" s="1105"/>
      <c r="T286" s="1105"/>
      <c r="U286" s="1105"/>
      <c r="V286" s="1105">
        <f t="shared" si="335"/>
        <v>0</v>
      </c>
      <c r="W286" s="1105"/>
      <c r="X286" s="1105"/>
      <c r="Y286" s="1105"/>
      <c r="Z286" s="1105"/>
      <c r="AA286" s="1105"/>
      <c r="AB286" s="1105"/>
      <c r="AD286" s="650">
        <f t="shared" si="334"/>
        <v>0</v>
      </c>
      <c r="AI286" s="1277">
        <f>VLOOKUP(K286,'[2]ผลการเบิกจ่ายสะสม พ.ย. 66'!$C:$N,12,0)</f>
        <v>0</v>
      </c>
      <c r="AJ286" s="1274">
        <f t="shared" si="336"/>
        <v>0</v>
      </c>
    </row>
    <row r="287" spans="1:36" s="5" customFormat="1" ht="21" customHeight="1" outlineLevel="1" x14ac:dyDescent="0.2">
      <c r="A287" s="33"/>
      <c r="B287" s="34" t="s">
        <v>90</v>
      </c>
      <c r="C287" s="273"/>
      <c r="D287" s="1118">
        <f>SUM(D289:D293)</f>
        <v>3757200</v>
      </c>
      <c r="E287" s="1119">
        <f>SUM(E289:E293)</f>
        <v>1735504</v>
      </c>
      <c r="F287" s="1119"/>
      <c r="G287" s="1119"/>
      <c r="H287" s="1119">
        <v>1730600</v>
      </c>
      <c r="I287" s="1106">
        <v>7154200</v>
      </c>
      <c r="J287" s="1106">
        <f>SUM(J288:J293)</f>
        <v>1730600</v>
      </c>
      <c r="K287" s="1040" t="s">
        <v>1371</v>
      </c>
      <c r="L287" s="1065" t="s">
        <v>1428</v>
      </c>
      <c r="M287" s="1105">
        <f t="shared" ref="M287:U287" si="346">SUM(M288:M293)</f>
        <v>865400</v>
      </c>
      <c r="N287" s="1105">
        <f>SUM(N288:N293)</f>
        <v>1730600</v>
      </c>
      <c r="O287" s="1105">
        <f t="shared" si="346"/>
        <v>0</v>
      </c>
      <c r="P287" s="1105">
        <f t="shared" si="346"/>
        <v>0</v>
      </c>
      <c r="Q287" s="1105">
        <f t="shared" si="346"/>
        <v>0</v>
      </c>
      <c r="R287" s="1105">
        <f t="shared" si="346"/>
        <v>0</v>
      </c>
      <c r="S287" s="1105">
        <f t="shared" si="346"/>
        <v>5498</v>
      </c>
      <c r="T287" s="1105">
        <f t="shared" si="346"/>
        <v>5498</v>
      </c>
      <c r="U287" s="1105">
        <f t="shared" si="346"/>
        <v>1725102</v>
      </c>
      <c r="V287" s="1105">
        <f t="shared" si="335"/>
        <v>0.31769328556569976</v>
      </c>
      <c r="W287" s="1105">
        <f t="shared" ref="W287:AB287" si="347">SUM(W288:W293)</f>
        <v>0</v>
      </c>
      <c r="X287" s="1105">
        <f t="shared" si="347"/>
        <v>5498</v>
      </c>
      <c r="Y287" s="1105">
        <f t="shared" si="347"/>
        <v>1725102</v>
      </c>
      <c r="Z287" s="1105">
        <f t="shared" si="347"/>
        <v>5498</v>
      </c>
      <c r="AA287" s="1105">
        <f t="shared" si="347"/>
        <v>1725102</v>
      </c>
      <c r="AB287" s="1105">
        <f t="shared" si="347"/>
        <v>0.31769328556569976</v>
      </c>
      <c r="AD287" s="650">
        <f>+N287+O287-R287-S287-U287</f>
        <v>0</v>
      </c>
      <c r="AI287" s="1277">
        <f>VLOOKUP(K287,'[2]ผลการเบิกจ่ายสะสม พ.ย. 66'!$C:$N,12,0)</f>
        <v>483919928.55000001</v>
      </c>
      <c r="AJ287" s="1274">
        <f t="shared" si="336"/>
        <v>483914430.55000001</v>
      </c>
    </row>
    <row r="288" spans="1:36" s="5" customFormat="1" ht="21" customHeight="1" outlineLevel="1" x14ac:dyDescent="0.2">
      <c r="A288" s="33"/>
      <c r="B288" s="57"/>
      <c r="C288" s="27" t="s">
        <v>53</v>
      </c>
      <c r="D288" s="1111"/>
      <c r="E288" s="1109"/>
      <c r="F288" s="1109"/>
      <c r="G288" s="1109"/>
      <c r="H288" s="1109">
        <v>0</v>
      </c>
      <c r="I288" s="1110">
        <v>300000</v>
      </c>
      <c r="J288" s="1110">
        <v>0</v>
      </c>
      <c r="K288" s="1033"/>
      <c r="L288" s="1033"/>
      <c r="M288" s="1160"/>
      <c r="N288" s="1160">
        <v>0</v>
      </c>
      <c r="O288" s="1160"/>
      <c r="P288" s="1160"/>
      <c r="Q288" s="1160"/>
      <c r="R288" s="1160"/>
      <c r="S288" s="1160"/>
      <c r="T288" s="1091">
        <f t="shared" ref="T288:T293" si="348">+R288+S288</f>
        <v>0</v>
      </c>
      <c r="U288" s="1091">
        <f t="shared" ref="U288:U293" si="349">+N288+O288-T288</f>
        <v>0</v>
      </c>
      <c r="V288" s="1091">
        <f t="shared" si="335"/>
        <v>0</v>
      </c>
      <c r="W288" s="1091"/>
      <c r="X288" s="1091">
        <f t="shared" ref="X288:X293" si="350">+T288+Q288</f>
        <v>0</v>
      </c>
      <c r="Y288" s="1091">
        <f t="shared" ref="Y288:Y293" si="351">+U288-Q288</f>
        <v>0</v>
      </c>
      <c r="Z288" s="1091">
        <f t="shared" ref="Z288:Z293" si="352">+T288+Q288+P288</f>
        <v>0</v>
      </c>
      <c r="AA288" s="1091">
        <f t="shared" ref="AA288:AA293" si="353">+U288-Q288-P288</f>
        <v>0</v>
      </c>
      <c r="AB288" s="1091">
        <f t="shared" ref="AB288:AB293" si="354">IFERROR(Z288*100/(N288+O288),0)</f>
        <v>0</v>
      </c>
      <c r="AD288" s="650">
        <f t="shared" si="334"/>
        <v>0</v>
      </c>
      <c r="AI288" s="1277">
        <f>VLOOKUP(K288,'[2]ผลการเบิกจ่ายสะสม พ.ย. 66'!$C:$N,12,0)</f>
        <v>0</v>
      </c>
      <c r="AJ288" s="1274">
        <f t="shared" si="336"/>
        <v>0</v>
      </c>
    </row>
    <row r="289" spans="1:36" s="5" customFormat="1" ht="21" customHeight="1" outlineLevel="1" x14ac:dyDescent="0.2">
      <c r="A289" s="33"/>
      <c r="B289" s="57"/>
      <c r="C289" s="27" t="s">
        <v>80</v>
      </c>
      <c r="D289" s="1111">
        <v>100000</v>
      </c>
      <c r="E289" s="1109">
        <v>108465</v>
      </c>
      <c r="F289" s="1109"/>
      <c r="G289" s="1109"/>
      <c r="H289" s="1109">
        <v>0</v>
      </c>
      <c r="I289" s="1110">
        <v>573400</v>
      </c>
      <c r="J289" s="1110">
        <v>0</v>
      </c>
      <c r="K289" s="1033"/>
      <c r="L289" s="1033"/>
      <c r="M289" s="1160"/>
      <c r="N289" s="1160">
        <v>0</v>
      </c>
      <c r="O289" s="1160"/>
      <c r="P289" s="1160"/>
      <c r="Q289" s="1160"/>
      <c r="R289" s="1160"/>
      <c r="S289" s="1160"/>
      <c r="T289" s="1091">
        <f t="shared" si="348"/>
        <v>0</v>
      </c>
      <c r="U289" s="1091">
        <f t="shared" si="349"/>
        <v>0</v>
      </c>
      <c r="V289" s="1091">
        <f t="shared" si="335"/>
        <v>0</v>
      </c>
      <c r="W289" s="1091"/>
      <c r="X289" s="1091">
        <f t="shared" si="350"/>
        <v>0</v>
      </c>
      <c r="Y289" s="1091">
        <f t="shared" si="351"/>
        <v>0</v>
      </c>
      <c r="Z289" s="1091">
        <f t="shared" si="352"/>
        <v>0</v>
      </c>
      <c r="AA289" s="1091">
        <f t="shared" si="353"/>
        <v>0</v>
      </c>
      <c r="AB289" s="1091">
        <f t="shared" si="354"/>
        <v>0</v>
      </c>
      <c r="AD289" s="650">
        <f t="shared" si="334"/>
        <v>0</v>
      </c>
      <c r="AI289" s="1277">
        <f>VLOOKUP(K289,'[2]ผลการเบิกจ่ายสะสม พ.ย. 66'!$C:$N,12,0)</f>
        <v>0</v>
      </c>
      <c r="AJ289" s="1274">
        <f t="shared" si="336"/>
        <v>0</v>
      </c>
    </row>
    <row r="290" spans="1:36" s="5" customFormat="1" ht="21" customHeight="1" outlineLevel="1" x14ac:dyDescent="0.2">
      <c r="A290" s="33"/>
      <c r="B290" s="57"/>
      <c r="C290" s="27" t="s">
        <v>51</v>
      </c>
      <c r="D290" s="1111"/>
      <c r="E290" s="1109"/>
      <c r="F290" s="1109"/>
      <c r="G290" s="1109"/>
      <c r="H290" s="1109">
        <v>0</v>
      </c>
      <c r="I290" s="1110">
        <v>492700</v>
      </c>
      <c r="J290" s="1110">
        <v>0</v>
      </c>
      <c r="K290" s="1033"/>
      <c r="L290" s="1033"/>
      <c r="M290" s="1160"/>
      <c r="N290" s="1160">
        <v>0</v>
      </c>
      <c r="O290" s="1160"/>
      <c r="P290" s="1160"/>
      <c r="Q290" s="1160"/>
      <c r="R290" s="1160"/>
      <c r="S290" s="1160"/>
      <c r="T290" s="1091">
        <f t="shared" si="348"/>
        <v>0</v>
      </c>
      <c r="U290" s="1091">
        <f t="shared" si="349"/>
        <v>0</v>
      </c>
      <c r="V290" s="1091">
        <f t="shared" si="335"/>
        <v>0</v>
      </c>
      <c r="W290" s="1091"/>
      <c r="X290" s="1091">
        <f t="shared" si="350"/>
        <v>0</v>
      </c>
      <c r="Y290" s="1091">
        <f t="shared" si="351"/>
        <v>0</v>
      </c>
      <c r="Z290" s="1091">
        <f t="shared" si="352"/>
        <v>0</v>
      </c>
      <c r="AA290" s="1091">
        <f t="shared" si="353"/>
        <v>0</v>
      </c>
      <c r="AB290" s="1091">
        <f t="shared" si="354"/>
        <v>0</v>
      </c>
      <c r="AD290" s="650">
        <f t="shared" si="334"/>
        <v>0</v>
      </c>
      <c r="AI290" s="1277">
        <f>VLOOKUP(K290,'[2]ผลการเบิกจ่ายสะสม พ.ย. 66'!$C:$N,12,0)</f>
        <v>0</v>
      </c>
      <c r="AJ290" s="1274">
        <f t="shared" si="336"/>
        <v>0</v>
      </c>
    </row>
    <row r="291" spans="1:36" s="5" customFormat="1" ht="21" customHeight="1" outlineLevel="1" x14ac:dyDescent="0.2">
      <c r="A291" s="33"/>
      <c r="B291" s="57"/>
      <c r="C291" s="27" t="s">
        <v>62</v>
      </c>
      <c r="D291" s="1111"/>
      <c r="E291" s="1109"/>
      <c r="F291" s="1109"/>
      <c r="G291" s="1109"/>
      <c r="H291" s="1109">
        <v>0</v>
      </c>
      <c r="I291" s="1110">
        <v>561600</v>
      </c>
      <c r="J291" s="1110">
        <v>0</v>
      </c>
      <c r="K291" s="1033"/>
      <c r="L291" s="1033"/>
      <c r="M291" s="1160"/>
      <c r="N291" s="1160">
        <v>0</v>
      </c>
      <c r="O291" s="1160"/>
      <c r="P291" s="1160"/>
      <c r="Q291" s="1160"/>
      <c r="R291" s="1160"/>
      <c r="S291" s="1160"/>
      <c r="T291" s="1091">
        <f t="shared" si="348"/>
        <v>0</v>
      </c>
      <c r="U291" s="1091">
        <f t="shared" si="349"/>
        <v>0</v>
      </c>
      <c r="V291" s="1091">
        <f t="shared" si="335"/>
        <v>0</v>
      </c>
      <c r="W291" s="1091"/>
      <c r="X291" s="1091">
        <f t="shared" si="350"/>
        <v>0</v>
      </c>
      <c r="Y291" s="1091">
        <f t="shared" si="351"/>
        <v>0</v>
      </c>
      <c r="Z291" s="1091">
        <f t="shared" si="352"/>
        <v>0</v>
      </c>
      <c r="AA291" s="1091">
        <f t="shared" si="353"/>
        <v>0</v>
      </c>
      <c r="AB291" s="1091">
        <f t="shared" si="354"/>
        <v>0</v>
      </c>
      <c r="AD291" s="650">
        <f t="shared" si="334"/>
        <v>0</v>
      </c>
      <c r="AI291" s="1277">
        <f>VLOOKUP(K291,'[2]ผลการเบิกจ่ายสะสม พ.ย. 66'!$C:$N,12,0)</f>
        <v>0</v>
      </c>
      <c r="AJ291" s="1274">
        <f t="shared" si="336"/>
        <v>0</v>
      </c>
    </row>
    <row r="292" spans="1:36" s="5" customFormat="1" ht="21" customHeight="1" outlineLevel="1" x14ac:dyDescent="0.2">
      <c r="A292" s="33"/>
      <c r="B292" s="57"/>
      <c r="C292" s="27" t="s">
        <v>50</v>
      </c>
      <c r="D292" s="1111"/>
      <c r="E292" s="1109"/>
      <c r="F292" s="1109"/>
      <c r="G292" s="1109"/>
      <c r="H292" s="1109">
        <v>0</v>
      </c>
      <c r="I292" s="1110">
        <v>502900</v>
      </c>
      <c r="J292" s="1110">
        <v>0</v>
      </c>
      <c r="K292" s="1033"/>
      <c r="L292" s="1033"/>
      <c r="M292" s="1160"/>
      <c r="N292" s="1160">
        <v>0</v>
      </c>
      <c r="O292" s="1160"/>
      <c r="P292" s="1160"/>
      <c r="Q292" s="1160"/>
      <c r="R292" s="1160"/>
      <c r="S292" s="1160"/>
      <c r="T292" s="1091">
        <f t="shared" si="348"/>
        <v>0</v>
      </c>
      <c r="U292" s="1091">
        <f t="shared" si="349"/>
        <v>0</v>
      </c>
      <c r="V292" s="1091">
        <f t="shared" si="335"/>
        <v>0</v>
      </c>
      <c r="W292" s="1091"/>
      <c r="X292" s="1091">
        <f t="shared" si="350"/>
        <v>0</v>
      </c>
      <c r="Y292" s="1091">
        <f t="shared" si="351"/>
        <v>0</v>
      </c>
      <c r="Z292" s="1091">
        <f t="shared" si="352"/>
        <v>0</v>
      </c>
      <c r="AA292" s="1091">
        <f t="shared" si="353"/>
        <v>0</v>
      </c>
      <c r="AB292" s="1091">
        <f t="shared" si="354"/>
        <v>0</v>
      </c>
      <c r="AD292" s="650">
        <f t="shared" si="334"/>
        <v>0</v>
      </c>
      <c r="AI292" s="1277">
        <f>VLOOKUP(K292,'[2]ผลการเบิกจ่ายสะสม พ.ย. 66'!$C:$N,12,0)</f>
        <v>0</v>
      </c>
      <c r="AJ292" s="1274">
        <f t="shared" si="336"/>
        <v>0</v>
      </c>
    </row>
    <row r="293" spans="1:36" s="5" customFormat="1" ht="21" customHeight="1" outlineLevel="1" x14ac:dyDescent="0.2">
      <c r="A293" s="33"/>
      <c r="B293" s="57"/>
      <c r="C293" s="27" t="s">
        <v>81</v>
      </c>
      <c r="D293" s="1111">
        <v>3657200</v>
      </c>
      <c r="E293" s="1109">
        <v>1627039</v>
      </c>
      <c r="F293" s="1109"/>
      <c r="G293" s="1109"/>
      <c r="H293" s="1109">
        <v>1730600</v>
      </c>
      <c r="I293" s="1110">
        <v>4723600</v>
      </c>
      <c r="J293" s="1110">
        <v>1730600</v>
      </c>
      <c r="K293" s="1033"/>
      <c r="L293" s="1033"/>
      <c r="M293" s="1160">
        <v>865400</v>
      </c>
      <c r="N293" s="1160">
        <v>1730600</v>
      </c>
      <c r="O293" s="1160"/>
      <c r="P293" s="1160"/>
      <c r="Q293" s="1160"/>
      <c r="R293" s="1160"/>
      <c r="S293" s="1267">
        <f>5498</f>
        <v>5498</v>
      </c>
      <c r="T293" s="1091">
        <f t="shared" si="348"/>
        <v>5498</v>
      </c>
      <c r="U293" s="1091">
        <f t="shared" si="349"/>
        <v>1725102</v>
      </c>
      <c r="V293" s="1091">
        <f t="shared" si="335"/>
        <v>0.31769328556569976</v>
      </c>
      <c r="W293" s="1091"/>
      <c r="X293" s="1091">
        <f t="shared" si="350"/>
        <v>5498</v>
      </c>
      <c r="Y293" s="1091">
        <f t="shared" si="351"/>
        <v>1725102</v>
      </c>
      <c r="Z293" s="1091">
        <f t="shared" si="352"/>
        <v>5498</v>
      </c>
      <c r="AA293" s="1091">
        <f t="shared" si="353"/>
        <v>1725102</v>
      </c>
      <c r="AB293" s="1091">
        <f t="shared" si="354"/>
        <v>0.31769328556569976</v>
      </c>
      <c r="AD293" s="650">
        <f t="shared" si="334"/>
        <v>0</v>
      </c>
      <c r="AI293" s="1277">
        <f>VLOOKUP(K293,'[2]ผลการเบิกจ่ายสะสม พ.ย. 66'!$C:$N,12,0)</f>
        <v>0</v>
      </c>
      <c r="AJ293" s="1274">
        <f t="shared" si="336"/>
        <v>-5498</v>
      </c>
    </row>
    <row r="294" spans="1:36" s="5" customFormat="1" ht="21" customHeight="1" outlineLevel="1" x14ac:dyDescent="0.2">
      <c r="A294" s="33"/>
      <c r="B294" s="34" t="s">
        <v>91</v>
      </c>
      <c r="C294" s="273"/>
      <c r="D294" s="1118">
        <f>SUM(D295:D307)</f>
        <v>26228900</v>
      </c>
      <c r="E294" s="1119">
        <f>SUM(E295:E307)</f>
        <v>2626453.09</v>
      </c>
      <c r="F294" s="1119"/>
      <c r="G294" s="1119"/>
      <c r="H294" s="1119">
        <f>SUM(H295:H307)</f>
        <v>18613100</v>
      </c>
      <c r="I294" s="1106">
        <v>20500000</v>
      </c>
      <c r="J294" s="1106">
        <f>SUM(J295:J307)</f>
        <v>18613100</v>
      </c>
      <c r="K294" s="1040" t="s">
        <v>1371</v>
      </c>
      <c r="L294" s="1065" t="s">
        <v>1428</v>
      </c>
      <c r="M294" s="1105">
        <f t="shared" ref="M294:U294" si="355">SUM(M295:M307)</f>
        <v>14314800</v>
      </c>
      <c r="N294" s="1105">
        <f>SUM(N295:N307)</f>
        <v>18613100</v>
      </c>
      <c r="O294" s="1240">
        <f t="shared" si="355"/>
        <v>-1853602.72</v>
      </c>
      <c r="P294" s="1105">
        <f t="shared" si="355"/>
        <v>0</v>
      </c>
      <c r="Q294" s="1105">
        <f t="shared" si="355"/>
        <v>0</v>
      </c>
      <c r="R294" s="1105">
        <f t="shared" si="355"/>
        <v>0</v>
      </c>
      <c r="S294" s="1105">
        <f t="shared" si="355"/>
        <v>321958.67</v>
      </c>
      <c r="T294" s="1105">
        <f t="shared" si="355"/>
        <v>321958.67</v>
      </c>
      <c r="U294" s="1105">
        <f t="shared" si="355"/>
        <v>16437538.609999999</v>
      </c>
      <c r="V294" s="1105">
        <f t="shared" si="335"/>
        <v>1.9210520734664902</v>
      </c>
      <c r="W294" s="1105">
        <f t="shared" ref="W294:AB294" si="356">SUM(W295:W307)</f>
        <v>0</v>
      </c>
      <c r="X294" s="1105">
        <f t="shared" si="356"/>
        <v>321958.67</v>
      </c>
      <c r="Y294" s="1105">
        <f t="shared" si="356"/>
        <v>16437538.609999999</v>
      </c>
      <c r="Z294" s="1105">
        <f t="shared" si="356"/>
        <v>321958.67</v>
      </c>
      <c r="AA294" s="1105">
        <f t="shared" si="356"/>
        <v>16437538.609999999</v>
      </c>
      <c r="AB294" s="1105">
        <f t="shared" si="356"/>
        <v>149.06024168811379</v>
      </c>
      <c r="AD294" s="650">
        <f t="shared" si="334"/>
        <v>0</v>
      </c>
      <c r="AI294" s="1277">
        <f>VLOOKUP(K294,'[2]ผลการเบิกจ่ายสะสม พ.ย. 66'!$C:$N,12,0)</f>
        <v>483919928.55000001</v>
      </c>
      <c r="AJ294" s="1274">
        <f t="shared" si="336"/>
        <v>483597969.88</v>
      </c>
    </row>
    <row r="295" spans="1:36" s="5" customFormat="1" ht="21" customHeight="1" outlineLevel="1" x14ac:dyDescent="0.2">
      <c r="A295" s="33"/>
      <c r="B295" s="57"/>
      <c r="C295" s="27" t="s">
        <v>52</v>
      </c>
      <c r="D295" s="1111">
        <v>700000</v>
      </c>
      <c r="E295" s="1109">
        <v>108216.66</v>
      </c>
      <c r="F295" s="1109"/>
      <c r="G295" s="1109"/>
      <c r="H295" s="1109">
        <v>700000</v>
      </c>
      <c r="I295" s="1110">
        <v>800000</v>
      </c>
      <c r="J295" s="1110">
        <v>200000</v>
      </c>
      <c r="K295" s="1033"/>
      <c r="L295" s="1033"/>
      <c r="M295" s="1160">
        <v>150200</v>
      </c>
      <c r="N295" s="1160">
        <v>200000</v>
      </c>
      <c r="O295" s="1160"/>
      <c r="P295" s="1160"/>
      <c r="Q295" s="1160"/>
      <c r="R295" s="1160"/>
      <c r="S295" s="1289">
        <f>39340-12056.63</f>
        <v>27283.370000000003</v>
      </c>
      <c r="T295" s="1091">
        <f t="shared" ref="T295:T313" si="357">+R295+S295</f>
        <v>27283.370000000003</v>
      </c>
      <c r="U295" s="1091">
        <f t="shared" ref="U295:U313" si="358">+N295+O295-T295</f>
        <v>172716.63</v>
      </c>
      <c r="V295" s="1091">
        <f t="shared" si="335"/>
        <v>13.641685000000003</v>
      </c>
      <c r="W295" s="1091"/>
      <c r="X295" s="1091">
        <f t="shared" ref="X295:X313" si="359">+T295+Q295</f>
        <v>27283.370000000003</v>
      </c>
      <c r="Y295" s="1091">
        <f t="shared" ref="Y295:Y313" si="360">+U295-Q295</f>
        <v>172716.63</v>
      </c>
      <c r="Z295" s="1091">
        <f t="shared" ref="Z295:Z313" si="361">+T295+Q295+P295</f>
        <v>27283.370000000003</v>
      </c>
      <c r="AA295" s="1091">
        <f t="shared" ref="AA295:AA313" si="362">+U295-Q295-P295</f>
        <v>172716.63</v>
      </c>
      <c r="AB295" s="1091">
        <f t="shared" ref="AB295:AB313" si="363">IFERROR(Z295*100/(N295+O295),0)</f>
        <v>13.641685000000003</v>
      </c>
      <c r="AD295" s="650">
        <f t="shared" si="334"/>
        <v>0</v>
      </c>
      <c r="AI295" s="1277">
        <f>VLOOKUP(K295,'[2]ผลการเบิกจ่ายสะสม พ.ย. 66'!$C:$N,12,0)</f>
        <v>0</v>
      </c>
      <c r="AJ295" s="1274">
        <f t="shared" si="336"/>
        <v>-27283.370000000003</v>
      </c>
    </row>
    <row r="296" spans="1:36" s="5" customFormat="1" ht="21" customHeight="1" outlineLevel="1" x14ac:dyDescent="0.2">
      <c r="A296" s="33"/>
      <c r="B296" s="57"/>
      <c r="C296" s="27" t="s">
        <v>49</v>
      </c>
      <c r="D296" s="1111">
        <v>500000</v>
      </c>
      <c r="E296" s="1109">
        <v>177989.59</v>
      </c>
      <c r="F296" s="1109"/>
      <c r="G296" s="1109"/>
      <c r="H296" s="1109">
        <v>500000</v>
      </c>
      <c r="I296" s="1110">
        <v>800000</v>
      </c>
      <c r="J296" s="1110">
        <v>200000</v>
      </c>
      <c r="K296" s="1033"/>
      <c r="L296" s="1033"/>
      <c r="M296" s="1160">
        <v>150200</v>
      </c>
      <c r="N296" s="1160">
        <v>200000</v>
      </c>
      <c r="O296" s="1160">
        <v>70000</v>
      </c>
      <c r="P296" s="1160"/>
      <c r="Q296" s="1160"/>
      <c r="R296" s="1160"/>
      <c r="S296" s="1289">
        <f>60547.5</f>
        <v>60547.5</v>
      </c>
      <c r="T296" s="1091">
        <f t="shared" si="357"/>
        <v>60547.5</v>
      </c>
      <c r="U296" s="1091">
        <f t="shared" si="358"/>
        <v>209452.5</v>
      </c>
      <c r="V296" s="1091">
        <f t="shared" si="335"/>
        <v>22.425000000000001</v>
      </c>
      <c r="W296" s="1091"/>
      <c r="X296" s="1091">
        <f t="shared" si="359"/>
        <v>60547.5</v>
      </c>
      <c r="Y296" s="1091">
        <f t="shared" si="360"/>
        <v>209452.5</v>
      </c>
      <c r="Z296" s="1091">
        <f t="shared" si="361"/>
        <v>60547.5</v>
      </c>
      <c r="AA296" s="1091">
        <f t="shared" si="362"/>
        <v>209452.5</v>
      </c>
      <c r="AB296" s="1091">
        <f t="shared" si="363"/>
        <v>22.425000000000001</v>
      </c>
      <c r="AC296" s="5" t="s">
        <v>1455</v>
      </c>
      <c r="AD296" s="650">
        <f t="shared" si="334"/>
        <v>0</v>
      </c>
      <c r="AI296" s="1277">
        <f>VLOOKUP(K296,'[2]ผลการเบิกจ่ายสะสม พ.ย. 66'!$C:$N,12,0)</f>
        <v>0</v>
      </c>
      <c r="AJ296" s="1274">
        <f t="shared" si="336"/>
        <v>-60547.5</v>
      </c>
    </row>
    <row r="297" spans="1:36" s="5" customFormat="1" ht="21" customHeight="1" outlineLevel="1" x14ac:dyDescent="0.2">
      <c r="A297" s="33"/>
      <c r="B297" s="57"/>
      <c r="C297" s="27" t="s">
        <v>54</v>
      </c>
      <c r="D297" s="1111">
        <v>500000</v>
      </c>
      <c r="E297" s="1109">
        <v>260696.4</v>
      </c>
      <c r="F297" s="1109"/>
      <c r="G297" s="1109"/>
      <c r="H297" s="1109">
        <v>500000</v>
      </c>
      <c r="I297" s="1110">
        <v>800000</v>
      </c>
      <c r="J297" s="1110">
        <v>200000</v>
      </c>
      <c r="K297" s="1033"/>
      <c r="L297" s="1033"/>
      <c r="M297" s="1160">
        <v>150200</v>
      </c>
      <c r="N297" s="1160">
        <v>200000</v>
      </c>
      <c r="O297" s="1241">
        <v>-34702.720000000001</v>
      </c>
      <c r="P297" s="1160"/>
      <c r="Q297" s="1160"/>
      <c r="R297" s="1160"/>
      <c r="S297" s="1289">
        <f>20256.3</f>
        <v>20256.3</v>
      </c>
      <c r="T297" s="1091">
        <f t="shared" si="357"/>
        <v>20256.3</v>
      </c>
      <c r="U297" s="1091">
        <f t="shared" si="358"/>
        <v>145040.98000000001</v>
      </c>
      <c r="V297" s="1091">
        <f t="shared" si="335"/>
        <v>12.254466619172439</v>
      </c>
      <c r="W297" s="1091"/>
      <c r="X297" s="1091">
        <f t="shared" si="359"/>
        <v>20256.3</v>
      </c>
      <c r="Y297" s="1091">
        <f t="shared" si="360"/>
        <v>145040.98000000001</v>
      </c>
      <c r="Z297" s="1091">
        <f t="shared" si="361"/>
        <v>20256.3</v>
      </c>
      <c r="AA297" s="1091">
        <f t="shared" si="362"/>
        <v>145040.98000000001</v>
      </c>
      <c r="AB297" s="1091">
        <f t="shared" si="363"/>
        <v>12.254466619172439</v>
      </c>
      <c r="AC297" s="5" t="s">
        <v>1453</v>
      </c>
      <c r="AD297" s="650">
        <f t="shared" si="334"/>
        <v>0</v>
      </c>
      <c r="AI297" s="1277">
        <f>VLOOKUP(K297,'[2]ผลการเบิกจ่ายสะสม พ.ย. 66'!$C:$N,12,0)</f>
        <v>0</v>
      </c>
      <c r="AJ297" s="1274">
        <f t="shared" si="336"/>
        <v>-20256.3</v>
      </c>
    </row>
    <row r="298" spans="1:36" s="5" customFormat="1" ht="21" customHeight="1" outlineLevel="1" x14ac:dyDescent="0.2">
      <c r="A298" s="33"/>
      <c r="B298" s="57"/>
      <c r="C298" s="27" t="s">
        <v>53</v>
      </c>
      <c r="D298" s="1111">
        <v>500000</v>
      </c>
      <c r="E298" s="1109">
        <v>89171.35</v>
      </c>
      <c r="F298" s="1109"/>
      <c r="G298" s="1109"/>
      <c r="H298" s="1109">
        <v>500000</v>
      </c>
      <c r="I298" s="1110">
        <v>600000</v>
      </c>
      <c r="J298" s="1110">
        <v>200000</v>
      </c>
      <c r="K298" s="1033"/>
      <c r="L298" s="1033"/>
      <c r="M298" s="1160">
        <v>150200</v>
      </c>
      <c r="N298" s="1160">
        <v>200000</v>
      </c>
      <c r="O298" s="1160"/>
      <c r="P298" s="1160"/>
      <c r="Q298" s="1160"/>
      <c r="R298" s="1160"/>
      <c r="S298" s="1289">
        <f>63981</f>
        <v>63981</v>
      </c>
      <c r="T298" s="1091">
        <f t="shared" si="357"/>
        <v>63981</v>
      </c>
      <c r="U298" s="1091">
        <f t="shared" si="358"/>
        <v>136019</v>
      </c>
      <c r="V298" s="1091">
        <f t="shared" si="335"/>
        <v>31.990500000000001</v>
      </c>
      <c r="W298" s="1091"/>
      <c r="X298" s="1091">
        <f t="shared" si="359"/>
        <v>63981</v>
      </c>
      <c r="Y298" s="1091">
        <f t="shared" si="360"/>
        <v>136019</v>
      </c>
      <c r="Z298" s="1091">
        <f t="shared" si="361"/>
        <v>63981</v>
      </c>
      <c r="AA298" s="1091">
        <f t="shared" si="362"/>
        <v>136019</v>
      </c>
      <c r="AB298" s="1091">
        <f t="shared" si="363"/>
        <v>31.990500000000001</v>
      </c>
      <c r="AD298" s="650">
        <f t="shared" si="334"/>
        <v>0</v>
      </c>
      <c r="AI298" s="1277">
        <f>VLOOKUP(K298,'[2]ผลการเบิกจ่ายสะสม พ.ย. 66'!$C:$N,12,0)</f>
        <v>0</v>
      </c>
      <c r="AJ298" s="1274">
        <f t="shared" si="336"/>
        <v>-63981</v>
      </c>
    </row>
    <row r="299" spans="1:36" s="5" customFormat="1" ht="21" customHeight="1" outlineLevel="1" x14ac:dyDescent="0.2">
      <c r="A299" s="33"/>
      <c r="B299" s="57"/>
      <c r="C299" s="27" t="s">
        <v>80</v>
      </c>
      <c r="D299" s="1111">
        <v>400000</v>
      </c>
      <c r="E299" s="1109">
        <v>127810</v>
      </c>
      <c r="F299" s="1109"/>
      <c r="G299" s="1109"/>
      <c r="H299" s="1109">
        <v>400000</v>
      </c>
      <c r="I299" s="1110">
        <v>400000</v>
      </c>
      <c r="J299" s="1110">
        <v>100000</v>
      </c>
      <c r="K299" s="1033"/>
      <c r="L299" s="1033"/>
      <c r="M299" s="1160">
        <v>75200</v>
      </c>
      <c r="N299" s="1160">
        <v>100000</v>
      </c>
      <c r="O299" s="1160"/>
      <c r="P299" s="1160"/>
      <c r="Q299" s="1160"/>
      <c r="R299" s="1160"/>
      <c r="S299" s="1289">
        <f>1380</f>
        <v>1380</v>
      </c>
      <c r="T299" s="1091">
        <f t="shared" si="357"/>
        <v>1380</v>
      </c>
      <c r="U299" s="1091">
        <f t="shared" si="358"/>
        <v>98620</v>
      </c>
      <c r="V299" s="1091">
        <f t="shared" si="335"/>
        <v>1.38</v>
      </c>
      <c r="W299" s="1091"/>
      <c r="X299" s="1091">
        <f t="shared" si="359"/>
        <v>1380</v>
      </c>
      <c r="Y299" s="1091">
        <f t="shared" si="360"/>
        <v>98620</v>
      </c>
      <c r="Z299" s="1091">
        <f t="shared" si="361"/>
        <v>1380</v>
      </c>
      <c r="AA299" s="1091">
        <f t="shared" si="362"/>
        <v>98620</v>
      </c>
      <c r="AB299" s="1091">
        <f t="shared" si="363"/>
        <v>1.38</v>
      </c>
      <c r="AD299" s="650">
        <f t="shared" si="334"/>
        <v>0</v>
      </c>
      <c r="AI299" s="1277">
        <f>VLOOKUP(K299,'[2]ผลการเบิกจ่ายสะสม พ.ย. 66'!$C:$N,12,0)</f>
        <v>0</v>
      </c>
      <c r="AJ299" s="1274">
        <f t="shared" si="336"/>
        <v>-1380</v>
      </c>
    </row>
    <row r="300" spans="1:36" s="5" customFormat="1" ht="21" customHeight="1" outlineLevel="1" x14ac:dyDescent="0.2">
      <c r="A300" s="33"/>
      <c r="B300" s="57"/>
      <c r="C300" s="27" t="s">
        <v>63</v>
      </c>
      <c r="D300" s="1111">
        <v>100000</v>
      </c>
      <c r="E300" s="1109">
        <v>21973</v>
      </c>
      <c r="F300" s="1109"/>
      <c r="G300" s="1109"/>
      <c r="H300" s="1109">
        <v>100000</v>
      </c>
      <c r="I300" s="1110">
        <v>150000</v>
      </c>
      <c r="J300" s="1110">
        <v>100000</v>
      </c>
      <c r="K300" s="1033"/>
      <c r="L300" s="1033"/>
      <c r="M300" s="1160">
        <v>75200</v>
      </c>
      <c r="N300" s="1160">
        <v>100000</v>
      </c>
      <c r="O300" s="1160"/>
      <c r="P300" s="1160"/>
      <c r="Q300" s="1160"/>
      <c r="R300" s="1160"/>
      <c r="S300" s="1289">
        <v>1535</v>
      </c>
      <c r="T300" s="1091">
        <f t="shared" si="357"/>
        <v>1535</v>
      </c>
      <c r="U300" s="1091">
        <f t="shared" si="358"/>
        <v>98465</v>
      </c>
      <c r="V300" s="1091">
        <f t="shared" si="335"/>
        <v>1.5349999999999999</v>
      </c>
      <c r="W300" s="1091"/>
      <c r="X300" s="1091">
        <f t="shared" si="359"/>
        <v>1535</v>
      </c>
      <c r="Y300" s="1091">
        <f t="shared" si="360"/>
        <v>98465</v>
      </c>
      <c r="Z300" s="1091">
        <f t="shared" si="361"/>
        <v>1535</v>
      </c>
      <c r="AA300" s="1091">
        <f t="shared" si="362"/>
        <v>98465</v>
      </c>
      <c r="AB300" s="1091">
        <f t="shared" si="363"/>
        <v>1.5349999999999999</v>
      </c>
      <c r="AD300" s="650">
        <f t="shared" si="334"/>
        <v>0</v>
      </c>
      <c r="AI300" s="1277">
        <f>VLOOKUP(K300,'[2]ผลการเบิกจ่ายสะสม พ.ย. 66'!$C:$N,12,0)</f>
        <v>0</v>
      </c>
      <c r="AJ300" s="1274">
        <f t="shared" si="336"/>
        <v>-1535</v>
      </c>
    </row>
    <row r="301" spans="1:36" s="5" customFormat="1" ht="21" customHeight="1" outlineLevel="1" x14ac:dyDescent="0.2">
      <c r="A301" s="33"/>
      <c r="B301" s="57"/>
      <c r="C301" s="27" t="s">
        <v>61</v>
      </c>
      <c r="D301" s="1111">
        <v>200000</v>
      </c>
      <c r="E301" s="1109">
        <v>28957</v>
      </c>
      <c r="F301" s="1109"/>
      <c r="G301" s="1109"/>
      <c r="H301" s="1109">
        <v>200000</v>
      </c>
      <c r="I301" s="1110">
        <v>250000</v>
      </c>
      <c r="J301" s="1110">
        <v>100000</v>
      </c>
      <c r="K301" s="1033"/>
      <c r="L301" s="1033"/>
      <c r="M301" s="1160">
        <v>75200</v>
      </c>
      <c r="N301" s="1160">
        <v>100000</v>
      </c>
      <c r="O301" s="1160"/>
      <c r="P301" s="1160"/>
      <c r="Q301" s="1160"/>
      <c r="R301" s="1160"/>
      <c r="S301" s="1160"/>
      <c r="T301" s="1091">
        <f t="shared" si="357"/>
        <v>0</v>
      </c>
      <c r="U301" s="1091">
        <f t="shared" si="358"/>
        <v>100000</v>
      </c>
      <c r="V301" s="1091">
        <f t="shared" si="335"/>
        <v>0</v>
      </c>
      <c r="W301" s="1091"/>
      <c r="X301" s="1091">
        <f t="shared" si="359"/>
        <v>0</v>
      </c>
      <c r="Y301" s="1091">
        <f t="shared" si="360"/>
        <v>100000</v>
      </c>
      <c r="Z301" s="1091">
        <f t="shared" si="361"/>
        <v>0</v>
      </c>
      <c r="AA301" s="1091">
        <f t="shared" si="362"/>
        <v>100000</v>
      </c>
      <c r="AB301" s="1091">
        <f t="shared" si="363"/>
        <v>0</v>
      </c>
      <c r="AD301" s="650">
        <f t="shared" si="334"/>
        <v>0</v>
      </c>
      <c r="AI301" s="1277">
        <f>VLOOKUP(K301,'[2]ผลการเบิกจ่ายสะสม พ.ย. 66'!$C:$N,12,0)</f>
        <v>0</v>
      </c>
      <c r="AJ301" s="1274">
        <f t="shared" si="336"/>
        <v>0</v>
      </c>
    </row>
    <row r="302" spans="1:36" s="5" customFormat="1" ht="21" customHeight="1" outlineLevel="1" x14ac:dyDescent="0.2">
      <c r="A302" s="33"/>
      <c r="B302" s="57"/>
      <c r="C302" s="27" t="s">
        <v>51</v>
      </c>
      <c r="D302" s="1111">
        <v>100000</v>
      </c>
      <c r="E302" s="1109">
        <v>57916</v>
      </c>
      <c r="F302" s="1109"/>
      <c r="G302" s="1109"/>
      <c r="H302" s="1109">
        <v>100000</v>
      </c>
      <c r="I302" s="1110">
        <v>350000</v>
      </c>
      <c r="J302" s="1110">
        <v>100000</v>
      </c>
      <c r="K302" s="1033"/>
      <c r="L302" s="1033"/>
      <c r="M302" s="1160">
        <v>75200</v>
      </c>
      <c r="N302" s="1160">
        <v>100000</v>
      </c>
      <c r="O302" s="1160"/>
      <c r="P302" s="1160"/>
      <c r="Q302" s="1160"/>
      <c r="R302" s="1160"/>
      <c r="S302" s="1289">
        <v>1765.5</v>
      </c>
      <c r="T302" s="1091">
        <f t="shared" si="357"/>
        <v>1765.5</v>
      </c>
      <c r="U302" s="1091">
        <f t="shared" si="358"/>
        <v>98234.5</v>
      </c>
      <c r="V302" s="1091">
        <f t="shared" si="335"/>
        <v>1.7655000000000001</v>
      </c>
      <c r="W302" s="1091"/>
      <c r="X302" s="1091">
        <f t="shared" si="359"/>
        <v>1765.5</v>
      </c>
      <c r="Y302" s="1091">
        <f t="shared" si="360"/>
        <v>98234.5</v>
      </c>
      <c r="Z302" s="1091">
        <f t="shared" si="361"/>
        <v>1765.5</v>
      </c>
      <c r="AA302" s="1091">
        <f t="shared" si="362"/>
        <v>98234.5</v>
      </c>
      <c r="AB302" s="1091">
        <f t="shared" si="363"/>
        <v>1.7655000000000001</v>
      </c>
      <c r="AD302" s="650">
        <f t="shared" si="334"/>
        <v>0</v>
      </c>
      <c r="AI302" s="1277">
        <f>VLOOKUP(K302,'[2]ผลการเบิกจ่ายสะสม พ.ย. 66'!$C:$N,12,0)</f>
        <v>0</v>
      </c>
      <c r="AJ302" s="1274">
        <f t="shared" si="336"/>
        <v>-1765.5</v>
      </c>
    </row>
    <row r="303" spans="1:36" s="5" customFormat="1" ht="21" customHeight="1" outlineLevel="1" x14ac:dyDescent="0.2">
      <c r="A303" s="33"/>
      <c r="B303" s="57"/>
      <c r="C303" s="27" t="s">
        <v>62</v>
      </c>
      <c r="D303" s="1111">
        <v>100000</v>
      </c>
      <c r="E303" s="1109">
        <v>7595</v>
      </c>
      <c r="F303" s="1109"/>
      <c r="G303" s="1109"/>
      <c r="H303" s="1109">
        <v>100000</v>
      </c>
      <c r="I303" s="1110">
        <v>360000</v>
      </c>
      <c r="J303" s="1110">
        <v>100000</v>
      </c>
      <c r="K303" s="1033"/>
      <c r="L303" s="1033"/>
      <c r="M303" s="1160">
        <v>75200</v>
      </c>
      <c r="N303" s="1160">
        <v>100000</v>
      </c>
      <c r="O303" s="1160"/>
      <c r="P303" s="1160"/>
      <c r="Q303" s="1160"/>
      <c r="R303" s="1160"/>
      <c r="S303" s="1289">
        <v>48896</v>
      </c>
      <c r="T303" s="1091">
        <f t="shared" si="357"/>
        <v>48896</v>
      </c>
      <c r="U303" s="1091">
        <f t="shared" si="358"/>
        <v>51104</v>
      </c>
      <c r="V303" s="1091">
        <f t="shared" si="335"/>
        <v>48.896000000000001</v>
      </c>
      <c r="W303" s="1091"/>
      <c r="X303" s="1091">
        <f t="shared" si="359"/>
        <v>48896</v>
      </c>
      <c r="Y303" s="1091">
        <f t="shared" si="360"/>
        <v>51104</v>
      </c>
      <c r="Z303" s="1091">
        <f t="shared" si="361"/>
        <v>48896</v>
      </c>
      <c r="AA303" s="1091">
        <f t="shared" si="362"/>
        <v>51104</v>
      </c>
      <c r="AB303" s="1091">
        <f t="shared" si="363"/>
        <v>48.896000000000001</v>
      </c>
      <c r="AD303" s="650">
        <f t="shared" si="334"/>
        <v>0</v>
      </c>
      <c r="AI303" s="1277">
        <f>VLOOKUP(K303,'[2]ผลการเบิกจ่ายสะสม พ.ย. 66'!$C:$N,12,0)</f>
        <v>0</v>
      </c>
      <c r="AJ303" s="1274">
        <f t="shared" si="336"/>
        <v>-48896</v>
      </c>
    </row>
    <row r="304" spans="1:36" s="5" customFormat="1" ht="21" customHeight="1" outlineLevel="1" x14ac:dyDescent="0.2">
      <c r="A304" s="33"/>
      <c r="B304" s="57"/>
      <c r="C304" s="27" t="s">
        <v>43</v>
      </c>
      <c r="D304" s="1111">
        <v>200000</v>
      </c>
      <c r="E304" s="1109">
        <v>246293.76000000001</v>
      </c>
      <c r="F304" s="1109"/>
      <c r="G304" s="1109"/>
      <c r="H304" s="1109">
        <v>200000</v>
      </c>
      <c r="I304" s="1110">
        <v>300000</v>
      </c>
      <c r="J304" s="1110">
        <v>200000</v>
      </c>
      <c r="K304" s="1033"/>
      <c r="L304" s="1033"/>
      <c r="M304" s="1160">
        <v>150000</v>
      </c>
      <c r="N304" s="1160">
        <v>200000</v>
      </c>
      <c r="O304" s="1160"/>
      <c r="P304" s="1160"/>
      <c r="Q304" s="1160"/>
      <c r="R304" s="1160"/>
      <c r="S304" s="1289">
        <v>1240</v>
      </c>
      <c r="T304" s="1091">
        <f t="shared" si="357"/>
        <v>1240</v>
      </c>
      <c r="U304" s="1091">
        <f t="shared" si="358"/>
        <v>198760</v>
      </c>
      <c r="V304" s="1091">
        <f t="shared" si="335"/>
        <v>0.62</v>
      </c>
      <c r="W304" s="1091"/>
      <c r="X304" s="1091">
        <f t="shared" si="359"/>
        <v>1240</v>
      </c>
      <c r="Y304" s="1091">
        <f t="shared" si="360"/>
        <v>198760</v>
      </c>
      <c r="Z304" s="1091">
        <f t="shared" si="361"/>
        <v>1240</v>
      </c>
      <c r="AA304" s="1091">
        <f t="shared" si="362"/>
        <v>198760</v>
      </c>
      <c r="AB304" s="1091">
        <f t="shared" si="363"/>
        <v>0.62</v>
      </c>
      <c r="AD304" s="650">
        <f t="shared" si="334"/>
        <v>0</v>
      </c>
      <c r="AI304" s="1277">
        <f>VLOOKUP(K304,'[2]ผลการเบิกจ่ายสะสม พ.ย. 66'!$C:$N,12,0)</f>
        <v>0</v>
      </c>
      <c r="AJ304" s="1274">
        <f t="shared" si="336"/>
        <v>-1240</v>
      </c>
    </row>
    <row r="305" spans="1:36" s="5" customFormat="1" ht="21" customHeight="1" outlineLevel="1" x14ac:dyDescent="0.2">
      <c r="A305" s="33"/>
      <c r="B305" s="57"/>
      <c r="C305" s="27" t="s">
        <v>50</v>
      </c>
      <c r="D305" s="1111">
        <v>105000</v>
      </c>
      <c r="E305" s="1109">
        <v>48005</v>
      </c>
      <c r="F305" s="1109"/>
      <c r="G305" s="1109"/>
      <c r="H305" s="1109">
        <v>105000</v>
      </c>
      <c r="I305" s="1110">
        <v>550000</v>
      </c>
      <c r="J305" s="1110">
        <v>100000</v>
      </c>
      <c r="K305" s="1033"/>
      <c r="L305" s="1033"/>
      <c r="M305" s="1160">
        <v>75200</v>
      </c>
      <c r="N305" s="1160">
        <v>100000</v>
      </c>
      <c r="O305" s="1160"/>
      <c r="P305" s="1160"/>
      <c r="Q305" s="1160"/>
      <c r="R305" s="1160"/>
      <c r="S305" s="1289">
        <v>1700</v>
      </c>
      <c r="T305" s="1091">
        <f t="shared" si="357"/>
        <v>1700</v>
      </c>
      <c r="U305" s="1091">
        <f t="shared" si="358"/>
        <v>98300</v>
      </c>
      <c r="V305" s="1091">
        <f t="shared" si="335"/>
        <v>1.7</v>
      </c>
      <c r="W305" s="1091"/>
      <c r="X305" s="1091">
        <f t="shared" si="359"/>
        <v>1700</v>
      </c>
      <c r="Y305" s="1091">
        <f t="shared" si="360"/>
        <v>98300</v>
      </c>
      <c r="Z305" s="1091">
        <f t="shared" si="361"/>
        <v>1700</v>
      </c>
      <c r="AA305" s="1091">
        <f t="shared" si="362"/>
        <v>98300</v>
      </c>
      <c r="AB305" s="1091">
        <f t="shared" si="363"/>
        <v>1.7</v>
      </c>
      <c r="AD305" s="650">
        <f t="shared" si="334"/>
        <v>0</v>
      </c>
      <c r="AI305" s="1277">
        <f>VLOOKUP(K305,'[2]ผลการเบิกจ่ายสะสม พ.ย. 66'!$C:$N,12,0)</f>
        <v>0</v>
      </c>
      <c r="AJ305" s="1274">
        <f t="shared" si="336"/>
        <v>-1700</v>
      </c>
    </row>
    <row r="306" spans="1:36" s="5" customFormat="1" ht="21" customHeight="1" outlineLevel="1" x14ac:dyDescent="0.2">
      <c r="A306" s="33"/>
      <c r="B306" s="57"/>
      <c r="C306" s="27" t="s">
        <v>42</v>
      </c>
      <c r="D306" s="1111">
        <v>100000</v>
      </c>
      <c r="E306" s="1109">
        <v>83782.91</v>
      </c>
      <c r="F306" s="1109"/>
      <c r="G306" s="1109"/>
      <c r="H306" s="1109">
        <v>100000</v>
      </c>
      <c r="I306" s="1110">
        <v>140000</v>
      </c>
      <c r="J306" s="1110">
        <v>100000</v>
      </c>
      <c r="K306" s="1033"/>
      <c r="L306" s="1033"/>
      <c r="M306" s="1160">
        <v>75200</v>
      </c>
      <c r="N306" s="1160">
        <v>100000</v>
      </c>
      <c r="O306" s="1160">
        <v>200000</v>
      </c>
      <c r="P306" s="1160"/>
      <c r="Q306" s="1160"/>
      <c r="R306" s="1160"/>
      <c r="S306" s="1289">
        <v>37424</v>
      </c>
      <c r="T306" s="1091">
        <f t="shared" si="357"/>
        <v>37424</v>
      </c>
      <c r="U306" s="1091">
        <f t="shared" si="358"/>
        <v>262576</v>
      </c>
      <c r="V306" s="1091">
        <f t="shared" si="335"/>
        <v>12.474666666666666</v>
      </c>
      <c r="W306" s="1091"/>
      <c r="X306" s="1091">
        <f t="shared" si="359"/>
        <v>37424</v>
      </c>
      <c r="Y306" s="1091">
        <f t="shared" si="360"/>
        <v>262576</v>
      </c>
      <c r="Z306" s="1091">
        <f t="shared" si="361"/>
        <v>37424</v>
      </c>
      <c r="AA306" s="1091">
        <f t="shared" si="362"/>
        <v>262576</v>
      </c>
      <c r="AB306" s="1091">
        <f t="shared" si="363"/>
        <v>12.474666666666666</v>
      </c>
      <c r="AC306" s="5" t="s">
        <v>1460</v>
      </c>
      <c r="AD306" s="650">
        <f t="shared" si="334"/>
        <v>0</v>
      </c>
      <c r="AI306" s="1277">
        <f>VLOOKUP(K306,'[2]ผลการเบิกจ่ายสะสม พ.ย. 66'!$C:$N,12,0)</f>
        <v>0</v>
      </c>
      <c r="AJ306" s="1274">
        <f t="shared" si="336"/>
        <v>-37424</v>
      </c>
    </row>
    <row r="307" spans="1:36" s="5" customFormat="1" ht="21" customHeight="1" outlineLevel="1" x14ac:dyDescent="0.2">
      <c r="A307" s="33"/>
      <c r="B307" s="57"/>
      <c r="C307" s="27" t="s">
        <v>81</v>
      </c>
      <c r="D307" s="1111">
        <v>22723900</v>
      </c>
      <c r="E307" s="1109">
        <v>1368046.42</v>
      </c>
      <c r="F307" s="1109"/>
      <c r="G307" s="1109"/>
      <c r="H307" s="1109">
        <v>15108100</v>
      </c>
      <c r="I307" s="1110">
        <v>15000000</v>
      </c>
      <c r="J307" s="1110">
        <v>16913100</v>
      </c>
      <c r="K307" s="1033"/>
      <c r="L307" s="1033"/>
      <c r="M307" s="1160">
        <v>13037600</v>
      </c>
      <c r="N307" s="1160">
        <v>16913100</v>
      </c>
      <c r="O307" s="1241">
        <f>-1728900-360000</f>
        <v>-2088900</v>
      </c>
      <c r="P307" s="1160"/>
      <c r="Q307" s="1160"/>
      <c r="R307" s="1160"/>
      <c r="S307" s="1289">
        <f>78189-22239</f>
        <v>55950</v>
      </c>
      <c r="T307" s="1091">
        <f t="shared" si="357"/>
        <v>55950</v>
      </c>
      <c r="U307" s="1091">
        <f t="shared" si="358"/>
        <v>14768250</v>
      </c>
      <c r="V307" s="1091">
        <f t="shared" si="335"/>
        <v>0.37742340227465898</v>
      </c>
      <c r="W307" s="1091"/>
      <c r="X307" s="1091">
        <f t="shared" si="359"/>
        <v>55950</v>
      </c>
      <c r="Y307" s="1091">
        <f t="shared" si="360"/>
        <v>14768250</v>
      </c>
      <c r="Z307" s="1091">
        <f t="shared" si="361"/>
        <v>55950</v>
      </c>
      <c r="AA307" s="1091">
        <f t="shared" si="362"/>
        <v>14768250</v>
      </c>
      <c r="AB307" s="1091">
        <f t="shared" si="363"/>
        <v>0.37742340227465898</v>
      </c>
      <c r="AC307" s="423" t="s">
        <v>1457</v>
      </c>
      <c r="AD307" s="650">
        <f t="shared" si="334"/>
        <v>0</v>
      </c>
      <c r="AI307" s="1277">
        <f>VLOOKUP(K307,'[2]ผลการเบิกจ่ายสะสม พ.ย. 66'!$C:$N,12,0)</f>
        <v>0</v>
      </c>
      <c r="AJ307" s="1274">
        <f t="shared" si="336"/>
        <v>-55950</v>
      </c>
    </row>
    <row r="308" spans="1:36" s="5" customFormat="1" ht="21" customHeight="1" outlineLevel="1" x14ac:dyDescent="0.2">
      <c r="A308" s="33"/>
      <c r="B308" s="34" t="s">
        <v>153</v>
      </c>
      <c r="C308" s="273"/>
      <c r="D308" s="1118">
        <v>50000</v>
      </c>
      <c r="E308" s="1119">
        <v>0</v>
      </c>
      <c r="F308" s="1119"/>
      <c r="G308" s="1119"/>
      <c r="H308" s="1119">
        <v>50000</v>
      </c>
      <c r="I308" s="1106">
        <v>50000</v>
      </c>
      <c r="J308" s="1106">
        <v>50000</v>
      </c>
      <c r="K308" s="1040" t="s">
        <v>1371</v>
      </c>
      <c r="L308" s="1065" t="s">
        <v>1428</v>
      </c>
      <c r="M308" s="1105">
        <v>0</v>
      </c>
      <c r="N308" s="1105">
        <v>50000</v>
      </c>
      <c r="O308" s="1105"/>
      <c r="P308" s="1105"/>
      <c r="Q308" s="1105"/>
      <c r="R308" s="1105"/>
      <c r="S308" s="1105"/>
      <c r="T308" s="1091">
        <f t="shared" si="357"/>
        <v>0</v>
      </c>
      <c r="U308" s="1091">
        <f t="shared" si="358"/>
        <v>50000</v>
      </c>
      <c r="V308" s="1091">
        <f t="shared" si="335"/>
        <v>0</v>
      </c>
      <c r="W308" s="1091"/>
      <c r="X308" s="1091">
        <f t="shared" si="359"/>
        <v>0</v>
      </c>
      <c r="Y308" s="1091">
        <f t="shared" si="360"/>
        <v>50000</v>
      </c>
      <c r="Z308" s="1091">
        <f t="shared" si="361"/>
        <v>0</v>
      </c>
      <c r="AA308" s="1091">
        <f t="shared" si="362"/>
        <v>50000</v>
      </c>
      <c r="AB308" s="1091">
        <f t="shared" si="363"/>
        <v>0</v>
      </c>
      <c r="AD308" s="650">
        <f t="shared" si="334"/>
        <v>0</v>
      </c>
      <c r="AI308" s="1277">
        <f>VLOOKUP(K308,'[2]ผลการเบิกจ่ายสะสม พ.ย. 66'!$C:$N,12,0)</f>
        <v>483919928.55000001</v>
      </c>
      <c r="AJ308" s="1274">
        <f t="shared" si="336"/>
        <v>483919928.55000001</v>
      </c>
    </row>
    <row r="309" spans="1:36" s="5" customFormat="1" ht="21" customHeight="1" outlineLevel="1" x14ac:dyDescent="0.2">
      <c r="A309" s="33"/>
      <c r="B309" s="34" t="s">
        <v>92</v>
      </c>
      <c r="C309" s="273"/>
      <c r="D309" s="1118">
        <v>163521100</v>
      </c>
      <c r="E309" s="1119">
        <f>184037040.2+18399740.12</f>
        <v>202436780.31999999</v>
      </c>
      <c r="F309" s="1119"/>
      <c r="G309" s="1119"/>
      <c r="H309" s="1119">
        <v>48785200</v>
      </c>
      <c r="I309" s="1106">
        <v>224408900</v>
      </c>
      <c r="J309" s="1106">
        <v>152846600</v>
      </c>
      <c r="K309" s="1040" t="s">
        <v>1371</v>
      </c>
      <c r="L309" s="1065" t="s">
        <v>1428</v>
      </c>
      <c r="M309" s="1105">
        <v>76423300</v>
      </c>
      <c r="N309" s="1105">
        <v>152846600</v>
      </c>
      <c r="O309" s="1105"/>
      <c r="P309" s="1105"/>
      <c r="Q309" s="1105"/>
      <c r="R309" s="1105"/>
      <c r="S309" s="1291">
        <f>36440991.12</f>
        <v>36440991.119999997</v>
      </c>
      <c r="T309" s="1091">
        <f t="shared" si="357"/>
        <v>36440991.119999997</v>
      </c>
      <c r="U309" s="1091">
        <f t="shared" si="358"/>
        <v>116405608.88</v>
      </c>
      <c r="V309" s="1091">
        <f t="shared" si="335"/>
        <v>23.841545130869772</v>
      </c>
      <c r="W309" s="1091"/>
      <c r="X309" s="1091">
        <f t="shared" si="359"/>
        <v>36440991.119999997</v>
      </c>
      <c r="Y309" s="1091">
        <f t="shared" si="360"/>
        <v>116405608.88</v>
      </c>
      <c r="Z309" s="1091">
        <f t="shared" si="361"/>
        <v>36440991.119999997</v>
      </c>
      <c r="AA309" s="1091">
        <f t="shared" si="362"/>
        <v>116405608.88</v>
      </c>
      <c r="AB309" s="1091">
        <f t="shared" si="363"/>
        <v>23.841545130869772</v>
      </c>
      <c r="AD309" s="650">
        <f t="shared" si="334"/>
        <v>0</v>
      </c>
      <c r="AI309" s="1277">
        <f>VLOOKUP(K309,'[2]ผลการเบิกจ่ายสะสม พ.ย. 66'!$C:$N,12,0)</f>
        <v>483919928.55000001</v>
      </c>
      <c r="AJ309" s="1274">
        <f t="shared" si="336"/>
        <v>447478937.43000001</v>
      </c>
    </row>
    <row r="310" spans="1:36" s="5" customFormat="1" ht="21" customHeight="1" outlineLevel="1" x14ac:dyDescent="0.2">
      <c r="A310" s="33"/>
      <c r="B310" s="34" t="s">
        <v>93</v>
      </c>
      <c r="C310" s="273"/>
      <c r="D310" s="1118">
        <v>10109000</v>
      </c>
      <c r="E310" s="1119">
        <v>10461390.23</v>
      </c>
      <c r="F310" s="1119"/>
      <c r="G310" s="1119"/>
      <c r="H310" s="1119">
        <v>8578000</v>
      </c>
      <c r="I310" s="1106">
        <v>12033000</v>
      </c>
      <c r="J310" s="1106">
        <v>8578000</v>
      </c>
      <c r="K310" s="1040" t="s">
        <v>1371</v>
      </c>
      <c r="L310" s="1065" t="s">
        <v>1428</v>
      </c>
      <c r="M310" s="1105">
        <v>4289000</v>
      </c>
      <c r="N310" s="1105">
        <v>8578000</v>
      </c>
      <c r="O310" s="1105"/>
      <c r="P310" s="1105"/>
      <c r="Q310" s="1105"/>
      <c r="R310" s="1105"/>
      <c r="S310" s="1291">
        <f>3963000</f>
        <v>3963000</v>
      </c>
      <c r="T310" s="1091">
        <f t="shared" si="357"/>
        <v>3963000</v>
      </c>
      <c r="U310" s="1091">
        <f t="shared" si="358"/>
        <v>4615000</v>
      </c>
      <c r="V310" s="1091">
        <f t="shared" si="335"/>
        <v>46.199580321753324</v>
      </c>
      <c r="W310" s="1091"/>
      <c r="X310" s="1091">
        <f t="shared" si="359"/>
        <v>3963000</v>
      </c>
      <c r="Y310" s="1091">
        <f t="shared" si="360"/>
        <v>4615000</v>
      </c>
      <c r="Z310" s="1091">
        <f t="shared" si="361"/>
        <v>3963000</v>
      </c>
      <c r="AA310" s="1091">
        <f t="shared" si="362"/>
        <v>4615000</v>
      </c>
      <c r="AB310" s="1091">
        <f t="shared" si="363"/>
        <v>46.199580321753324</v>
      </c>
      <c r="AD310" s="650">
        <f t="shared" si="334"/>
        <v>0</v>
      </c>
      <c r="AI310" s="1277">
        <f>VLOOKUP(K310,'[2]ผลการเบิกจ่ายสะสม พ.ย. 66'!$C:$N,12,0)</f>
        <v>483919928.55000001</v>
      </c>
      <c r="AJ310" s="1274">
        <f t="shared" si="336"/>
        <v>479956928.55000001</v>
      </c>
    </row>
    <row r="311" spans="1:36" s="5" customFormat="1" ht="21" customHeight="1" outlineLevel="1" x14ac:dyDescent="0.2">
      <c r="A311" s="33"/>
      <c r="B311" s="34" t="s">
        <v>94</v>
      </c>
      <c r="C311" s="273"/>
      <c r="D311" s="1118">
        <f>SUM(D312)</f>
        <v>50000</v>
      </c>
      <c r="E311" s="1154">
        <f>SUM(E312)</f>
        <v>0</v>
      </c>
      <c r="F311" s="1154"/>
      <c r="G311" s="1154"/>
      <c r="H311" s="1154">
        <f>SUM(H312)</f>
        <v>50000</v>
      </c>
      <c r="I311" s="1155">
        <v>50000</v>
      </c>
      <c r="J311" s="1155">
        <f>+J312</f>
        <v>50000</v>
      </c>
      <c r="K311" s="1040" t="s">
        <v>1371</v>
      </c>
      <c r="L311" s="1065" t="s">
        <v>1428</v>
      </c>
      <c r="M311" s="1231">
        <v>0</v>
      </c>
      <c r="N311" s="1231">
        <f>+N312</f>
        <v>50000</v>
      </c>
      <c r="O311" s="1231"/>
      <c r="P311" s="1231"/>
      <c r="Q311" s="1231"/>
      <c r="R311" s="1231"/>
      <c r="S311" s="1231"/>
      <c r="T311" s="1091">
        <f t="shared" si="357"/>
        <v>0</v>
      </c>
      <c r="U311" s="1091">
        <f t="shared" si="358"/>
        <v>50000</v>
      </c>
      <c r="V311" s="1091">
        <f t="shared" si="335"/>
        <v>0</v>
      </c>
      <c r="W311" s="1091"/>
      <c r="X311" s="1091">
        <f t="shared" si="359"/>
        <v>0</v>
      </c>
      <c r="Y311" s="1091">
        <f t="shared" si="360"/>
        <v>50000</v>
      </c>
      <c r="Z311" s="1091">
        <f t="shared" si="361"/>
        <v>0</v>
      </c>
      <c r="AA311" s="1091">
        <f t="shared" si="362"/>
        <v>50000</v>
      </c>
      <c r="AB311" s="1091">
        <f t="shared" si="363"/>
        <v>0</v>
      </c>
      <c r="AD311" s="650">
        <f t="shared" si="334"/>
        <v>0</v>
      </c>
      <c r="AI311" s="1277">
        <f>VLOOKUP(K311,'[2]ผลการเบิกจ่ายสะสม พ.ย. 66'!$C:$N,12,0)</f>
        <v>483919928.55000001</v>
      </c>
      <c r="AJ311" s="1274">
        <f t="shared" si="336"/>
        <v>483919928.55000001</v>
      </c>
    </row>
    <row r="312" spans="1:36" s="5" customFormat="1" ht="21" customHeight="1" outlineLevel="1" x14ac:dyDescent="0.2">
      <c r="A312" s="33"/>
      <c r="B312" s="57"/>
      <c r="C312" s="27" t="s">
        <v>95</v>
      </c>
      <c r="D312" s="1111">
        <v>50000</v>
      </c>
      <c r="E312" s="1109">
        <v>0</v>
      </c>
      <c r="F312" s="1109"/>
      <c r="G312" s="1109"/>
      <c r="H312" s="1109">
        <v>50000</v>
      </c>
      <c r="I312" s="1110">
        <v>50000</v>
      </c>
      <c r="J312" s="1110">
        <v>50000</v>
      </c>
      <c r="K312" s="1033"/>
      <c r="L312" s="1033"/>
      <c r="M312" s="1160">
        <v>0</v>
      </c>
      <c r="N312" s="1160">
        <v>50000</v>
      </c>
      <c r="O312" s="1160"/>
      <c r="P312" s="1160"/>
      <c r="Q312" s="1160"/>
      <c r="R312" s="1160"/>
      <c r="S312" s="1160"/>
      <c r="T312" s="1091">
        <f t="shared" si="357"/>
        <v>0</v>
      </c>
      <c r="U312" s="1091">
        <f t="shared" si="358"/>
        <v>50000</v>
      </c>
      <c r="V312" s="1091">
        <f t="shared" si="335"/>
        <v>0</v>
      </c>
      <c r="W312" s="1091"/>
      <c r="X312" s="1091">
        <f t="shared" si="359"/>
        <v>0</v>
      </c>
      <c r="Y312" s="1091">
        <f t="shared" si="360"/>
        <v>50000</v>
      </c>
      <c r="Z312" s="1091">
        <f t="shared" si="361"/>
        <v>0</v>
      </c>
      <c r="AA312" s="1091">
        <f t="shared" si="362"/>
        <v>50000</v>
      </c>
      <c r="AB312" s="1091">
        <f t="shared" si="363"/>
        <v>0</v>
      </c>
      <c r="AD312" s="650">
        <f t="shared" si="334"/>
        <v>0</v>
      </c>
      <c r="AI312" s="1277">
        <f>VLOOKUP(K312,'[2]ผลการเบิกจ่ายสะสม พ.ย. 66'!$C:$N,12,0)</f>
        <v>0</v>
      </c>
      <c r="AJ312" s="1274">
        <f t="shared" si="336"/>
        <v>0</v>
      </c>
    </row>
    <row r="313" spans="1:36" s="5" customFormat="1" ht="21" customHeight="1" outlineLevel="1" x14ac:dyDescent="0.2">
      <c r="A313" s="104"/>
      <c r="B313" s="105" t="s">
        <v>154</v>
      </c>
      <c r="C313" s="910"/>
      <c r="D313" s="1156">
        <v>200000</v>
      </c>
      <c r="E313" s="1157">
        <v>145000</v>
      </c>
      <c r="F313" s="1157"/>
      <c r="G313" s="1157"/>
      <c r="H313" s="1157">
        <v>200000</v>
      </c>
      <c r="I313" s="1148">
        <v>800000</v>
      </c>
      <c r="J313" s="1148">
        <v>145000</v>
      </c>
      <c r="K313" s="1040" t="s">
        <v>1371</v>
      </c>
      <c r="L313" s="1065" t="s">
        <v>1428</v>
      </c>
      <c r="M313" s="1230">
        <v>145000</v>
      </c>
      <c r="N313" s="1230">
        <v>145000</v>
      </c>
      <c r="O313" s="1230"/>
      <c r="P313" s="1230"/>
      <c r="Q313" s="1230"/>
      <c r="R313" s="1230"/>
      <c r="S313" s="1294">
        <v>50000</v>
      </c>
      <c r="T313" s="1091">
        <f t="shared" si="357"/>
        <v>50000</v>
      </c>
      <c r="U313" s="1091">
        <f t="shared" si="358"/>
        <v>95000</v>
      </c>
      <c r="V313" s="1091">
        <f t="shared" si="335"/>
        <v>34.482758620689658</v>
      </c>
      <c r="W313" s="1091"/>
      <c r="X313" s="1091">
        <f t="shared" si="359"/>
        <v>50000</v>
      </c>
      <c r="Y313" s="1091">
        <f t="shared" si="360"/>
        <v>95000</v>
      </c>
      <c r="Z313" s="1091">
        <f t="shared" si="361"/>
        <v>50000</v>
      </c>
      <c r="AA313" s="1091">
        <f t="shared" si="362"/>
        <v>95000</v>
      </c>
      <c r="AB313" s="1091">
        <f t="shared" si="363"/>
        <v>34.482758620689658</v>
      </c>
      <c r="AD313" s="650">
        <f t="shared" si="334"/>
        <v>0</v>
      </c>
      <c r="AI313" s="1277">
        <f>VLOOKUP(K313,'[2]ผลการเบิกจ่ายสะสม พ.ย. 66'!$C:$N,12,0)</f>
        <v>483919928.55000001</v>
      </c>
      <c r="AJ313" s="1274">
        <f t="shared" si="336"/>
        <v>483869928.55000001</v>
      </c>
    </row>
    <row r="314" spans="1:36" s="5" customFormat="1" ht="21" customHeight="1" outlineLevel="1" x14ac:dyDescent="0.2">
      <c r="A314" s="33"/>
      <c r="B314" s="34" t="s">
        <v>96</v>
      </c>
      <c r="C314" s="273"/>
      <c r="D314" s="1118">
        <f>SUM(D315:D326)</f>
        <v>19639500</v>
      </c>
      <c r="E314" s="1119">
        <f>SUM(E315:E326)</f>
        <v>21761888.02</v>
      </c>
      <c r="F314" s="1119"/>
      <c r="G314" s="1119"/>
      <c r="H314" s="1119">
        <f>SUM(H315:H326)</f>
        <v>18876500</v>
      </c>
      <c r="I314" s="1106">
        <v>32027900</v>
      </c>
      <c r="J314" s="1106">
        <f>SUM(J315:J326)</f>
        <v>18876500</v>
      </c>
      <c r="K314" s="1040" t="s">
        <v>1371</v>
      </c>
      <c r="L314" s="1065" t="s">
        <v>1428</v>
      </c>
      <c r="M314" s="1105">
        <f t="shared" ref="M314:U314" si="364">SUM(M315:M326)</f>
        <v>9439900</v>
      </c>
      <c r="N314" s="1105">
        <f>SUM(N315:N326)</f>
        <v>18876500</v>
      </c>
      <c r="O314" s="1105">
        <f t="shared" si="364"/>
        <v>1070294.2</v>
      </c>
      <c r="P314" s="1105">
        <f t="shared" si="364"/>
        <v>0</v>
      </c>
      <c r="Q314" s="1105">
        <f t="shared" si="364"/>
        <v>0</v>
      </c>
      <c r="R314" s="1105">
        <f t="shared" si="364"/>
        <v>0</v>
      </c>
      <c r="S314" s="1105">
        <f t="shared" si="364"/>
        <v>3845013.45</v>
      </c>
      <c r="T314" s="1105">
        <f t="shared" si="364"/>
        <v>3845013.45</v>
      </c>
      <c r="U314" s="1105">
        <f t="shared" si="364"/>
        <v>16101780.75</v>
      </c>
      <c r="V314" s="1105">
        <f t="shared" si="335"/>
        <v>19.276347925623057</v>
      </c>
      <c r="W314" s="1105">
        <f t="shared" ref="W314:AB314" si="365">SUM(W315:W326)</f>
        <v>0</v>
      </c>
      <c r="X314" s="1105">
        <f t="shared" si="365"/>
        <v>3845013.45</v>
      </c>
      <c r="Y314" s="1105">
        <f t="shared" si="365"/>
        <v>16101780.75</v>
      </c>
      <c r="Z314" s="1105">
        <f t="shared" si="365"/>
        <v>3845013.45</v>
      </c>
      <c r="AA314" s="1105">
        <f t="shared" si="365"/>
        <v>16101780.75</v>
      </c>
      <c r="AB314" s="1105">
        <f t="shared" si="365"/>
        <v>440.27280367078578</v>
      </c>
      <c r="AD314" s="650">
        <f t="shared" si="334"/>
        <v>0</v>
      </c>
      <c r="AI314" s="1277">
        <f>VLOOKUP(K314,'[2]ผลการเบิกจ่ายสะสม พ.ย. 66'!$C:$N,12,0)</f>
        <v>483919928.55000001</v>
      </c>
      <c r="AJ314" s="1274">
        <f t="shared" si="336"/>
        <v>480074915.10000002</v>
      </c>
    </row>
    <row r="315" spans="1:36" s="5" customFormat="1" ht="21" customHeight="1" outlineLevel="1" x14ac:dyDescent="0.2">
      <c r="A315" s="33"/>
      <c r="B315" s="57"/>
      <c r="C315" s="27" t="s">
        <v>52</v>
      </c>
      <c r="D315" s="1111">
        <v>500000</v>
      </c>
      <c r="E315" s="1109">
        <v>662232</v>
      </c>
      <c r="F315" s="1109"/>
      <c r="G315" s="1109"/>
      <c r="H315" s="1109">
        <v>500000</v>
      </c>
      <c r="I315" s="1110">
        <v>1046400</v>
      </c>
      <c r="J315" s="1110">
        <v>500000</v>
      </c>
      <c r="K315" s="1033"/>
      <c r="L315" s="1033"/>
      <c r="M315" s="1160">
        <v>250200</v>
      </c>
      <c r="N315" s="1160">
        <v>500000</v>
      </c>
      <c r="O315" s="1160">
        <f>360000+223591.48</f>
        <v>583591.48</v>
      </c>
      <c r="P315" s="1160"/>
      <c r="Q315" s="1160"/>
      <c r="R315" s="1160"/>
      <c r="S315" s="1289">
        <f>177685.67</f>
        <v>177685.67</v>
      </c>
      <c r="T315" s="1091">
        <f t="shared" ref="T315:T326" si="366">+R315+S315</f>
        <v>177685.67</v>
      </c>
      <c r="U315" s="1091">
        <f t="shared" ref="U315:U326" si="367">+N315+O315-T315</f>
        <v>905905.80999999994</v>
      </c>
      <c r="V315" s="1091">
        <f t="shared" si="335"/>
        <v>16.397846723564125</v>
      </c>
      <c r="W315" s="1091"/>
      <c r="X315" s="1091">
        <f t="shared" ref="X315:X326" si="368">+T315+Q315</f>
        <v>177685.67</v>
      </c>
      <c r="Y315" s="1091">
        <f t="shared" ref="Y315:Y326" si="369">+U315-Q315</f>
        <v>905905.80999999994</v>
      </c>
      <c r="Z315" s="1091">
        <f t="shared" ref="Z315:Z326" si="370">+T315+Q315+P315</f>
        <v>177685.67</v>
      </c>
      <c r="AA315" s="1091">
        <f t="shared" ref="AA315:AA326" si="371">+U315-Q315-P315</f>
        <v>905905.80999999994</v>
      </c>
      <c r="AB315" s="1091">
        <f t="shared" ref="AB315:AB326" si="372">IFERROR(Z315*100/(N315+O315),0)</f>
        <v>16.397846723564125</v>
      </c>
      <c r="AC315" s="5" t="s">
        <v>1459</v>
      </c>
      <c r="AD315" s="650">
        <f t="shared" si="334"/>
        <v>0</v>
      </c>
      <c r="AI315" s="1277">
        <f>VLOOKUP(K315,'[2]ผลการเบิกจ่ายสะสม พ.ย. 66'!$C:$N,12,0)</f>
        <v>0</v>
      </c>
      <c r="AJ315" s="1274">
        <f t="shared" si="336"/>
        <v>-177685.67</v>
      </c>
    </row>
    <row r="316" spans="1:36" s="5" customFormat="1" ht="21" customHeight="1" outlineLevel="1" x14ac:dyDescent="0.2">
      <c r="A316" s="33"/>
      <c r="B316" s="57"/>
      <c r="C316" s="27" t="s">
        <v>49</v>
      </c>
      <c r="D316" s="1111">
        <v>200000</v>
      </c>
      <c r="E316" s="1109">
        <v>379673.24</v>
      </c>
      <c r="F316" s="1109"/>
      <c r="G316" s="1109"/>
      <c r="H316" s="1109">
        <v>200000</v>
      </c>
      <c r="I316" s="1110">
        <v>700000</v>
      </c>
      <c r="J316" s="1110">
        <v>200000</v>
      </c>
      <c r="K316" s="1033"/>
      <c r="L316" s="1033"/>
      <c r="M316" s="1160">
        <v>100200</v>
      </c>
      <c r="N316" s="1160">
        <v>200000</v>
      </c>
      <c r="O316" s="1160">
        <v>174000</v>
      </c>
      <c r="P316" s="1160"/>
      <c r="Q316" s="1160"/>
      <c r="R316" s="1160"/>
      <c r="S316" s="1289">
        <f>181549</f>
        <v>181549</v>
      </c>
      <c r="T316" s="1091">
        <f t="shared" si="366"/>
        <v>181549</v>
      </c>
      <c r="U316" s="1091">
        <f t="shared" si="367"/>
        <v>192451</v>
      </c>
      <c r="V316" s="1091">
        <f t="shared" si="335"/>
        <v>48.542513368983954</v>
      </c>
      <c r="W316" s="1091"/>
      <c r="X316" s="1091">
        <f t="shared" si="368"/>
        <v>181549</v>
      </c>
      <c r="Y316" s="1091">
        <f t="shared" si="369"/>
        <v>192451</v>
      </c>
      <c r="Z316" s="1091">
        <f t="shared" si="370"/>
        <v>181549</v>
      </c>
      <c r="AA316" s="1091">
        <f t="shared" si="371"/>
        <v>192451</v>
      </c>
      <c r="AB316" s="1091">
        <f t="shared" si="372"/>
        <v>48.542513368983954</v>
      </c>
      <c r="AC316" s="5" t="s">
        <v>1455</v>
      </c>
      <c r="AD316" s="650">
        <f t="shared" si="334"/>
        <v>0</v>
      </c>
      <c r="AI316" s="1277">
        <f>VLOOKUP(K316,'[2]ผลการเบิกจ่ายสะสม พ.ย. 66'!$C:$N,12,0)</f>
        <v>0</v>
      </c>
      <c r="AJ316" s="1274">
        <f t="shared" si="336"/>
        <v>-181549</v>
      </c>
    </row>
    <row r="317" spans="1:36" s="5" customFormat="1" ht="21" customHeight="1" outlineLevel="1" x14ac:dyDescent="0.2">
      <c r="A317" s="33"/>
      <c r="B317" s="57"/>
      <c r="C317" s="27" t="s">
        <v>54</v>
      </c>
      <c r="D317" s="1111">
        <v>200000</v>
      </c>
      <c r="E317" s="1109">
        <v>546804</v>
      </c>
      <c r="F317" s="1109"/>
      <c r="G317" s="1109"/>
      <c r="H317" s="1109">
        <v>200000</v>
      </c>
      <c r="I317" s="1110">
        <v>816000</v>
      </c>
      <c r="J317" s="1110">
        <v>200000</v>
      </c>
      <c r="K317" s="1033"/>
      <c r="L317" s="1033"/>
      <c r="M317" s="1160">
        <v>100200</v>
      </c>
      <c r="N317" s="1160">
        <v>200000</v>
      </c>
      <c r="O317" s="1160">
        <v>28000</v>
      </c>
      <c r="P317" s="1160"/>
      <c r="Q317" s="1160"/>
      <c r="R317" s="1160"/>
      <c r="S317" s="1289">
        <f>120069</f>
        <v>120069</v>
      </c>
      <c r="T317" s="1091">
        <f t="shared" si="366"/>
        <v>120069</v>
      </c>
      <c r="U317" s="1091">
        <f t="shared" si="367"/>
        <v>107931</v>
      </c>
      <c r="V317" s="1091">
        <f t="shared" si="335"/>
        <v>52.661842105263155</v>
      </c>
      <c r="W317" s="1091"/>
      <c r="X317" s="1091">
        <f t="shared" si="368"/>
        <v>120069</v>
      </c>
      <c r="Y317" s="1091">
        <f t="shared" si="369"/>
        <v>107931</v>
      </c>
      <c r="Z317" s="1091">
        <f t="shared" si="370"/>
        <v>120069</v>
      </c>
      <c r="AA317" s="1091">
        <f t="shared" si="371"/>
        <v>107931</v>
      </c>
      <c r="AB317" s="1091">
        <f t="shared" si="372"/>
        <v>52.661842105263155</v>
      </c>
      <c r="AC317" s="5" t="s">
        <v>1452</v>
      </c>
      <c r="AD317" s="650">
        <f t="shared" si="334"/>
        <v>0</v>
      </c>
      <c r="AI317" s="1277">
        <f>VLOOKUP(K317,'[2]ผลการเบิกจ่ายสะสม พ.ย. 66'!$C:$N,12,0)</f>
        <v>0</v>
      </c>
      <c r="AJ317" s="1274">
        <f t="shared" si="336"/>
        <v>-120069</v>
      </c>
    </row>
    <row r="318" spans="1:36" s="5" customFormat="1" ht="21" customHeight="1" outlineLevel="1" x14ac:dyDescent="0.2">
      <c r="A318" s="33"/>
      <c r="B318" s="57"/>
      <c r="C318" s="27" t="s">
        <v>53</v>
      </c>
      <c r="D318" s="1111">
        <v>400000</v>
      </c>
      <c r="E318" s="1109">
        <v>836431.08</v>
      </c>
      <c r="F318" s="1109"/>
      <c r="G318" s="1109"/>
      <c r="H318" s="1109">
        <v>400000</v>
      </c>
      <c r="I318" s="1110">
        <v>876000</v>
      </c>
      <c r="J318" s="1110">
        <v>400000</v>
      </c>
      <c r="K318" s="1033"/>
      <c r="L318" s="1033"/>
      <c r="M318" s="1160">
        <v>200200</v>
      </c>
      <c r="N318" s="1160">
        <v>400000</v>
      </c>
      <c r="O318" s="1160"/>
      <c r="P318" s="1160"/>
      <c r="Q318" s="1160"/>
      <c r="R318" s="1160"/>
      <c r="S318" s="1289">
        <f>118315</f>
        <v>118315</v>
      </c>
      <c r="T318" s="1091">
        <f t="shared" si="366"/>
        <v>118315</v>
      </c>
      <c r="U318" s="1091">
        <f t="shared" si="367"/>
        <v>281685</v>
      </c>
      <c r="V318" s="1091">
        <f t="shared" si="335"/>
        <v>29.578749999999999</v>
      </c>
      <c r="W318" s="1091"/>
      <c r="X318" s="1091">
        <f t="shared" si="368"/>
        <v>118315</v>
      </c>
      <c r="Y318" s="1091">
        <f t="shared" si="369"/>
        <v>281685</v>
      </c>
      <c r="Z318" s="1091">
        <f t="shared" si="370"/>
        <v>118315</v>
      </c>
      <c r="AA318" s="1091">
        <f t="shared" si="371"/>
        <v>281685</v>
      </c>
      <c r="AB318" s="1091">
        <f t="shared" si="372"/>
        <v>29.578749999999999</v>
      </c>
      <c r="AD318" s="650">
        <f t="shared" si="334"/>
        <v>0</v>
      </c>
      <c r="AI318" s="1277">
        <f>VLOOKUP(K318,'[2]ผลการเบิกจ่ายสะสม พ.ย. 66'!$C:$N,12,0)</f>
        <v>0</v>
      </c>
      <c r="AJ318" s="1274">
        <f t="shared" si="336"/>
        <v>-118315</v>
      </c>
    </row>
    <row r="319" spans="1:36" s="5" customFormat="1" ht="21" customHeight="1" outlineLevel="1" x14ac:dyDescent="0.2">
      <c r="A319" s="33"/>
      <c r="B319" s="57"/>
      <c r="C319" s="27" t="s">
        <v>80</v>
      </c>
      <c r="D319" s="1111">
        <v>800000</v>
      </c>
      <c r="E319" s="1109">
        <v>1285889.3400000001</v>
      </c>
      <c r="F319" s="1109"/>
      <c r="G319" s="1109"/>
      <c r="H319" s="1109">
        <v>800000</v>
      </c>
      <c r="I319" s="1110">
        <v>1472200</v>
      </c>
      <c r="J319" s="1110">
        <v>800000</v>
      </c>
      <c r="K319" s="1033"/>
      <c r="L319" s="1033"/>
      <c r="M319" s="1160">
        <v>400200</v>
      </c>
      <c r="N319" s="1160">
        <v>800000</v>
      </c>
      <c r="O319" s="1160"/>
      <c r="P319" s="1160"/>
      <c r="Q319" s="1160"/>
      <c r="R319" s="1160"/>
      <c r="S319" s="1289">
        <v>225615.28</v>
      </c>
      <c r="T319" s="1091">
        <f t="shared" si="366"/>
        <v>225615.28</v>
      </c>
      <c r="U319" s="1091">
        <f t="shared" si="367"/>
        <v>574384.72</v>
      </c>
      <c r="V319" s="1091">
        <f t="shared" si="335"/>
        <v>28.201910000000002</v>
      </c>
      <c r="W319" s="1091"/>
      <c r="X319" s="1091">
        <f t="shared" si="368"/>
        <v>225615.28</v>
      </c>
      <c r="Y319" s="1091">
        <f t="shared" si="369"/>
        <v>574384.72</v>
      </c>
      <c r="Z319" s="1091">
        <f t="shared" si="370"/>
        <v>225615.28</v>
      </c>
      <c r="AA319" s="1091">
        <f t="shared" si="371"/>
        <v>574384.72</v>
      </c>
      <c r="AB319" s="1091">
        <f t="shared" si="372"/>
        <v>28.201910000000002</v>
      </c>
      <c r="AD319" s="650">
        <f t="shared" si="334"/>
        <v>0</v>
      </c>
      <c r="AI319" s="1277">
        <f>VLOOKUP(K319,'[2]ผลการเบิกจ่ายสะสม พ.ย. 66'!$C:$N,12,0)</f>
        <v>0</v>
      </c>
      <c r="AJ319" s="1274">
        <f t="shared" si="336"/>
        <v>-225615.28</v>
      </c>
    </row>
    <row r="320" spans="1:36" s="5" customFormat="1" ht="21" customHeight="1" outlineLevel="1" x14ac:dyDescent="0.2">
      <c r="A320" s="33"/>
      <c r="B320" s="57"/>
      <c r="C320" s="27" t="s">
        <v>63</v>
      </c>
      <c r="D320" s="1111">
        <v>400000</v>
      </c>
      <c r="E320" s="1109">
        <v>490608</v>
      </c>
      <c r="F320" s="1109"/>
      <c r="G320" s="1109"/>
      <c r="H320" s="1109">
        <v>400000</v>
      </c>
      <c r="I320" s="1110">
        <v>600000</v>
      </c>
      <c r="J320" s="1110">
        <v>400000</v>
      </c>
      <c r="K320" s="1033"/>
      <c r="L320" s="1033"/>
      <c r="M320" s="1160">
        <v>200200</v>
      </c>
      <c r="N320" s="1160">
        <v>400000</v>
      </c>
      <c r="O320" s="1160">
        <v>284702.71999999997</v>
      </c>
      <c r="P320" s="1160"/>
      <c r="Q320" s="1160"/>
      <c r="R320" s="1160"/>
      <c r="S320" s="1289">
        <v>112276.51999999999</v>
      </c>
      <c r="T320" s="1091">
        <f t="shared" si="366"/>
        <v>112276.51999999999</v>
      </c>
      <c r="U320" s="1091">
        <f t="shared" si="367"/>
        <v>572426.19999999995</v>
      </c>
      <c r="V320" s="1091">
        <f t="shared" si="335"/>
        <v>16.397849273915543</v>
      </c>
      <c r="W320" s="1091"/>
      <c r="X320" s="1091">
        <f t="shared" si="368"/>
        <v>112276.51999999999</v>
      </c>
      <c r="Y320" s="1091">
        <f t="shared" si="369"/>
        <v>572426.19999999995</v>
      </c>
      <c r="Z320" s="1091">
        <f t="shared" si="370"/>
        <v>112276.51999999999</v>
      </c>
      <c r="AA320" s="1091">
        <f t="shared" si="371"/>
        <v>572426.19999999995</v>
      </c>
      <c r="AB320" s="1091">
        <f t="shared" si="372"/>
        <v>16.397849273915543</v>
      </c>
      <c r="AC320" s="5" t="s">
        <v>1453</v>
      </c>
      <c r="AD320" s="650">
        <f t="shared" si="334"/>
        <v>0</v>
      </c>
      <c r="AI320" s="1277">
        <f>VLOOKUP(K320,'[2]ผลการเบิกจ่ายสะสม พ.ย. 66'!$C:$N,12,0)</f>
        <v>0</v>
      </c>
      <c r="AJ320" s="1274">
        <f t="shared" si="336"/>
        <v>-112276.51999999999</v>
      </c>
    </row>
    <row r="321" spans="1:36" s="5" customFormat="1" ht="21" customHeight="1" outlineLevel="1" x14ac:dyDescent="0.2">
      <c r="A321" s="33"/>
      <c r="B321" s="57"/>
      <c r="C321" s="27" t="s">
        <v>61</v>
      </c>
      <c r="D321" s="1111">
        <v>500000</v>
      </c>
      <c r="E321" s="1109">
        <v>884404</v>
      </c>
      <c r="F321" s="1109"/>
      <c r="G321" s="1109"/>
      <c r="H321" s="1109">
        <v>500000</v>
      </c>
      <c r="I321" s="1110">
        <v>1324000</v>
      </c>
      <c r="J321" s="1110">
        <v>500000</v>
      </c>
      <c r="K321" s="1033"/>
      <c r="L321" s="1033"/>
      <c r="M321" s="1160">
        <v>250200</v>
      </c>
      <c r="N321" s="1160">
        <v>500000</v>
      </c>
      <c r="O321" s="1160"/>
      <c r="P321" s="1160"/>
      <c r="Q321" s="1160"/>
      <c r="R321" s="1160"/>
      <c r="S321" s="1289">
        <v>118176</v>
      </c>
      <c r="T321" s="1091">
        <f t="shared" si="366"/>
        <v>118176</v>
      </c>
      <c r="U321" s="1091">
        <f t="shared" si="367"/>
        <v>381824</v>
      </c>
      <c r="V321" s="1091">
        <f t="shared" si="335"/>
        <v>23.635200000000001</v>
      </c>
      <c r="W321" s="1091"/>
      <c r="X321" s="1091">
        <f t="shared" si="368"/>
        <v>118176</v>
      </c>
      <c r="Y321" s="1091">
        <f t="shared" si="369"/>
        <v>381824</v>
      </c>
      <c r="Z321" s="1091">
        <f t="shared" si="370"/>
        <v>118176</v>
      </c>
      <c r="AA321" s="1091">
        <f t="shared" si="371"/>
        <v>381824</v>
      </c>
      <c r="AB321" s="1091">
        <f t="shared" si="372"/>
        <v>23.635200000000001</v>
      </c>
      <c r="AD321" s="650">
        <f t="shared" si="334"/>
        <v>0</v>
      </c>
      <c r="AI321" s="1277">
        <f>VLOOKUP(K321,'[2]ผลการเบิกจ่ายสะสม พ.ย. 66'!$C:$N,12,0)</f>
        <v>0</v>
      </c>
      <c r="AJ321" s="1274">
        <f t="shared" si="336"/>
        <v>-118176</v>
      </c>
    </row>
    <row r="322" spans="1:36" s="5" customFormat="1" ht="21" customHeight="1" outlineLevel="1" x14ac:dyDescent="0.2">
      <c r="A322" s="33"/>
      <c r="B322" s="57"/>
      <c r="C322" s="27" t="s">
        <v>51</v>
      </c>
      <c r="D322" s="1111">
        <v>300000</v>
      </c>
      <c r="E322" s="1109">
        <v>739003</v>
      </c>
      <c r="F322" s="1109"/>
      <c r="G322" s="1109"/>
      <c r="H322" s="1109">
        <v>300000</v>
      </c>
      <c r="I322" s="1110">
        <v>1007500</v>
      </c>
      <c r="J322" s="1110">
        <v>300000</v>
      </c>
      <c r="K322" s="1033"/>
      <c r="L322" s="1033"/>
      <c r="M322" s="1160">
        <v>150000</v>
      </c>
      <c r="N322" s="1160">
        <v>300000</v>
      </c>
      <c r="O322" s="1160"/>
      <c r="P322" s="1160"/>
      <c r="Q322" s="1160"/>
      <c r="R322" s="1160"/>
      <c r="S322" s="1289">
        <v>136138.20000000001</v>
      </c>
      <c r="T322" s="1091">
        <f t="shared" si="366"/>
        <v>136138.20000000001</v>
      </c>
      <c r="U322" s="1091">
        <f t="shared" si="367"/>
        <v>163861.79999999999</v>
      </c>
      <c r="V322" s="1091">
        <f t="shared" si="335"/>
        <v>45.379400000000004</v>
      </c>
      <c r="W322" s="1091"/>
      <c r="X322" s="1091">
        <f t="shared" si="368"/>
        <v>136138.20000000001</v>
      </c>
      <c r="Y322" s="1091">
        <f t="shared" si="369"/>
        <v>163861.79999999999</v>
      </c>
      <c r="Z322" s="1091">
        <f t="shared" si="370"/>
        <v>136138.20000000001</v>
      </c>
      <c r="AA322" s="1091">
        <f t="shared" si="371"/>
        <v>163861.79999999999</v>
      </c>
      <c r="AB322" s="1091">
        <f t="shared" si="372"/>
        <v>45.379400000000004</v>
      </c>
      <c r="AD322" s="650">
        <f t="shared" si="334"/>
        <v>0</v>
      </c>
      <c r="AI322" s="1277">
        <f>VLOOKUP(K322,'[2]ผลการเบิกจ่ายสะสม พ.ย. 66'!$C:$N,12,0)</f>
        <v>0</v>
      </c>
      <c r="AJ322" s="1274">
        <f t="shared" si="336"/>
        <v>-136138.20000000001</v>
      </c>
    </row>
    <row r="323" spans="1:36" s="5" customFormat="1" ht="21" customHeight="1" outlineLevel="1" x14ac:dyDescent="0.2">
      <c r="A323" s="33"/>
      <c r="B323" s="57"/>
      <c r="C323" s="27" t="s">
        <v>62</v>
      </c>
      <c r="D323" s="1111">
        <v>300000</v>
      </c>
      <c r="E323" s="1109">
        <v>827489.75</v>
      </c>
      <c r="F323" s="1109"/>
      <c r="G323" s="1109"/>
      <c r="H323" s="1109">
        <v>300000</v>
      </c>
      <c r="I323" s="1110">
        <v>942000</v>
      </c>
      <c r="J323" s="1110">
        <v>300000</v>
      </c>
      <c r="K323" s="1033"/>
      <c r="L323" s="1033"/>
      <c r="M323" s="1160">
        <v>150000</v>
      </c>
      <c r="N323" s="1160">
        <v>300000</v>
      </c>
      <c r="O323" s="1160"/>
      <c r="P323" s="1160"/>
      <c r="Q323" s="1160"/>
      <c r="R323" s="1160"/>
      <c r="S323" s="1289">
        <v>180526.51</v>
      </c>
      <c r="T323" s="1091">
        <f t="shared" si="366"/>
        <v>180526.51</v>
      </c>
      <c r="U323" s="1091">
        <f t="shared" si="367"/>
        <v>119473.48999999999</v>
      </c>
      <c r="V323" s="1091">
        <f t="shared" si="335"/>
        <v>60.175503333333332</v>
      </c>
      <c r="W323" s="1091"/>
      <c r="X323" s="1091">
        <f t="shared" si="368"/>
        <v>180526.51</v>
      </c>
      <c r="Y323" s="1091">
        <f t="shared" si="369"/>
        <v>119473.48999999999</v>
      </c>
      <c r="Z323" s="1091">
        <f t="shared" si="370"/>
        <v>180526.51</v>
      </c>
      <c r="AA323" s="1091">
        <f t="shared" si="371"/>
        <v>119473.48999999999</v>
      </c>
      <c r="AB323" s="1091">
        <f t="shared" si="372"/>
        <v>60.175503333333332</v>
      </c>
      <c r="AD323" s="650">
        <f t="shared" si="334"/>
        <v>0</v>
      </c>
      <c r="AI323" s="1277">
        <f>VLOOKUP(K323,'[2]ผลการเบิกจ่ายสะสม พ.ย. 66'!$C:$N,12,0)</f>
        <v>0</v>
      </c>
      <c r="AJ323" s="1274">
        <f t="shared" si="336"/>
        <v>-180526.51</v>
      </c>
    </row>
    <row r="324" spans="1:36" s="5" customFormat="1" ht="21" customHeight="1" outlineLevel="1" x14ac:dyDescent="0.2">
      <c r="A324" s="33"/>
      <c r="B324" s="57"/>
      <c r="C324" s="27" t="s">
        <v>43</v>
      </c>
      <c r="D324" s="1111">
        <v>400000</v>
      </c>
      <c r="E324" s="1109">
        <v>660872.72</v>
      </c>
      <c r="F324" s="1109"/>
      <c r="G324" s="1109"/>
      <c r="H324" s="1109">
        <v>400000</v>
      </c>
      <c r="I324" s="1110">
        <v>1200000</v>
      </c>
      <c r="J324" s="1110">
        <v>400000</v>
      </c>
      <c r="K324" s="1033"/>
      <c r="L324" s="1033"/>
      <c r="M324" s="1160">
        <v>200200</v>
      </c>
      <c r="N324" s="1160">
        <v>400000</v>
      </c>
      <c r="O324" s="1160"/>
      <c r="P324" s="1160"/>
      <c r="Q324" s="1160"/>
      <c r="R324" s="1160"/>
      <c r="S324" s="1289">
        <v>174579.37</v>
      </c>
      <c r="T324" s="1091">
        <f t="shared" si="366"/>
        <v>174579.37</v>
      </c>
      <c r="U324" s="1091">
        <f t="shared" si="367"/>
        <v>225420.63</v>
      </c>
      <c r="V324" s="1091">
        <f t="shared" si="335"/>
        <v>43.644842500000003</v>
      </c>
      <c r="W324" s="1091"/>
      <c r="X324" s="1091">
        <f t="shared" si="368"/>
        <v>174579.37</v>
      </c>
      <c r="Y324" s="1091">
        <f t="shared" si="369"/>
        <v>225420.63</v>
      </c>
      <c r="Z324" s="1091">
        <f t="shared" si="370"/>
        <v>174579.37</v>
      </c>
      <c r="AA324" s="1091">
        <f t="shared" si="371"/>
        <v>225420.63</v>
      </c>
      <c r="AB324" s="1091">
        <f t="shared" si="372"/>
        <v>43.644842500000003</v>
      </c>
      <c r="AD324" s="650">
        <f t="shared" si="334"/>
        <v>0</v>
      </c>
      <c r="AI324" s="1277">
        <f>VLOOKUP(K324,'[2]ผลการเบิกจ่ายสะสม พ.ย. 66'!$C:$N,12,0)</f>
        <v>0</v>
      </c>
      <c r="AJ324" s="1274">
        <f t="shared" si="336"/>
        <v>-174579.37</v>
      </c>
    </row>
    <row r="325" spans="1:36" s="5" customFormat="1" ht="21" customHeight="1" outlineLevel="1" x14ac:dyDescent="0.2">
      <c r="A325" s="33"/>
      <c r="B325" s="57"/>
      <c r="C325" s="27" t="s">
        <v>50</v>
      </c>
      <c r="D325" s="1111">
        <v>300000</v>
      </c>
      <c r="E325" s="1109">
        <v>822864</v>
      </c>
      <c r="F325" s="1109"/>
      <c r="G325" s="1109"/>
      <c r="H325" s="1109">
        <v>300000</v>
      </c>
      <c r="I325" s="1110">
        <v>1200000</v>
      </c>
      <c r="J325" s="1110">
        <v>300000</v>
      </c>
      <c r="K325" s="1033"/>
      <c r="L325" s="1033"/>
      <c r="M325" s="1160">
        <v>150000</v>
      </c>
      <c r="N325" s="1160">
        <v>300000</v>
      </c>
      <c r="O325" s="1160"/>
      <c r="P325" s="1160"/>
      <c r="Q325" s="1160"/>
      <c r="R325" s="1160"/>
      <c r="S325" s="1289">
        <v>183408</v>
      </c>
      <c r="T325" s="1091">
        <f t="shared" si="366"/>
        <v>183408</v>
      </c>
      <c r="U325" s="1091">
        <f t="shared" si="367"/>
        <v>116592</v>
      </c>
      <c r="V325" s="1091">
        <f t="shared" si="335"/>
        <v>61.136000000000003</v>
      </c>
      <c r="W325" s="1091"/>
      <c r="X325" s="1091">
        <f t="shared" si="368"/>
        <v>183408</v>
      </c>
      <c r="Y325" s="1091">
        <f t="shared" si="369"/>
        <v>116592</v>
      </c>
      <c r="Z325" s="1091">
        <f t="shared" si="370"/>
        <v>183408</v>
      </c>
      <c r="AA325" s="1091">
        <f t="shared" si="371"/>
        <v>116592</v>
      </c>
      <c r="AB325" s="1091">
        <f t="shared" si="372"/>
        <v>61.136000000000003</v>
      </c>
      <c r="AD325" s="650">
        <f t="shared" si="334"/>
        <v>0</v>
      </c>
      <c r="AI325" s="1277">
        <f>VLOOKUP(K325,'[2]ผลการเบิกจ่ายสะสม พ.ย. 66'!$C:$N,12,0)</f>
        <v>0</v>
      </c>
      <c r="AJ325" s="1274">
        <f t="shared" si="336"/>
        <v>-183408</v>
      </c>
    </row>
    <row r="326" spans="1:36" s="5" customFormat="1" ht="21" customHeight="1" outlineLevel="1" x14ac:dyDescent="0.2">
      <c r="A326" s="33"/>
      <c r="B326" s="57"/>
      <c r="C326" s="27" t="s">
        <v>81</v>
      </c>
      <c r="D326" s="1111">
        <f>9113700+6225800</f>
        <v>15339500</v>
      </c>
      <c r="E326" s="1109">
        <v>13625616.890000001</v>
      </c>
      <c r="F326" s="1109"/>
      <c r="G326" s="1109"/>
      <c r="H326" s="1109">
        <v>14576500</v>
      </c>
      <c r="I326" s="1110">
        <v>20843800</v>
      </c>
      <c r="J326" s="1110">
        <v>14576500</v>
      </c>
      <c r="K326" s="1033"/>
      <c r="L326" s="1033"/>
      <c r="M326" s="1160">
        <v>7288300</v>
      </c>
      <c r="N326" s="1160">
        <v>14576500</v>
      </c>
      <c r="O326" s="1160"/>
      <c r="P326" s="1160"/>
      <c r="Q326" s="1160"/>
      <c r="R326" s="1160"/>
      <c r="S326" s="1289">
        <f>2116674.9</f>
        <v>2116674.9</v>
      </c>
      <c r="T326" s="1091">
        <f t="shared" si="366"/>
        <v>2116674.9</v>
      </c>
      <c r="U326" s="1091">
        <f t="shared" si="367"/>
        <v>12459825.1</v>
      </c>
      <c r="V326" s="1091">
        <f t="shared" si="335"/>
        <v>14.521146365725654</v>
      </c>
      <c r="W326" s="1091"/>
      <c r="X326" s="1091">
        <f t="shared" si="368"/>
        <v>2116674.9</v>
      </c>
      <c r="Y326" s="1091">
        <f t="shared" si="369"/>
        <v>12459825.1</v>
      </c>
      <c r="Z326" s="1091">
        <f t="shared" si="370"/>
        <v>2116674.9</v>
      </c>
      <c r="AA326" s="1091">
        <f t="shared" si="371"/>
        <v>12459825.1</v>
      </c>
      <c r="AB326" s="1091">
        <f t="shared" si="372"/>
        <v>14.521146365725654</v>
      </c>
      <c r="AD326" s="650">
        <f t="shared" si="334"/>
        <v>0</v>
      </c>
      <c r="AI326" s="1277">
        <f>VLOOKUP(K326,'[2]ผลการเบิกจ่ายสะสม พ.ย. 66'!$C:$N,12,0)</f>
        <v>0</v>
      </c>
      <c r="AJ326" s="1274">
        <f t="shared" si="336"/>
        <v>-2116674.9</v>
      </c>
    </row>
    <row r="327" spans="1:36" s="5" customFormat="1" ht="21" customHeight="1" outlineLevel="1" x14ac:dyDescent="0.2">
      <c r="A327" s="33"/>
      <c r="B327" s="34" t="s">
        <v>97</v>
      </c>
      <c r="C327" s="273"/>
      <c r="D327" s="1118">
        <v>29668200</v>
      </c>
      <c r="E327" s="1119">
        <v>20756570.879999999</v>
      </c>
      <c r="F327" s="1119"/>
      <c r="G327" s="1119"/>
      <c r="H327" s="1119">
        <f>SUM(H328:H329)</f>
        <v>29991500</v>
      </c>
      <c r="I327" s="1106">
        <v>35130700</v>
      </c>
      <c r="J327" s="1106">
        <f>+J328+J329</f>
        <v>26281000</v>
      </c>
      <c r="K327" s="1040" t="s">
        <v>1371</v>
      </c>
      <c r="L327" s="1065" t="s">
        <v>1428</v>
      </c>
      <c r="M327" s="1105">
        <f t="shared" ref="M327:R327" si="373">+M328+M329</f>
        <v>13140900</v>
      </c>
      <c r="N327" s="1105">
        <f>+N328+N329</f>
        <v>26281000</v>
      </c>
      <c r="O327" s="1105">
        <f t="shared" si="373"/>
        <v>0</v>
      </c>
      <c r="P327" s="1105">
        <f t="shared" si="373"/>
        <v>0</v>
      </c>
      <c r="Q327" s="1105">
        <f t="shared" si="373"/>
        <v>0</v>
      </c>
      <c r="R327" s="1105">
        <f t="shared" si="373"/>
        <v>0</v>
      </c>
      <c r="S327" s="1105">
        <f>1847133.3</f>
        <v>1847133.3</v>
      </c>
      <c r="T327" s="1091">
        <f>+R327+S327</f>
        <v>1847133.3</v>
      </c>
      <c r="U327" s="1105">
        <f>+N327+O327-T327</f>
        <v>24433866.699999999</v>
      </c>
      <c r="V327" s="1105">
        <f t="shared" si="335"/>
        <v>7.0283980822647543</v>
      </c>
      <c r="W327" s="1105">
        <f t="shared" ref="W327:AB327" si="374">+W328+W329</f>
        <v>0</v>
      </c>
      <c r="X327" s="1105">
        <f t="shared" si="374"/>
        <v>0</v>
      </c>
      <c r="Y327" s="1105">
        <f t="shared" si="374"/>
        <v>26281000</v>
      </c>
      <c r="Z327" s="1105">
        <f t="shared" si="374"/>
        <v>0</v>
      </c>
      <c r="AA327" s="1105">
        <f t="shared" si="374"/>
        <v>26281000</v>
      </c>
      <c r="AB327" s="1105">
        <f t="shared" si="374"/>
        <v>0</v>
      </c>
      <c r="AD327" s="650">
        <f t="shared" si="334"/>
        <v>0</v>
      </c>
      <c r="AI327" s="1277">
        <f>VLOOKUP(K327,'[2]ผลการเบิกจ่ายสะสม พ.ย. 66'!$C:$N,12,0)</f>
        <v>483919928.55000001</v>
      </c>
      <c r="AJ327" s="1274">
        <f t="shared" si="336"/>
        <v>482072795.25</v>
      </c>
    </row>
    <row r="328" spans="1:36" s="5" customFormat="1" ht="21" customHeight="1" outlineLevel="1" x14ac:dyDescent="0.2">
      <c r="A328" s="33"/>
      <c r="B328" s="124" t="s">
        <v>35</v>
      </c>
      <c r="C328" s="34" t="s">
        <v>880</v>
      </c>
      <c r="D328" s="1111"/>
      <c r="E328" s="1109"/>
      <c r="F328" s="1109"/>
      <c r="G328" s="1109"/>
      <c r="H328" s="1109">
        <v>27710500</v>
      </c>
      <c r="I328" s="1110">
        <v>13358900</v>
      </c>
      <c r="J328" s="1110">
        <v>7553500</v>
      </c>
      <c r="K328" s="1033"/>
      <c r="L328" s="1033"/>
      <c r="M328" s="1160">
        <v>3777000</v>
      </c>
      <c r="N328" s="1160">
        <v>7553500</v>
      </c>
      <c r="O328" s="1160"/>
      <c r="P328" s="1160"/>
      <c r="Q328" s="1160"/>
      <c r="R328" s="1160"/>
      <c r="S328" s="1160"/>
      <c r="T328" s="1091">
        <f t="shared" ref="T328:T329" si="375">+R328+S328</f>
        <v>0</v>
      </c>
      <c r="U328" s="1091">
        <f t="shared" ref="U328:U329" si="376">+N328+O328-T328</f>
        <v>7553500</v>
      </c>
      <c r="V328" s="1091">
        <f t="shared" si="335"/>
        <v>0</v>
      </c>
      <c r="W328" s="1091"/>
      <c r="X328" s="1091">
        <f t="shared" ref="X328:X329" si="377">+T328+Q328</f>
        <v>0</v>
      </c>
      <c r="Y328" s="1091">
        <f t="shared" ref="Y328:Y329" si="378">+U328-Q328</f>
        <v>7553500</v>
      </c>
      <c r="Z328" s="1091">
        <f t="shared" ref="Z328:Z329" si="379">+T328+Q328+P328</f>
        <v>0</v>
      </c>
      <c r="AA328" s="1091">
        <f t="shared" ref="AA328:AA329" si="380">+U328-Q328-P328</f>
        <v>7553500</v>
      </c>
      <c r="AB328" s="1091">
        <f t="shared" ref="AB328:AB329" si="381">IFERROR(Z328*100/(N328+O328),0)</f>
        <v>0</v>
      </c>
      <c r="AD328" s="650">
        <f t="shared" si="334"/>
        <v>0</v>
      </c>
      <c r="AI328" s="1277">
        <f>VLOOKUP(K328,'[2]ผลการเบิกจ่ายสะสม พ.ย. 66'!$C:$N,12,0)</f>
        <v>0</v>
      </c>
      <c r="AJ328" s="1274">
        <f t="shared" si="336"/>
        <v>0</v>
      </c>
    </row>
    <row r="329" spans="1:36" s="5" customFormat="1" ht="21" customHeight="1" outlineLevel="1" x14ac:dyDescent="0.2">
      <c r="A329" s="33"/>
      <c r="B329" s="124" t="s">
        <v>36</v>
      </c>
      <c r="C329" s="34" t="s">
        <v>1296</v>
      </c>
      <c r="D329" s="1111"/>
      <c r="E329" s="1109"/>
      <c r="F329" s="1109"/>
      <c r="G329" s="1109"/>
      <c r="H329" s="1109">
        <v>2281000</v>
      </c>
      <c r="I329" s="1110">
        <v>21771800</v>
      </c>
      <c r="J329" s="1110">
        <v>18727500</v>
      </c>
      <c r="K329" s="1033"/>
      <c r="L329" s="1033"/>
      <c r="M329" s="1160">
        <v>9363900</v>
      </c>
      <c r="N329" s="1160">
        <v>18727500</v>
      </c>
      <c r="O329" s="1160"/>
      <c r="P329" s="1160"/>
      <c r="Q329" s="1160"/>
      <c r="R329" s="1160"/>
      <c r="S329" s="1160"/>
      <c r="T329" s="1091">
        <f t="shared" si="375"/>
        <v>0</v>
      </c>
      <c r="U329" s="1091">
        <f t="shared" si="376"/>
        <v>18727500</v>
      </c>
      <c r="V329" s="1091">
        <f t="shared" si="335"/>
        <v>0</v>
      </c>
      <c r="W329" s="1091"/>
      <c r="X329" s="1091">
        <f t="shared" si="377"/>
        <v>0</v>
      </c>
      <c r="Y329" s="1091">
        <f t="shared" si="378"/>
        <v>18727500</v>
      </c>
      <c r="Z329" s="1091">
        <f t="shared" si="379"/>
        <v>0</v>
      </c>
      <c r="AA329" s="1091">
        <f t="shared" si="380"/>
        <v>18727500</v>
      </c>
      <c r="AB329" s="1091">
        <f t="shared" si="381"/>
        <v>0</v>
      </c>
      <c r="AD329" s="650">
        <f t="shared" si="334"/>
        <v>0</v>
      </c>
      <c r="AI329" s="1277">
        <f>VLOOKUP(K329,'[2]ผลการเบิกจ่ายสะสม พ.ย. 66'!$C:$N,12,0)</f>
        <v>0</v>
      </c>
      <c r="AJ329" s="1274">
        <f t="shared" si="336"/>
        <v>0</v>
      </c>
    </row>
    <row r="330" spans="1:36" s="5" customFormat="1" x14ac:dyDescent="0.2">
      <c r="A330" s="33"/>
      <c r="B330" s="34" t="s">
        <v>156</v>
      </c>
      <c r="C330" s="273"/>
      <c r="D330" s="1118">
        <f>+D331+D345+D359+D373+D384+D388+D402</f>
        <v>23851100</v>
      </c>
      <c r="E330" s="1119">
        <f>+E331+E345+E359+E373+E384+E388+E402+E406</f>
        <v>14230022.830000002</v>
      </c>
      <c r="F330" s="1119"/>
      <c r="G330" s="1119"/>
      <c r="H330" s="1119">
        <f>+H331+H345+H359+H373+H384+H388+H402+H406</f>
        <v>19751300</v>
      </c>
      <c r="I330" s="1106">
        <v>34050300</v>
      </c>
      <c r="J330" s="1106">
        <f>+J331+J345+J359+J373+J384+J388+J402+J406</f>
        <v>19482900</v>
      </c>
      <c r="K330" s="1040"/>
      <c r="L330" s="1065"/>
      <c r="M330" s="1105">
        <f t="shared" ref="M330:P330" si="382">+M331+M345+M359+M373+M384+M388+M402+M406</f>
        <v>14627500</v>
      </c>
      <c r="N330" s="1105">
        <f>+N331+N345+N359+N373+N384+N388+N402+N406</f>
        <v>19482900</v>
      </c>
      <c r="O330" s="1240">
        <f t="shared" si="382"/>
        <v>-777591.48</v>
      </c>
      <c r="P330" s="1105">
        <f t="shared" si="382"/>
        <v>0</v>
      </c>
      <c r="Q330" s="1268">
        <f>373733.88</f>
        <v>373733.88</v>
      </c>
      <c r="R330" s="1105">
        <f t="shared" ref="R330:U330" si="383">+R331+R345+R359+R373+R384+R388+R402+R406</f>
        <v>0</v>
      </c>
      <c r="S330" s="1268">
        <f>14207.2+19534497.67-18703996.77</f>
        <v>844708.10000000149</v>
      </c>
      <c r="T330" s="1105">
        <f t="shared" si="383"/>
        <v>844708.10000000009</v>
      </c>
      <c r="U330" s="1105">
        <f t="shared" si="383"/>
        <v>17860600.420000002</v>
      </c>
      <c r="V330" s="1105">
        <f t="shared" si="335"/>
        <v>4.5158736574530458</v>
      </c>
      <c r="W330" s="1105">
        <f t="shared" ref="W330:AB330" si="384">+W331+W345+W359+W373+W384+W388+W402+W406</f>
        <v>0</v>
      </c>
      <c r="X330" s="1105">
        <f t="shared" si="384"/>
        <v>844708.10000000009</v>
      </c>
      <c r="Y330" s="1105">
        <f t="shared" si="384"/>
        <v>17860600.420000002</v>
      </c>
      <c r="Z330" s="1105">
        <f t="shared" si="384"/>
        <v>844708.10000000009</v>
      </c>
      <c r="AA330" s="1105">
        <f t="shared" si="384"/>
        <v>17860600.420000002</v>
      </c>
      <c r="AB330" s="1105">
        <f t="shared" si="384"/>
        <v>198.65546887987102</v>
      </c>
      <c r="AD330" s="650">
        <f>+N330+O330-R330-S330-U330</f>
        <v>0</v>
      </c>
      <c r="AI330" s="1277">
        <f>VLOOKUP(K330,'[2]ผลการเบิกจ่ายสะสม พ.ย. 66'!$C:$N,12,0)</f>
        <v>0</v>
      </c>
      <c r="AJ330" s="1274">
        <f t="shared" si="336"/>
        <v>-844708.10000000149</v>
      </c>
    </row>
    <row r="331" spans="1:36" s="5" customFormat="1" ht="21" customHeight="1" outlineLevel="1" x14ac:dyDescent="0.2">
      <c r="A331" s="33"/>
      <c r="B331" s="72" t="s">
        <v>98</v>
      </c>
      <c r="C331" s="274"/>
      <c r="D331" s="1118">
        <f>SUM(D332:D344)</f>
        <v>10293100</v>
      </c>
      <c r="E331" s="1119">
        <f>SUM(E332:E344)</f>
        <v>5565510.9700000007</v>
      </c>
      <c r="F331" s="1119"/>
      <c r="G331" s="1119"/>
      <c r="H331" s="1119">
        <f>SUM(H332:H344)</f>
        <v>9714200</v>
      </c>
      <c r="I331" s="1106">
        <v>13439000</v>
      </c>
      <c r="J331" s="1106">
        <f>SUM(J332:J344)</f>
        <v>9158800</v>
      </c>
      <c r="K331" s="1040" t="s">
        <v>1371</v>
      </c>
      <c r="L331" s="1065" t="s">
        <v>1428</v>
      </c>
      <c r="M331" s="1105">
        <f t="shared" ref="M331:U331" si="385">SUM(M332:M344)</f>
        <v>6870400</v>
      </c>
      <c r="N331" s="1105">
        <f>SUM(N332:N344)</f>
        <v>9158800</v>
      </c>
      <c r="O331" s="1240">
        <f t="shared" si="385"/>
        <v>-717591.48</v>
      </c>
      <c r="P331" s="1105">
        <f t="shared" si="385"/>
        <v>0</v>
      </c>
      <c r="Q331" s="1105">
        <f t="shared" si="385"/>
        <v>0</v>
      </c>
      <c r="R331" s="1105">
        <f t="shared" si="385"/>
        <v>0</v>
      </c>
      <c r="S331" s="1105">
        <f t="shared" si="385"/>
        <v>323382</v>
      </c>
      <c r="T331" s="1105">
        <f t="shared" si="385"/>
        <v>323382</v>
      </c>
      <c r="U331" s="1105">
        <f t="shared" si="385"/>
        <v>8117826.5200000005</v>
      </c>
      <c r="V331" s="1105">
        <f t="shared" si="335"/>
        <v>3.8309917262889748</v>
      </c>
      <c r="W331" s="1105">
        <f t="shared" ref="W331:AB331" si="386">SUM(W332:W344)</f>
        <v>0</v>
      </c>
      <c r="X331" s="1105">
        <f t="shared" si="386"/>
        <v>323382</v>
      </c>
      <c r="Y331" s="1105">
        <f t="shared" si="386"/>
        <v>8117826.5200000005</v>
      </c>
      <c r="Z331" s="1105">
        <f t="shared" si="386"/>
        <v>323382</v>
      </c>
      <c r="AA331" s="1105">
        <f t="shared" si="386"/>
        <v>8117826.5200000005</v>
      </c>
      <c r="AB331" s="1105">
        <f t="shared" si="386"/>
        <v>51.578335529646949</v>
      </c>
      <c r="AC331" s="314"/>
      <c r="AD331" s="650">
        <f t="shared" ref="AD331:AD394" si="387">+N331+O331-R331-S331-U331</f>
        <v>0</v>
      </c>
      <c r="AI331" s="1277">
        <f>VLOOKUP(K331,'[2]ผลการเบิกจ่ายสะสม พ.ย. 66'!$C:$N,12,0)</f>
        <v>483919928.55000001</v>
      </c>
      <c r="AJ331" s="1274">
        <f t="shared" si="336"/>
        <v>483596546.55000001</v>
      </c>
    </row>
    <row r="332" spans="1:36" s="5" customFormat="1" ht="21" customHeight="1" outlineLevel="1" x14ac:dyDescent="0.2">
      <c r="A332" s="33"/>
      <c r="B332" s="57"/>
      <c r="C332" s="27" t="s">
        <v>52</v>
      </c>
      <c r="D332" s="1111">
        <v>441000</v>
      </c>
      <c r="E332" s="1109">
        <v>257262</v>
      </c>
      <c r="F332" s="1109"/>
      <c r="G332" s="1109"/>
      <c r="H332" s="1109">
        <v>416200</v>
      </c>
      <c r="I332" s="1110">
        <v>500000</v>
      </c>
      <c r="J332" s="1110">
        <v>392400</v>
      </c>
      <c r="K332" s="1033"/>
      <c r="L332" s="1033"/>
      <c r="M332" s="1160">
        <v>294400</v>
      </c>
      <c r="N332" s="1160">
        <v>392400</v>
      </c>
      <c r="O332" s="1241">
        <v>-223591.48</v>
      </c>
      <c r="P332" s="1160"/>
      <c r="Q332" s="1160"/>
      <c r="R332" s="1160"/>
      <c r="S332" s="1283">
        <f>55426</f>
        <v>55426</v>
      </c>
      <c r="T332" s="1091">
        <f t="shared" ref="T332:T344" si="388">+R332+S332</f>
        <v>55426</v>
      </c>
      <c r="U332" s="1091">
        <f t="shared" ref="U332:U344" si="389">+N332+O332-T332</f>
        <v>113382.51999999999</v>
      </c>
      <c r="V332" s="1091">
        <f t="shared" si="335"/>
        <v>32.833650813359419</v>
      </c>
      <c r="W332" s="1091"/>
      <c r="X332" s="1091">
        <f t="shared" ref="X332:X344" si="390">+T332+Q332</f>
        <v>55426</v>
      </c>
      <c r="Y332" s="1091">
        <f t="shared" ref="Y332:Y344" si="391">+U332-Q332</f>
        <v>113382.51999999999</v>
      </c>
      <c r="Z332" s="1091">
        <f t="shared" ref="Z332:Z344" si="392">+T332+Q332+P332</f>
        <v>55426</v>
      </c>
      <c r="AA332" s="1091">
        <f t="shared" ref="AA332:AA344" si="393">+U332-Q332-P332</f>
        <v>113382.51999999999</v>
      </c>
      <c r="AB332" s="1091">
        <f t="shared" ref="AB332:AB344" si="394">IFERROR(Z332*100/(N332+O332),0)</f>
        <v>32.833650813359419</v>
      </c>
      <c r="AC332" s="5" t="s">
        <v>1458</v>
      </c>
      <c r="AD332" s="650">
        <f t="shared" si="387"/>
        <v>0</v>
      </c>
      <c r="AI332" s="1277">
        <f>VLOOKUP(K332,'[2]ผลการเบิกจ่ายสะสม พ.ย. 66'!$C:$N,12,0)</f>
        <v>0</v>
      </c>
      <c r="AJ332" s="1274">
        <f t="shared" si="336"/>
        <v>-55426</v>
      </c>
    </row>
    <row r="333" spans="1:36" s="5" customFormat="1" ht="21" customHeight="1" outlineLevel="1" x14ac:dyDescent="0.2">
      <c r="A333" s="33"/>
      <c r="B333" s="57"/>
      <c r="C333" s="27" t="s">
        <v>49</v>
      </c>
      <c r="D333" s="1111">
        <v>441000</v>
      </c>
      <c r="E333" s="1109">
        <v>151662.14000000001</v>
      </c>
      <c r="F333" s="1109"/>
      <c r="G333" s="1109"/>
      <c r="H333" s="1109">
        <v>416200</v>
      </c>
      <c r="I333" s="1110">
        <v>500000</v>
      </c>
      <c r="J333" s="1110">
        <v>392400</v>
      </c>
      <c r="K333" s="1033"/>
      <c r="L333" s="1033"/>
      <c r="M333" s="1160">
        <v>294400</v>
      </c>
      <c r="N333" s="1160">
        <v>392400</v>
      </c>
      <c r="O333" s="1241">
        <v>-144000</v>
      </c>
      <c r="P333" s="1160"/>
      <c r="Q333" s="1160"/>
      <c r="R333" s="1160"/>
      <c r="S333" s="1283">
        <f>13042.6</f>
        <v>13042.6</v>
      </c>
      <c r="T333" s="1091">
        <f t="shared" si="388"/>
        <v>13042.6</v>
      </c>
      <c r="U333" s="1091">
        <f t="shared" si="389"/>
        <v>235357.4</v>
      </c>
      <c r="V333" s="1091">
        <f t="shared" si="335"/>
        <v>5.2506441223832532</v>
      </c>
      <c r="W333" s="1091"/>
      <c r="X333" s="1091">
        <f t="shared" si="390"/>
        <v>13042.6</v>
      </c>
      <c r="Y333" s="1091">
        <f t="shared" si="391"/>
        <v>235357.4</v>
      </c>
      <c r="Z333" s="1091">
        <f t="shared" si="392"/>
        <v>13042.6</v>
      </c>
      <c r="AA333" s="1091">
        <f t="shared" si="393"/>
        <v>235357.4</v>
      </c>
      <c r="AB333" s="1091">
        <f t="shared" si="394"/>
        <v>5.2506441223832532</v>
      </c>
      <c r="AC333" s="5" t="s">
        <v>1455</v>
      </c>
      <c r="AD333" s="650">
        <f t="shared" si="387"/>
        <v>0</v>
      </c>
      <c r="AI333" s="1277">
        <f>VLOOKUP(K333,'[2]ผลการเบิกจ่ายสะสม พ.ย. 66'!$C:$N,12,0)</f>
        <v>0</v>
      </c>
      <c r="AJ333" s="1274">
        <f t="shared" si="336"/>
        <v>-13042.6</v>
      </c>
    </row>
    <row r="334" spans="1:36" s="5" customFormat="1" ht="21" customHeight="1" outlineLevel="1" x14ac:dyDescent="0.2">
      <c r="A334" s="33"/>
      <c r="B334" s="57"/>
      <c r="C334" s="27" t="s">
        <v>54</v>
      </c>
      <c r="D334" s="1111">
        <v>441000</v>
      </c>
      <c r="E334" s="1109">
        <v>121327.8</v>
      </c>
      <c r="F334" s="1109"/>
      <c r="G334" s="1109"/>
      <c r="H334" s="1109">
        <v>416200</v>
      </c>
      <c r="I334" s="1110">
        <v>500000</v>
      </c>
      <c r="J334" s="1110">
        <v>392400</v>
      </c>
      <c r="K334" s="1033"/>
      <c r="L334" s="1033"/>
      <c r="M334" s="1160">
        <v>294400</v>
      </c>
      <c r="N334" s="1160">
        <v>392400</v>
      </c>
      <c r="O334" s="1241">
        <v>-100000</v>
      </c>
      <c r="P334" s="1160"/>
      <c r="Q334" s="1160"/>
      <c r="R334" s="1160"/>
      <c r="S334" s="1283">
        <f>3338.4</f>
        <v>3338.4</v>
      </c>
      <c r="T334" s="1091">
        <f t="shared" si="388"/>
        <v>3338.4</v>
      </c>
      <c r="U334" s="1091">
        <f t="shared" si="389"/>
        <v>289061.59999999998</v>
      </c>
      <c r="V334" s="1091">
        <f t="shared" si="335"/>
        <v>1.1417236662106702</v>
      </c>
      <c r="W334" s="1091"/>
      <c r="X334" s="1091">
        <f t="shared" si="390"/>
        <v>3338.4</v>
      </c>
      <c r="Y334" s="1091">
        <f t="shared" si="391"/>
        <v>289061.59999999998</v>
      </c>
      <c r="Z334" s="1091">
        <f t="shared" si="392"/>
        <v>3338.4</v>
      </c>
      <c r="AA334" s="1091">
        <f t="shared" si="393"/>
        <v>289061.59999999998</v>
      </c>
      <c r="AB334" s="1091">
        <f t="shared" si="394"/>
        <v>1.1417236662106702</v>
      </c>
      <c r="AC334" s="5" t="s">
        <v>1452</v>
      </c>
      <c r="AD334" s="650">
        <f t="shared" si="387"/>
        <v>0</v>
      </c>
      <c r="AI334" s="1277">
        <f>VLOOKUP(K334,'[2]ผลการเบิกจ่ายสะสม พ.ย. 66'!$C:$N,12,0)</f>
        <v>0</v>
      </c>
      <c r="AJ334" s="1274">
        <f t="shared" si="336"/>
        <v>-3338.4</v>
      </c>
    </row>
    <row r="335" spans="1:36" s="5" customFormat="1" ht="21" customHeight="1" outlineLevel="1" x14ac:dyDescent="0.2">
      <c r="A335" s="33"/>
      <c r="B335" s="57"/>
      <c r="C335" s="27" t="s">
        <v>53</v>
      </c>
      <c r="D335" s="1111">
        <v>441000</v>
      </c>
      <c r="E335" s="1109">
        <v>55475.7</v>
      </c>
      <c r="F335" s="1109"/>
      <c r="G335" s="1109"/>
      <c r="H335" s="1109">
        <v>416200</v>
      </c>
      <c r="I335" s="1110">
        <v>530000</v>
      </c>
      <c r="J335" s="1110">
        <v>392400</v>
      </c>
      <c r="K335" s="1033"/>
      <c r="L335" s="1033"/>
      <c r="M335" s="1160">
        <v>294400</v>
      </c>
      <c r="N335" s="1160">
        <v>392400</v>
      </c>
      <c r="O335" s="1160"/>
      <c r="P335" s="1160"/>
      <c r="Q335" s="1160"/>
      <c r="R335" s="1160"/>
      <c r="S335" s="1283">
        <f>3338.4</f>
        <v>3338.4</v>
      </c>
      <c r="T335" s="1091">
        <f t="shared" si="388"/>
        <v>3338.4</v>
      </c>
      <c r="U335" s="1091">
        <f t="shared" si="389"/>
        <v>389061.6</v>
      </c>
      <c r="V335" s="1091">
        <f t="shared" ref="V335:V398" si="395">IFERROR(T335*100/(N335+O335),0)</f>
        <v>0.85076452599388375</v>
      </c>
      <c r="W335" s="1091"/>
      <c r="X335" s="1091">
        <f t="shared" si="390"/>
        <v>3338.4</v>
      </c>
      <c r="Y335" s="1091">
        <f t="shared" si="391"/>
        <v>389061.6</v>
      </c>
      <c r="Z335" s="1091">
        <f t="shared" si="392"/>
        <v>3338.4</v>
      </c>
      <c r="AA335" s="1091">
        <f t="shared" si="393"/>
        <v>389061.6</v>
      </c>
      <c r="AB335" s="1091">
        <f t="shared" si="394"/>
        <v>0.85076452599388375</v>
      </c>
      <c r="AD335" s="650">
        <f t="shared" si="387"/>
        <v>0</v>
      </c>
      <c r="AI335" s="1277">
        <f>VLOOKUP(K335,'[2]ผลการเบิกจ่ายสะสม พ.ย. 66'!$C:$N,12,0)</f>
        <v>0</v>
      </c>
      <c r="AJ335" s="1274">
        <f t="shared" ref="AJ335:AJ398" si="396">+AI335-S335</f>
        <v>-3338.4</v>
      </c>
    </row>
    <row r="336" spans="1:36" s="5" customFormat="1" ht="21" customHeight="1" outlineLevel="1" x14ac:dyDescent="0.2">
      <c r="A336" s="33"/>
      <c r="B336" s="57"/>
      <c r="C336" s="27" t="s">
        <v>80</v>
      </c>
      <c r="D336" s="1111">
        <v>441000</v>
      </c>
      <c r="E336" s="1109">
        <v>421563.71</v>
      </c>
      <c r="F336" s="1109"/>
      <c r="G336" s="1109"/>
      <c r="H336" s="1109">
        <v>416200</v>
      </c>
      <c r="I336" s="1110">
        <v>600000</v>
      </c>
      <c r="J336" s="1110">
        <v>392400</v>
      </c>
      <c r="K336" s="1033"/>
      <c r="L336" s="1033"/>
      <c r="M336" s="1160">
        <v>294400</v>
      </c>
      <c r="N336" s="1160">
        <v>392400</v>
      </c>
      <c r="O336" s="1160"/>
      <c r="P336" s="1160"/>
      <c r="Q336" s="1160"/>
      <c r="R336" s="1160"/>
      <c r="S336" s="1160"/>
      <c r="T336" s="1091">
        <f t="shared" si="388"/>
        <v>0</v>
      </c>
      <c r="U336" s="1091">
        <f t="shared" si="389"/>
        <v>392400</v>
      </c>
      <c r="V336" s="1091">
        <f t="shared" si="395"/>
        <v>0</v>
      </c>
      <c r="W336" s="1091"/>
      <c r="X336" s="1091">
        <f t="shared" si="390"/>
        <v>0</v>
      </c>
      <c r="Y336" s="1091">
        <f t="shared" si="391"/>
        <v>392400</v>
      </c>
      <c r="Z336" s="1091">
        <f t="shared" si="392"/>
        <v>0</v>
      </c>
      <c r="AA336" s="1091">
        <f t="shared" si="393"/>
        <v>392400</v>
      </c>
      <c r="AB336" s="1091">
        <f t="shared" si="394"/>
        <v>0</v>
      </c>
      <c r="AD336" s="650">
        <f t="shared" si="387"/>
        <v>0</v>
      </c>
      <c r="AI336" s="1277">
        <f>VLOOKUP(K336,'[2]ผลการเบิกจ่ายสะสม พ.ย. 66'!$C:$N,12,0)</f>
        <v>0</v>
      </c>
      <c r="AJ336" s="1274">
        <f t="shared" si="396"/>
        <v>0</v>
      </c>
    </row>
    <row r="337" spans="1:36" s="5" customFormat="1" ht="21" customHeight="1" outlineLevel="1" x14ac:dyDescent="0.2">
      <c r="A337" s="33"/>
      <c r="B337" s="57"/>
      <c r="C337" s="27" t="s">
        <v>63</v>
      </c>
      <c r="D337" s="1111">
        <v>441000</v>
      </c>
      <c r="E337" s="1109">
        <v>185465.52</v>
      </c>
      <c r="F337" s="1109"/>
      <c r="G337" s="1109"/>
      <c r="H337" s="1109">
        <v>416200</v>
      </c>
      <c r="I337" s="1110">
        <v>500000</v>
      </c>
      <c r="J337" s="1110">
        <v>392400</v>
      </c>
      <c r="K337" s="1033"/>
      <c r="L337" s="1033"/>
      <c r="M337" s="1160">
        <v>294400</v>
      </c>
      <c r="N337" s="1160">
        <v>392400</v>
      </c>
      <c r="O337" s="1241">
        <v>-250000</v>
      </c>
      <c r="P337" s="1160"/>
      <c r="Q337" s="1160"/>
      <c r="R337" s="1160"/>
      <c r="S337" s="1160"/>
      <c r="T337" s="1091">
        <f t="shared" si="388"/>
        <v>0</v>
      </c>
      <c r="U337" s="1091">
        <f t="shared" si="389"/>
        <v>142400</v>
      </c>
      <c r="V337" s="1091">
        <f t="shared" si="395"/>
        <v>0</v>
      </c>
      <c r="W337" s="1091"/>
      <c r="X337" s="1091">
        <f t="shared" si="390"/>
        <v>0</v>
      </c>
      <c r="Y337" s="1091">
        <f t="shared" si="391"/>
        <v>142400</v>
      </c>
      <c r="Z337" s="1091">
        <f t="shared" si="392"/>
        <v>0</v>
      </c>
      <c r="AA337" s="1091">
        <f t="shared" si="393"/>
        <v>142400</v>
      </c>
      <c r="AB337" s="1091">
        <f t="shared" si="394"/>
        <v>0</v>
      </c>
      <c r="AC337" s="5" t="s">
        <v>1453</v>
      </c>
      <c r="AD337" s="650">
        <f t="shared" si="387"/>
        <v>0</v>
      </c>
      <c r="AI337" s="1277">
        <f>VLOOKUP(K337,'[2]ผลการเบิกจ่ายสะสม พ.ย. 66'!$C:$N,12,0)</f>
        <v>0</v>
      </c>
      <c r="AJ337" s="1274">
        <f t="shared" si="396"/>
        <v>0</v>
      </c>
    </row>
    <row r="338" spans="1:36" s="5" customFormat="1" ht="21" customHeight="1" outlineLevel="1" x14ac:dyDescent="0.2">
      <c r="A338" s="33"/>
      <c r="B338" s="57"/>
      <c r="C338" s="27" t="s">
        <v>61</v>
      </c>
      <c r="D338" s="1111">
        <v>441000</v>
      </c>
      <c r="E338" s="1109">
        <v>256034.14</v>
      </c>
      <c r="F338" s="1109"/>
      <c r="G338" s="1109"/>
      <c r="H338" s="1109">
        <v>416200</v>
      </c>
      <c r="I338" s="1110">
        <v>500000</v>
      </c>
      <c r="J338" s="1110">
        <v>392400</v>
      </c>
      <c r="K338" s="1033"/>
      <c r="L338" s="1033"/>
      <c r="M338" s="1160">
        <v>294400</v>
      </c>
      <c r="N338" s="1160">
        <v>392400</v>
      </c>
      <c r="O338" s="1160"/>
      <c r="P338" s="1160"/>
      <c r="Q338" s="1160"/>
      <c r="R338" s="1160"/>
      <c r="S338" s="1283">
        <f>6173.9</f>
        <v>6173.9</v>
      </c>
      <c r="T338" s="1091">
        <f t="shared" si="388"/>
        <v>6173.9</v>
      </c>
      <c r="U338" s="1091">
        <f t="shared" si="389"/>
        <v>386226.1</v>
      </c>
      <c r="V338" s="1091">
        <f t="shared" si="395"/>
        <v>1.5733690112130478</v>
      </c>
      <c r="W338" s="1091"/>
      <c r="X338" s="1091">
        <f t="shared" si="390"/>
        <v>6173.9</v>
      </c>
      <c r="Y338" s="1091">
        <f t="shared" si="391"/>
        <v>386226.1</v>
      </c>
      <c r="Z338" s="1091">
        <f t="shared" si="392"/>
        <v>6173.9</v>
      </c>
      <c r="AA338" s="1091">
        <f t="shared" si="393"/>
        <v>386226.1</v>
      </c>
      <c r="AB338" s="1091">
        <f t="shared" si="394"/>
        <v>1.5733690112130478</v>
      </c>
      <c r="AD338" s="650">
        <f t="shared" si="387"/>
        <v>0</v>
      </c>
      <c r="AI338" s="1277">
        <f>VLOOKUP(K338,'[2]ผลการเบิกจ่ายสะสม พ.ย. 66'!$C:$N,12,0)</f>
        <v>0</v>
      </c>
      <c r="AJ338" s="1274">
        <f t="shared" si="396"/>
        <v>-6173.9</v>
      </c>
    </row>
    <row r="339" spans="1:36" s="5" customFormat="1" ht="21" customHeight="1" outlineLevel="1" x14ac:dyDescent="0.2">
      <c r="A339" s="33"/>
      <c r="B339" s="57"/>
      <c r="C339" s="27" t="s">
        <v>51</v>
      </c>
      <c r="D339" s="1111">
        <v>441000</v>
      </c>
      <c r="E339" s="1109">
        <v>260647.55</v>
      </c>
      <c r="F339" s="1109"/>
      <c r="G339" s="1109"/>
      <c r="H339" s="1109">
        <v>416200</v>
      </c>
      <c r="I339" s="1110">
        <v>600000</v>
      </c>
      <c r="J339" s="1110">
        <v>392400</v>
      </c>
      <c r="K339" s="1033"/>
      <c r="L339" s="1033"/>
      <c r="M339" s="1160">
        <v>294400</v>
      </c>
      <c r="N339" s="1160">
        <v>392400</v>
      </c>
      <c r="O339" s="1160"/>
      <c r="P339" s="1160"/>
      <c r="Q339" s="1160"/>
      <c r="R339" s="1160"/>
      <c r="S339" s="1283">
        <f>4776.48</f>
        <v>4776.4799999999996</v>
      </c>
      <c r="T339" s="1091">
        <f t="shared" si="388"/>
        <v>4776.4799999999996</v>
      </c>
      <c r="U339" s="1091">
        <f t="shared" si="389"/>
        <v>387623.52</v>
      </c>
      <c r="V339" s="1091">
        <f t="shared" si="395"/>
        <v>1.2172477064220182</v>
      </c>
      <c r="W339" s="1091"/>
      <c r="X339" s="1091">
        <f t="shared" si="390"/>
        <v>4776.4799999999996</v>
      </c>
      <c r="Y339" s="1091">
        <f t="shared" si="391"/>
        <v>387623.52</v>
      </c>
      <c r="Z339" s="1091">
        <f t="shared" si="392"/>
        <v>4776.4799999999996</v>
      </c>
      <c r="AA339" s="1091">
        <f t="shared" si="393"/>
        <v>387623.52</v>
      </c>
      <c r="AB339" s="1091">
        <f t="shared" si="394"/>
        <v>1.2172477064220182</v>
      </c>
      <c r="AD339" s="650">
        <f t="shared" si="387"/>
        <v>0</v>
      </c>
      <c r="AI339" s="1277">
        <f>VLOOKUP(K339,'[2]ผลการเบิกจ่ายสะสม พ.ย. 66'!$C:$N,12,0)</f>
        <v>0</v>
      </c>
      <c r="AJ339" s="1274">
        <f t="shared" si="396"/>
        <v>-4776.4799999999996</v>
      </c>
    </row>
    <row r="340" spans="1:36" s="5" customFormat="1" ht="21" customHeight="1" outlineLevel="1" x14ac:dyDescent="0.2">
      <c r="A340" s="33"/>
      <c r="B340" s="57"/>
      <c r="C340" s="27" t="s">
        <v>62</v>
      </c>
      <c r="D340" s="1111">
        <v>441000</v>
      </c>
      <c r="E340" s="1109">
        <v>156217.85999999999</v>
      </c>
      <c r="F340" s="1109"/>
      <c r="G340" s="1109"/>
      <c r="H340" s="1109">
        <v>416200</v>
      </c>
      <c r="I340" s="1110">
        <v>432000</v>
      </c>
      <c r="J340" s="1110">
        <v>392400</v>
      </c>
      <c r="K340" s="1033"/>
      <c r="L340" s="1033"/>
      <c r="M340" s="1160">
        <v>294400</v>
      </c>
      <c r="N340" s="1160">
        <v>392400</v>
      </c>
      <c r="O340" s="1160"/>
      <c r="P340" s="1160"/>
      <c r="Q340" s="1160"/>
      <c r="R340" s="1160"/>
      <c r="S340" s="1283">
        <f>5007.6</f>
        <v>5007.6000000000004</v>
      </c>
      <c r="T340" s="1091">
        <f t="shared" si="388"/>
        <v>5007.6000000000004</v>
      </c>
      <c r="U340" s="1091">
        <f t="shared" si="389"/>
        <v>387392.4</v>
      </c>
      <c r="V340" s="1091">
        <f t="shared" si="395"/>
        <v>1.2761467889908258</v>
      </c>
      <c r="W340" s="1091"/>
      <c r="X340" s="1091">
        <f t="shared" si="390"/>
        <v>5007.6000000000004</v>
      </c>
      <c r="Y340" s="1091">
        <f t="shared" si="391"/>
        <v>387392.4</v>
      </c>
      <c r="Z340" s="1091">
        <f t="shared" si="392"/>
        <v>5007.6000000000004</v>
      </c>
      <c r="AA340" s="1091">
        <f t="shared" si="393"/>
        <v>387392.4</v>
      </c>
      <c r="AB340" s="1091">
        <f t="shared" si="394"/>
        <v>1.2761467889908258</v>
      </c>
      <c r="AD340" s="650">
        <f t="shared" si="387"/>
        <v>0</v>
      </c>
      <c r="AI340" s="1277">
        <f>VLOOKUP(K340,'[2]ผลการเบิกจ่ายสะสม พ.ย. 66'!$C:$N,12,0)</f>
        <v>0</v>
      </c>
      <c r="AJ340" s="1274">
        <f t="shared" si="396"/>
        <v>-5007.6000000000004</v>
      </c>
    </row>
    <row r="341" spans="1:36" s="5" customFormat="1" ht="21" customHeight="1" outlineLevel="1" x14ac:dyDescent="0.2">
      <c r="A341" s="33"/>
      <c r="B341" s="57"/>
      <c r="C341" s="27" t="s">
        <v>43</v>
      </c>
      <c r="D341" s="1111">
        <v>441000</v>
      </c>
      <c r="E341" s="1109">
        <v>258001.47</v>
      </c>
      <c r="F341" s="1109"/>
      <c r="G341" s="1109"/>
      <c r="H341" s="1109">
        <v>416200</v>
      </c>
      <c r="I341" s="1110">
        <v>500000</v>
      </c>
      <c r="J341" s="1110">
        <v>392400</v>
      </c>
      <c r="K341" s="1033"/>
      <c r="L341" s="1033"/>
      <c r="M341" s="1160">
        <v>294400</v>
      </c>
      <c r="N341" s="1160">
        <v>392400</v>
      </c>
      <c r="O341" s="1160"/>
      <c r="P341" s="1160"/>
      <c r="Q341" s="1160"/>
      <c r="R341" s="1160"/>
      <c r="S341" s="1283">
        <f>4910</f>
        <v>4910</v>
      </c>
      <c r="T341" s="1091">
        <f t="shared" si="388"/>
        <v>4910</v>
      </c>
      <c r="U341" s="1091">
        <f t="shared" si="389"/>
        <v>387490</v>
      </c>
      <c r="V341" s="1091">
        <f t="shared" si="395"/>
        <v>1.2512742099898064</v>
      </c>
      <c r="W341" s="1091"/>
      <c r="X341" s="1091">
        <f t="shared" si="390"/>
        <v>4910</v>
      </c>
      <c r="Y341" s="1091">
        <f t="shared" si="391"/>
        <v>387490</v>
      </c>
      <c r="Z341" s="1091">
        <f t="shared" si="392"/>
        <v>4910</v>
      </c>
      <c r="AA341" s="1091">
        <f t="shared" si="393"/>
        <v>387490</v>
      </c>
      <c r="AB341" s="1091">
        <f t="shared" si="394"/>
        <v>1.2512742099898064</v>
      </c>
      <c r="AD341" s="650">
        <f t="shared" si="387"/>
        <v>0</v>
      </c>
      <c r="AI341" s="1277">
        <f>VLOOKUP(K341,'[2]ผลการเบิกจ่ายสะสม พ.ย. 66'!$C:$N,12,0)</f>
        <v>0</v>
      </c>
      <c r="AJ341" s="1274">
        <f t="shared" si="396"/>
        <v>-4910</v>
      </c>
    </row>
    <row r="342" spans="1:36" s="5" customFormat="1" ht="21" customHeight="1" outlineLevel="1" x14ac:dyDescent="0.2">
      <c r="A342" s="33"/>
      <c r="B342" s="57"/>
      <c r="C342" s="27" t="s">
        <v>50</v>
      </c>
      <c r="D342" s="1111">
        <v>441000</v>
      </c>
      <c r="E342" s="1109">
        <v>277934.25</v>
      </c>
      <c r="F342" s="1109"/>
      <c r="G342" s="1109"/>
      <c r="H342" s="1109">
        <v>416200</v>
      </c>
      <c r="I342" s="1110">
        <v>1000000</v>
      </c>
      <c r="J342" s="1110">
        <v>392400</v>
      </c>
      <c r="K342" s="1033"/>
      <c r="L342" s="1033"/>
      <c r="M342" s="1160">
        <v>294400</v>
      </c>
      <c r="N342" s="1160">
        <v>392400</v>
      </c>
      <c r="O342" s="1160"/>
      <c r="P342" s="1160"/>
      <c r="Q342" s="1160"/>
      <c r="R342" s="1160"/>
      <c r="S342" s="1283">
        <f>4622.4</f>
        <v>4622.3999999999996</v>
      </c>
      <c r="T342" s="1091">
        <f t="shared" si="388"/>
        <v>4622.3999999999996</v>
      </c>
      <c r="U342" s="1091">
        <f t="shared" si="389"/>
        <v>387777.6</v>
      </c>
      <c r="V342" s="1091">
        <f t="shared" si="395"/>
        <v>1.1779816513761467</v>
      </c>
      <c r="W342" s="1091"/>
      <c r="X342" s="1091">
        <f t="shared" si="390"/>
        <v>4622.3999999999996</v>
      </c>
      <c r="Y342" s="1091">
        <f t="shared" si="391"/>
        <v>387777.6</v>
      </c>
      <c r="Z342" s="1091">
        <f t="shared" si="392"/>
        <v>4622.3999999999996</v>
      </c>
      <c r="AA342" s="1091">
        <f t="shared" si="393"/>
        <v>387777.6</v>
      </c>
      <c r="AB342" s="1091">
        <f t="shared" si="394"/>
        <v>1.1779816513761467</v>
      </c>
      <c r="AD342" s="650">
        <f t="shared" si="387"/>
        <v>0</v>
      </c>
      <c r="AI342" s="1277">
        <f>VLOOKUP(K342,'[2]ผลการเบิกจ่ายสะสม พ.ย. 66'!$C:$N,12,0)</f>
        <v>0</v>
      </c>
      <c r="AJ342" s="1274">
        <f t="shared" si="396"/>
        <v>-4622.3999999999996</v>
      </c>
    </row>
    <row r="343" spans="1:36" s="5" customFormat="1" ht="21" customHeight="1" outlineLevel="1" x14ac:dyDescent="0.2">
      <c r="A343" s="33"/>
      <c r="B343" s="57"/>
      <c r="C343" s="27" t="s">
        <v>42</v>
      </c>
      <c r="D343" s="1111">
        <v>441000</v>
      </c>
      <c r="E343" s="1109">
        <v>28910</v>
      </c>
      <c r="F343" s="1109"/>
      <c r="G343" s="1109"/>
      <c r="H343" s="1109">
        <v>416200</v>
      </c>
      <c r="I343" s="1110">
        <v>500000</v>
      </c>
      <c r="J343" s="1110">
        <v>392400</v>
      </c>
      <c r="K343" s="1033"/>
      <c r="L343" s="1033"/>
      <c r="M343" s="1160">
        <v>294400</v>
      </c>
      <c r="N343" s="1160">
        <v>392400</v>
      </c>
      <c r="O343" s="1160"/>
      <c r="P343" s="1160"/>
      <c r="Q343" s="1160"/>
      <c r="R343" s="1160"/>
      <c r="S343" s="1160"/>
      <c r="T343" s="1091">
        <f t="shared" si="388"/>
        <v>0</v>
      </c>
      <c r="U343" s="1091">
        <f t="shared" si="389"/>
        <v>392400</v>
      </c>
      <c r="V343" s="1091">
        <f t="shared" si="395"/>
        <v>0</v>
      </c>
      <c r="W343" s="1091"/>
      <c r="X343" s="1091">
        <f t="shared" si="390"/>
        <v>0</v>
      </c>
      <c r="Y343" s="1091">
        <f t="shared" si="391"/>
        <v>392400</v>
      </c>
      <c r="Z343" s="1091">
        <f t="shared" si="392"/>
        <v>0</v>
      </c>
      <c r="AA343" s="1091">
        <f t="shared" si="393"/>
        <v>392400</v>
      </c>
      <c r="AB343" s="1091">
        <f t="shared" si="394"/>
        <v>0</v>
      </c>
      <c r="AD343" s="650">
        <f t="shared" si="387"/>
        <v>0</v>
      </c>
      <c r="AI343" s="1277">
        <f>VLOOKUP(K343,'[2]ผลการเบิกจ่ายสะสม พ.ย. 66'!$C:$N,12,0)</f>
        <v>0</v>
      </c>
      <c r="AJ343" s="1274">
        <f t="shared" si="396"/>
        <v>0</v>
      </c>
    </row>
    <row r="344" spans="1:36" s="5" customFormat="1" ht="21" customHeight="1" outlineLevel="1" x14ac:dyDescent="0.2">
      <c r="A344" s="33"/>
      <c r="B344" s="57"/>
      <c r="C344" s="27" t="s">
        <v>81</v>
      </c>
      <c r="D344" s="1111">
        <v>5001100</v>
      </c>
      <c r="E344" s="1109">
        <v>3135008.83</v>
      </c>
      <c r="F344" s="1109"/>
      <c r="G344" s="1109"/>
      <c r="H344" s="1109">
        <v>4719800</v>
      </c>
      <c r="I344" s="1110">
        <v>6777000</v>
      </c>
      <c r="J344" s="1110">
        <v>4450000</v>
      </c>
      <c r="K344" s="1033"/>
      <c r="L344" s="1033"/>
      <c r="M344" s="1160">
        <v>3337600</v>
      </c>
      <c r="N344" s="1160">
        <v>4450000</v>
      </c>
      <c r="O344" s="1160"/>
      <c r="P344" s="1160"/>
      <c r="Q344" s="1160"/>
      <c r="R344" s="1160"/>
      <c r="S344" s="1283">
        <f>222746.22</f>
        <v>222746.22</v>
      </c>
      <c r="T344" s="1091">
        <f t="shared" si="388"/>
        <v>222746.22</v>
      </c>
      <c r="U344" s="1091">
        <f t="shared" si="389"/>
        <v>4227253.78</v>
      </c>
      <c r="V344" s="1091">
        <f t="shared" si="395"/>
        <v>5.0055330337078647</v>
      </c>
      <c r="W344" s="1091"/>
      <c r="X344" s="1091">
        <f t="shared" si="390"/>
        <v>222746.22</v>
      </c>
      <c r="Y344" s="1091">
        <f t="shared" si="391"/>
        <v>4227253.78</v>
      </c>
      <c r="Z344" s="1091">
        <f t="shared" si="392"/>
        <v>222746.22</v>
      </c>
      <c r="AA344" s="1091">
        <f t="shared" si="393"/>
        <v>4227253.78</v>
      </c>
      <c r="AB344" s="1091">
        <f t="shared" si="394"/>
        <v>5.0055330337078647</v>
      </c>
      <c r="AD344" s="650">
        <f t="shared" si="387"/>
        <v>0</v>
      </c>
      <c r="AI344" s="1277">
        <f>VLOOKUP(K344,'[2]ผลการเบิกจ่ายสะสม พ.ย. 66'!$C:$N,12,0)</f>
        <v>0</v>
      </c>
      <c r="AJ344" s="1274">
        <f t="shared" si="396"/>
        <v>-222746.22</v>
      </c>
    </row>
    <row r="345" spans="1:36" s="5" customFormat="1" ht="21" customHeight="1" outlineLevel="1" x14ac:dyDescent="0.2">
      <c r="A345" s="33"/>
      <c r="B345" s="72" t="s">
        <v>99</v>
      </c>
      <c r="C345" s="274"/>
      <c r="D345" s="1118">
        <f>SUM(D346:D358)</f>
        <v>3838500</v>
      </c>
      <c r="E345" s="1119">
        <f>SUM(E346:E358)</f>
        <v>1326491.33</v>
      </c>
      <c r="F345" s="1119"/>
      <c r="G345" s="1119"/>
      <c r="H345" s="1119">
        <f>SUM(H346:H358)</f>
        <v>3432200</v>
      </c>
      <c r="I345" s="1106">
        <f>SUM(I346:I358)</f>
        <v>5272000</v>
      </c>
      <c r="J345" s="1106">
        <f>SUM(J346:J358)</f>
        <v>3551600</v>
      </c>
      <c r="K345" s="1040" t="s">
        <v>1371</v>
      </c>
      <c r="L345" s="1065" t="s">
        <v>1428</v>
      </c>
      <c r="M345" s="1105">
        <f t="shared" ref="M345:U345" si="397">SUM(M346:M358)</f>
        <v>2664000</v>
      </c>
      <c r="N345" s="1105">
        <f>SUM(N346:N358)</f>
        <v>3551600</v>
      </c>
      <c r="O345" s="1105">
        <f t="shared" si="397"/>
        <v>0</v>
      </c>
      <c r="P345" s="1105">
        <f t="shared" si="397"/>
        <v>0</v>
      </c>
      <c r="Q345" s="1105">
        <f t="shared" si="397"/>
        <v>0</v>
      </c>
      <c r="R345" s="1105">
        <f t="shared" si="397"/>
        <v>0</v>
      </c>
      <c r="S345" s="1105">
        <f t="shared" si="397"/>
        <v>77007.53</v>
      </c>
      <c r="T345" s="1105">
        <f t="shared" si="397"/>
        <v>77007.53</v>
      </c>
      <c r="U345" s="1105">
        <f t="shared" si="397"/>
        <v>3474592.47</v>
      </c>
      <c r="V345" s="1105">
        <f t="shared" si="395"/>
        <v>2.1682489582160152</v>
      </c>
      <c r="W345" s="1105">
        <f t="shared" ref="W345:AB345" si="398">SUM(W346:W358)</f>
        <v>0</v>
      </c>
      <c r="X345" s="1105">
        <f t="shared" si="398"/>
        <v>77007.53</v>
      </c>
      <c r="Y345" s="1105">
        <f t="shared" si="398"/>
        <v>3474592.47</v>
      </c>
      <c r="Z345" s="1105">
        <f t="shared" si="398"/>
        <v>77007.53</v>
      </c>
      <c r="AA345" s="1105">
        <f t="shared" si="398"/>
        <v>3474592.47</v>
      </c>
      <c r="AB345" s="1105">
        <f t="shared" si="398"/>
        <v>68.567257992651562</v>
      </c>
      <c r="AC345" s="423"/>
      <c r="AD345" s="650">
        <f t="shared" si="387"/>
        <v>0</v>
      </c>
      <c r="AI345" s="1277">
        <f>VLOOKUP(K345,'[2]ผลการเบิกจ่ายสะสม พ.ย. 66'!$C:$N,12,0)</f>
        <v>483919928.55000001</v>
      </c>
      <c r="AJ345" s="1274">
        <f t="shared" si="396"/>
        <v>483842921.02000004</v>
      </c>
    </row>
    <row r="346" spans="1:36" s="5" customFormat="1" ht="21" customHeight="1" outlineLevel="1" x14ac:dyDescent="0.2">
      <c r="A346" s="33"/>
      <c r="B346" s="57"/>
      <c r="C346" s="27" t="s">
        <v>52</v>
      </c>
      <c r="D346" s="1111">
        <v>180000</v>
      </c>
      <c r="E346" s="1109">
        <v>27844.03</v>
      </c>
      <c r="F346" s="1109"/>
      <c r="G346" s="1109"/>
      <c r="H346" s="1109">
        <v>95000</v>
      </c>
      <c r="I346" s="1110">
        <v>250000</v>
      </c>
      <c r="J346" s="1110">
        <v>96000</v>
      </c>
      <c r="K346" s="1033"/>
      <c r="L346" s="1033"/>
      <c r="M346" s="1160">
        <v>72000</v>
      </c>
      <c r="N346" s="1160">
        <v>96000</v>
      </c>
      <c r="O346" s="1160"/>
      <c r="P346" s="1160"/>
      <c r="Q346" s="1160"/>
      <c r="R346" s="1160"/>
      <c r="S346" s="1283">
        <f>2999</f>
        <v>2999</v>
      </c>
      <c r="T346" s="1091">
        <f t="shared" ref="T346:T358" si="399">+R346+S346</f>
        <v>2999</v>
      </c>
      <c r="U346" s="1091">
        <f t="shared" ref="U346:U358" si="400">+N346+O346-T346</f>
        <v>93001</v>
      </c>
      <c r="V346" s="1091">
        <f t="shared" si="395"/>
        <v>3.1239583333333334</v>
      </c>
      <c r="W346" s="1091"/>
      <c r="X346" s="1091">
        <f t="shared" ref="X346:X358" si="401">+T346+Q346</f>
        <v>2999</v>
      </c>
      <c r="Y346" s="1091">
        <f t="shared" ref="Y346:Y358" si="402">+U346-Q346</f>
        <v>93001</v>
      </c>
      <c r="Z346" s="1091">
        <f t="shared" ref="Z346:Z358" si="403">+T346+Q346+P346</f>
        <v>2999</v>
      </c>
      <c r="AA346" s="1091">
        <f t="shared" ref="AA346:AA358" si="404">+U346-Q346-P346</f>
        <v>93001</v>
      </c>
      <c r="AB346" s="1091">
        <f t="shared" ref="AB346:AB358" si="405">IFERROR(Z346*100/(N346+O346),0)</f>
        <v>3.1239583333333334</v>
      </c>
      <c r="AD346" s="650">
        <f t="shared" si="387"/>
        <v>0</v>
      </c>
      <c r="AI346" s="1277">
        <f>VLOOKUP(K346,'[2]ผลการเบิกจ่ายสะสม พ.ย. 66'!$C:$N,12,0)</f>
        <v>0</v>
      </c>
      <c r="AJ346" s="1274">
        <f t="shared" si="396"/>
        <v>-2999</v>
      </c>
    </row>
    <row r="347" spans="1:36" s="5" customFormat="1" ht="21" customHeight="1" outlineLevel="1" x14ac:dyDescent="0.2">
      <c r="A347" s="33"/>
      <c r="B347" s="57"/>
      <c r="C347" s="27" t="s">
        <v>49</v>
      </c>
      <c r="D347" s="1111">
        <v>200000</v>
      </c>
      <c r="E347" s="1109">
        <v>68702.84</v>
      </c>
      <c r="F347" s="1109"/>
      <c r="G347" s="1109"/>
      <c r="H347" s="1109">
        <v>95000</v>
      </c>
      <c r="I347" s="1110">
        <v>200000</v>
      </c>
      <c r="J347" s="1110">
        <v>96000</v>
      </c>
      <c r="K347" s="1033"/>
      <c r="L347" s="1033"/>
      <c r="M347" s="1160">
        <v>72000</v>
      </c>
      <c r="N347" s="1160">
        <v>96000</v>
      </c>
      <c r="O347" s="1160"/>
      <c r="P347" s="1160"/>
      <c r="Q347" s="1160"/>
      <c r="R347" s="1160"/>
      <c r="S347" s="1283">
        <f>4595.6</f>
        <v>4595.6000000000004</v>
      </c>
      <c r="T347" s="1091">
        <f t="shared" si="399"/>
        <v>4595.6000000000004</v>
      </c>
      <c r="U347" s="1091">
        <f t="shared" si="400"/>
        <v>91404.4</v>
      </c>
      <c r="V347" s="1091">
        <f t="shared" si="395"/>
        <v>4.7870833333333342</v>
      </c>
      <c r="W347" s="1091"/>
      <c r="X347" s="1091">
        <f t="shared" si="401"/>
        <v>4595.6000000000004</v>
      </c>
      <c r="Y347" s="1091">
        <f t="shared" si="402"/>
        <v>91404.4</v>
      </c>
      <c r="Z347" s="1091">
        <f t="shared" si="403"/>
        <v>4595.6000000000004</v>
      </c>
      <c r="AA347" s="1091">
        <f t="shared" si="404"/>
        <v>91404.4</v>
      </c>
      <c r="AB347" s="1091">
        <f t="shared" si="405"/>
        <v>4.7870833333333342</v>
      </c>
      <c r="AD347" s="650">
        <f t="shared" si="387"/>
        <v>0</v>
      </c>
      <c r="AI347" s="1277">
        <f>VLOOKUP(K347,'[2]ผลการเบิกจ่ายสะสม พ.ย. 66'!$C:$N,12,0)</f>
        <v>0</v>
      </c>
      <c r="AJ347" s="1274">
        <f t="shared" si="396"/>
        <v>-4595.6000000000004</v>
      </c>
    </row>
    <row r="348" spans="1:36" s="5" customFormat="1" ht="21" customHeight="1" outlineLevel="1" x14ac:dyDescent="0.2">
      <c r="A348" s="33"/>
      <c r="B348" s="57"/>
      <c r="C348" s="27" t="s">
        <v>54</v>
      </c>
      <c r="D348" s="1111">
        <v>110000</v>
      </c>
      <c r="E348" s="1109">
        <v>27787.89</v>
      </c>
      <c r="F348" s="1109"/>
      <c r="G348" s="1109"/>
      <c r="H348" s="1109">
        <v>95000</v>
      </c>
      <c r="I348" s="1110">
        <v>115000</v>
      </c>
      <c r="J348" s="1110">
        <v>96000</v>
      </c>
      <c r="K348" s="1033"/>
      <c r="L348" s="1033"/>
      <c r="M348" s="1160">
        <v>72000</v>
      </c>
      <c r="N348" s="1160">
        <v>96000</v>
      </c>
      <c r="O348" s="1160"/>
      <c r="P348" s="1160"/>
      <c r="Q348" s="1160"/>
      <c r="R348" s="1160"/>
      <c r="S348" s="1283">
        <f>3052.85</f>
        <v>3052.85</v>
      </c>
      <c r="T348" s="1091">
        <f t="shared" si="399"/>
        <v>3052.85</v>
      </c>
      <c r="U348" s="1091">
        <f t="shared" si="400"/>
        <v>92947.15</v>
      </c>
      <c r="V348" s="1091">
        <f t="shared" si="395"/>
        <v>3.1800520833333334</v>
      </c>
      <c r="W348" s="1091"/>
      <c r="X348" s="1091">
        <f t="shared" si="401"/>
        <v>3052.85</v>
      </c>
      <c r="Y348" s="1091">
        <f t="shared" si="402"/>
        <v>92947.15</v>
      </c>
      <c r="Z348" s="1091">
        <f t="shared" si="403"/>
        <v>3052.85</v>
      </c>
      <c r="AA348" s="1091">
        <f t="shared" si="404"/>
        <v>92947.15</v>
      </c>
      <c r="AB348" s="1091">
        <f t="shared" si="405"/>
        <v>3.1800520833333334</v>
      </c>
      <c r="AD348" s="650">
        <f t="shared" si="387"/>
        <v>0</v>
      </c>
      <c r="AI348" s="1277">
        <f>VLOOKUP(K348,'[2]ผลการเบิกจ่ายสะสม พ.ย. 66'!$C:$N,12,0)</f>
        <v>0</v>
      </c>
      <c r="AJ348" s="1274">
        <f t="shared" si="396"/>
        <v>-3052.85</v>
      </c>
    </row>
    <row r="349" spans="1:36" s="5" customFormat="1" ht="21" customHeight="1" outlineLevel="1" x14ac:dyDescent="0.2">
      <c r="A349" s="33"/>
      <c r="B349" s="57"/>
      <c r="C349" s="27" t="s">
        <v>53</v>
      </c>
      <c r="D349" s="1111">
        <v>70000</v>
      </c>
      <c r="E349" s="1109">
        <v>28321.62</v>
      </c>
      <c r="F349" s="1109"/>
      <c r="G349" s="1109"/>
      <c r="H349" s="1109">
        <v>95000</v>
      </c>
      <c r="I349" s="1110">
        <v>84000</v>
      </c>
      <c r="J349" s="1110">
        <v>96000</v>
      </c>
      <c r="K349" s="1033"/>
      <c r="L349" s="1033"/>
      <c r="M349" s="1160">
        <v>72000</v>
      </c>
      <c r="N349" s="1160">
        <v>96000</v>
      </c>
      <c r="O349" s="1160"/>
      <c r="P349" s="1160"/>
      <c r="Q349" s="1160"/>
      <c r="R349" s="1160"/>
      <c r="S349" s="1283">
        <f>1317.1</f>
        <v>1317.1</v>
      </c>
      <c r="T349" s="1091">
        <f t="shared" si="399"/>
        <v>1317.1</v>
      </c>
      <c r="U349" s="1091">
        <f t="shared" si="400"/>
        <v>94682.9</v>
      </c>
      <c r="V349" s="1091">
        <f t="shared" si="395"/>
        <v>1.3719791666666667</v>
      </c>
      <c r="W349" s="1091"/>
      <c r="X349" s="1091">
        <f t="shared" si="401"/>
        <v>1317.1</v>
      </c>
      <c r="Y349" s="1091">
        <f t="shared" si="402"/>
        <v>94682.9</v>
      </c>
      <c r="Z349" s="1091">
        <f t="shared" si="403"/>
        <v>1317.1</v>
      </c>
      <c r="AA349" s="1091">
        <f t="shared" si="404"/>
        <v>94682.9</v>
      </c>
      <c r="AB349" s="1091">
        <f t="shared" si="405"/>
        <v>1.3719791666666667</v>
      </c>
      <c r="AD349" s="650">
        <f t="shared" si="387"/>
        <v>0</v>
      </c>
      <c r="AI349" s="1277">
        <f>VLOOKUP(K349,'[2]ผลการเบิกจ่ายสะสม พ.ย. 66'!$C:$N,12,0)</f>
        <v>0</v>
      </c>
      <c r="AJ349" s="1274">
        <f t="shared" si="396"/>
        <v>-1317.1</v>
      </c>
    </row>
    <row r="350" spans="1:36" s="5" customFormat="1" ht="21" customHeight="1" outlineLevel="1" x14ac:dyDescent="0.2">
      <c r="A350" s="33"/>
      <c r="B350" s="57"/>
      <c r="C350" s="27" t="s">
        <v>80</v>
      </c>
      <c r="D350" s="1111">
        <v>242500</v>
      </c>
      <c r="E350" s="1109">
        <v>104393.60000000001</v>
      </c>
      <c r="F350" s="1109"/>
      <c r="G350" s="1109"/>
      <c r="H350" s="1109">
        <v>95000</v>
      </c>
      <c r="I350" s="1110">
        <v>250000</v>
      </c>
      <c r="J350" s="1110">
        <v>96000</v>
      </c>
      <c r="K350" s="1033"/>
      <c r="L350" s="1033"/>
      <c r="M350" s="1160">
        <v>72000</v>
      </c>
      <c r="N350" s="1160">
        <v>96000</v>
      </c>
      <c r="O350" s="1160"/>
      <c r="P350" s="1160"/>
      <c r="Q350" s="1160"/>
      <c r="R350" s="1160"/>
      <c r="S350" s="1283">
        <f>6000</f>
        <v>6000</v>
      </c>
      <c r="T350" s="1091">
        <f t="shared" si="399"/>
        <v>6000</v>
      </c>
      <c r="U350" s="1091">
        <f t="shared" si="400"/>
        <v>90000</v>
      </c>
      <c r="V350" s="1091">
        <f t="shared" si="395"/>
        <v>6.25</v>
      </c>
      <c r="W350" s="1091"/>
      <c r="X350" s="1091">
        <f t="shared" si="401"/>
        <v>6000</v>
      </c>
      <c r="Y350" s="1091">
        <f t="shared" si="402"/>
        <v>90000</v>
      </c>
      <c r="Z350" s="1091">
        <f t="shared" si="403"/>
        <v>6000</v>
      </c>
      <c r="AA350" s="1091">
        <f t="shared" si="404"/>
        <v>90000</v>
      </c>
      <c r="AB350" s="1091">
        <f t="shared" si="405"/>
        <v>6.25</v>
      </c>
      <c r="AD350" s="650">
        <f t="shared" si="387"/>
        <v>0</v>
      </c>
      <c r="AI350" s="1277">
        <f>VLOOKUP(K350,'[2]ผลการเบิกจ่ายสะสม พ.ย. 66'!$C:$N,12,0)</f>
        <v>0</v>
      </c>
      <c r="AJ350" s="1274">
        <f t="shared" si="396"/>
        <v>-6000</v>
      </c>
    </row>
    <row r="351" spans="1:36" s="5" customFormat="1" ht="21" customHeight="1" outlineLevel="1" x14ac:dyDescent="0.2">
      <c r="A351" s="33"/>
      <c r="B351" s="57"/>
      <c r="C351" s="27" t="s">
        <v>63</v>
      </c>
      <c r="D351" s="1111">
        <v>54100</v>
      </c>
      <c r="E351" s="1109">
        <v>24706.17</v>
      </c>
      <c r="F351" s="1109"/>
      <c r="G351" s="1109"/>
      <c r="H351" s="1109">
        <v>95000</v>
      </c>
      <c r="I351" s="1110">
        <v>100000</v>
      </c>
      <c r="J351" s="1110">
        <v>96000</v>
      </c>
      <c r="K351" s="1033"/>
      <c r="L351" s="1033"/>
      <c r="M351" s="1160">
        <v>72000</v>
      </c>
      <c r="N351" s="1160">
        <v>96000</v>
      </c>
      <c r="O351" s="1160"/>
      <c r="P351" s="1160"/>
      <c r="Q351" s="1160"/>
      <c r="R351" s="1160"/>
      <c r="S351" s="1283">
        <f>1331.1</f>
        <v>1331.1</v>
      </c>
      <c r="T351" s="1091">
        <f t="shared" si="399"/>
        <v>1331.1</v>
      </c>
      <c r="U351" s="1091">
        <f t="shared" si="400"/>
        <v>94668.9</v>
      </c>
      <c r="V351" s="1091">
        <f t="shared" si="395"/>
        <v>1.3865624999999999</v>
      </c>
      <c r="W351" s="1091"/>
      <c r="X351" s="1091">
        <f t="shared" si="401"/>
        <v>1331.1</v>
      </c>
      <c r="Y351" s="1091">
        <f t="shared" si="402"/>
        <v>94668.9</v>
      </c>
      <c r="Z351" s="1091">
        <f t="shared" si="403"/>
        <v>1331.1</v>
      </c>
      <c r="AA351" s="1091">
        <f t="shared" si="404"/>
        <v>94668.9</v>
      </c>
      <c r="AB351" s="1091">
        <f t="shared" si="405"/>
        <v>1.3865624999999999</v>
      </c>
      <c r="AD351" s="650">
        <f t="shared" si="387"/>
        <v>0</v>
      </c>
      <c r="AI351" s="1277">
        <f>VLOOKUP(K351,'[2]ผลการเบิกจ่ายสะสม พ.ย. 66'!$C:$N,12,0)</f>
        <v>0</v>
      </c>
      <c r="AJ351" s="1274">
        <f t="shared" si="396"/>
        <v>-1331.1</v>
      </c>
    </row>
    <row r="352" spans="1:36" s="5" customFormat="1" ht="21" customHeight="1" outlineLevel="1" x14ac:dyDescent="0.2">
      <c r="A352" s="33"/>
      <c r="B352" s="57"/>
      <c r="C352" s="27" t="s">
        <v>61</v>
      </c>
      <c r="D352" s="1111">
        <v>104100</v>
      </c>
      <c r="E352" s="1109">
        <v>34741.19</v>
      </c>
      <c r="F352" s="1109"/>
      <c r="G352" s="1109"/>
      <c r="H352" s="1109">
        <v>95000</v>
      </c>
      <c r="I352" s="1110">
        <v>130000</v>
      </c>
      <c r="J352" s="1110">
        <v>96000</v>
      </c>
      <c r="K352" s="1033"/>
      <c r="L352" s="1033"/>
      <c r="M352" s="1160">
        <v>72000</v>
      </c>
      <c r="N352" s="1160">
        <v>96000</v>
      </c>
      <c r="O352" s="1160"/>
      <c r="P352" s="1160"/>
      <c r="Q352" s="1160"/>
      <c r="R352" s="1160"/>
      <c r="S352" s="1283">
        <f>3152.97</f>
        <v>3152.97</v>
      </c>
      <c r="T352" s="1091">
        <f t="shared" si="399"/>
        <v>3152.97</v>
      </c>
      <c r="U352" s="1091">
        <f t="shared" si="400"/>
        <v>92847.03</v>
      </c>
      <c r="V352" s="1091">
        <f t="shared" si="395"/>
        <v>3.2843437500000001</v>
      </c>
      <c r="W352" s="1091"/>
      <c r="X352" s="1091">
        <f t="shared" si="401"/>
        <v>3152.97</v>
      </c>
      <c r="Y352" s="1091">
        <f t="shared" si="402"/>
        <v>92847.03</v>
      </c>
      <c r="Z352" s="1091">
        <f t="shared" si="403"/>
        <v>3152.97</v>
      </c>
      <c r="AA352" s="1091">
        <f t="shared" si="404"/>
        <v>92847.03</v>
      </c>
      <c r="AB352" s="1091">
        <f t="shared" si="405"/>
        <v>3.2843437500000001</v>
      </c>
      <c r="AD352" s="650">
        <f t="shared" si="387"/>
        <v>0</v>
      </c>
      <c r="AI352" s="1277">
        <f>VLOOKUP(K352,'[2]ผลการเบิกจ่ายสะสม พ.ย. 66'!$C:$N,12,0)</f>
        <v>0</v>
      </c>
      <c r="AJ352" s="1274">
        <f t="shared" si="396"/>
        <v>-3152.97</v>
      </c>
    </row>
    <row r="353" spans="1:36" s="5" customFormat="1" ht="21" customHeight="1" outlineLevel="1" x14ac:dyDescent="0.2">
      <c r="A353" s="33"/>
      <c r="B353" s="57"/>
      <c r="C353" s="27" t="s">
        <v>51</v>
      </c>
      <c r="D353" s="1111">
        <v>54200</v>
      </c>
      <c r="E353" s="1109">
        <v>23990.79</v>
      </c>
      <c r="F353" s="1109"/>
      <c r="G353" s="1109"/>
      <c r="H353" s="1109">
        <v>95000</v>
      </c>
      <c r="I353" s="1110">
        <v>120000</v>
      </c>
      <c r="J353" s="1110">
        <v>96000</v>
      </c>
      <c r="K353" s="1033"/>
      <c r="L353" s="1033"/>
      <c r="M353" s="1160">
        <v>72000</v>
      </c>
      <c r="N353" s="1160">
        <v>96000</v>
      </c>
      <c r="O353" s="1160"/>
      <c r="P353" s="1160"/>
      <c r="Q353" s="1160"/>
      <c r="R353" s="1160"/>
      <c r="S353" s="1160"/>
      <c r="T353" s="1091">
        <f t="shared" si="399"/>
        <v>0</v>
      </c>
      <c r="U353" s="1091">
        <f t="shared" si="400"/>
        <v>96000</v>
      </c>
      <c r="V353" s="1091">
        <f t="shared" si="395"/>
        <v>0</v>
      </c>
      <c r="W353" s="1091"/>
      <c r="X353" s="1091">
        <f t="shared" si="401"/>
        <v>0</v>
      </c>
      <c r="Y353" s="1091">
        <f t="shared" si="402"/>
        <v>96000</v>
      </c>
      <c r="Z353" s="1091">
        <f t="shared" si="403"/>
        <v>0</v>
      </c>
      <c r="AA353" s="1091">
        <f t="shared" si="404"/>
        <v>96000</v>
      </c>
      <c r="AB353" s="1091">
        <f t="shared" si="405"/>
        <v>0</v>
      </c>
      <c r="AD353" s="650">
        <f t="shared" si="387"/>
        <v>0</v>
      </c>
      <c r="AI353" s="1277">
        <f>VLOOKUP(K353,'[2]ผลการเบิกจ่ายสะสม พ.ย. 66'!$C:$N,12,0)</f>
        <v>0</v>
      </c>
      <c r="AJ353" s="1274">
        <f t="shared" si="396"/>
        <v>0</v>
      </c>
    </row>
    <row r="354" spans="1:36" s="5" customFormat="1" ht="21" customHeight="1" outlineLevel="1" x14ac:dyDescent="0.2">
      <c r="A354" s="33"/>
      <c r="B354" s="57"/>
      <c r="C354" s="27" t="s">
        <v>62</v>
      </c>
      <c r="D354" s="1111">
        <v>50000</v>
      </c>
      <c r="E354" s="1109">
        <v>59070.22</v>
      </c>
      <c r="F354" s="1109"/>
      <c r="G354" s="1109"/>
      <c r="H354" s="1109">
        <v>95000</v>
      </c>
      <c r="I354" s="1110">
        <v>173000</v>
      </c>
      <c r="J354" s="1110">
        <v>96000</v>
      </c>
      <c r="K354" s="1033"/>
      <c r="L354" s="1033"/>
      <c r="M354" s="1160">
        <v>72000</v>
      </c>
      <c r="N354" s="1160">
        <v>96000</v>
      </c>
      <c r="O354" s="1160"/>
      <c r="P354" s="1160"/>
      <c r="Q354" s="1160"/>
      <c r="R354" s="1160"/>
      <c r="S354" s="1283">
        <f>2672.7</f>
        <v>2672.7</v>
      </c>
      <c r="T354" s="1091">
        <f t="shared" si="399"/>
        <v>2672.7</v>
      </c>
      <c r="U354" s="1091">
        <f t="shared" si="400"/>
        <v>93327.3</v>
      </c>
      <c r="V354" s="1091">
        <f t="shared" si="395"/>
        <v>2.7840625000000001</v>
      </c>
      <c r="W354" s="1091"/>
      <c r="X354" s="1091">
        <f t="shared" si="401"/>
        <v>2672.7</v>
      </c>
      <c r="Y354" s="1091">
        <f t="shared" si="402"/>
        <v>93327.3</v>
      </c>
      <c r="Z354" s="1091">
        <f t="shared" si="403"/>
        <v>2672.7</v>
      </c>
      <c r="AA354" s="1091">
        <f t="shared" si="404"/>
        <v>93327.3</v>
      </c>
      <c r="AB354" s="1091">
        <f t="shared" si="405"/>
        <v>2.7840625000000001</v>
      </c>
      <c r="AD354" s="650">
        <f t="shared" si="387"/>
        <v>0</v>
      </c>
      <c r="AI354" s="1277">
        <f>VLOOKUP(K354,'[2]ผลการเบิกจ่ายสะสม พ.ย. 66'!$C:$N,12,0)</f>
        <v>0</v>
      </c>
      <c r="AJ354" s="1274">
        <f t="shared" si="396"/>
        <v>-2672.7</v>
      </c>
    </row>
    <row r="355" spans="1:36" s="5" customFormat="1" ht="21" customHeight="1" outlineLevel="1" x14ac:dyDescent="0.2">
      <c r="A355" s="33"/>
      <c r="B355" s="57"/>
      <c r="C355" s="27" t="s">
        <v>43</v>
      </c>
      <c r="D355" s="1111">
        <v>101300</v>
      </c>
      <c r="E355" s="1109">
        <v>43272.57</v>
      </c>
      <c r="F355" s="1109"/>
      <c r="G355" s="1109"/>
      <c r="H355" s="1109">
        <v>95000</v>
      </c>
      <c r="I355" s="1110">
        <v>100000</v>
      </c>
      <c r="J355" s="1110">
        <v>96000</v>
      </c>
      <c r="K355" s="1033"/>
      <c r="L355" s="1033"/>
      <c r="M355" s="1160">
        <v>72000</v>
      </c>
      <c r="N355" s="1160">
        <v>96000</v>
      </c>
      <c r="O355" s="1160"/>
      <c r="P355" s="1160"/>
      <c r="Q355" s="1160"/>
      <c r="R355" s="1160"/>
      <c r="S355" s="1283">
        <f>4665.01</f>
        <v>4665.01</v>
      </c>
      <c r="T355" s="1091">
        <f t="shared" si="399"/>
        <v>4665.01</v>
      </c>
      <c r="U355" s="1091">
        <f t="shared" si="400"/>
        <v>91334.99</v>
      </c>
      <c r="V355" s="1091">
        <f t="shared" si="395"/>
        <v>4.859385416666667</v>
      </c>
      <c r="W355" s="1091"/>
      <c r="X355" s="1091">
        <f t="shared" si="401"/>
        <v>4665.01</v>
      </c>
      <c r="Y355" s="1091">
        <f t="shared" si="402"/>
        <v>91334.99</v>
      </c>
      <c r="Z355" s="1091">
        <f t="shared" si="403"/>
        <v>4665.01</v>
      </c>
      <c r="AA355" s="1091">
        <f t="shared" si="404"/>
        <v>91334.99</v>
      </c>
      <c r="AB355" s="1091">
        <f t="shared" si="405"/>
        <v>4.859385416666667</v>
      </c>
      <c r="AD355" s="650">
        <f t="shared" si="387"/>
        <v>0</v>
      </c>
      <c r="AI355" s="1277">
        <f>VLOOKUP(K355,'[2]ผลการเบิกจ่ายสะสม พ.ย. 66'!$C:$N,12,0)</f>
        <v>0</v>
      </c>
      <c r="AJ355" s="1274">
        <f t="shared" si="396"/>
        <v>-4665.01</v>
      </c>
    </row>
    <row r="356" spans="1:36" s="5" customFormat="1" ht="21" customHeight="1" outlineLevel="1" x14ac:dyDescent="0.2">
      <c r="A356" s="33"/>
      <c r="B356" s="57"/>
      <c r="C356" s="27" t="s">
        <v>50</v>
      </c>
      <c r="D356" s="1111">
        <v>57000</v>
      </c>
      <c r="E356" s="1109">
        <v>56962.61</v>
      </c>
      <c r="F356" s="1109"/>
      <c r="G356" s="1109"/>
      <c r="H356" s="1109">
        <v>95000</v>
      </c>
      <c r="I356" s="1110">
        <v>150000</v>
      </c>
      <c r="J356" s="1110">
        <v>96000</v>
      </c>
      <c r="K356" s="1033"/>
      <c r="L356" s="1033"/>
      <c r="M356" s="1160">
        <v>72000</v>
      </c>
      <c r="N356" s="1160">
        <v>96000</v>
      </c>
      <c r="O356" s="1160"/>
      <c r="P356" s="1160"/>
      <c r="Q356" s="1160"/>
      <c r="R356" s="1160"/>
      <c r="S356" s="1283">
        <f>2662.2</f>
        <v>2662.2</v>
      </c>
      <c r="T356" s="1091">
        <f t="shared" si="399"/>
        <v>2662.2</v>
      </c>
      <c r="U356" s="1091">
        <f t="shared" si="400"/>
        <v>93337.8</v>
      </c>
      <c r="V356" s="1091">
        <f t="shared" si="395"/>
        <v>2.7731249999999998</v>
      </c>
      <c r="W356" s="1091"/>
      <c r="X356" s="1091">
        <f t="shared" si="401"/>
        <v>2662.2</v>
      </c>
      <c r="Y356" s="1091">
        <f t="shared" si="402"/>
        <v>93337.8</v>
      </c>
      <c r="Z356" s="1091">
        <f t="shared" si="403"/>
        <v>2662.2</v>
      </c>
      <c r="AA356" s="1091">
        <f t="shared" si="404"/>
        <v>93337.8</v>
      </c>
      <c r="AB356" s="1091">
        <f t="shared" si="405"/>
        <v>2.7731249999999998</v>
      </c>
      <c r="AD356" s="650">
        <f t="shared" si="387"/>
        <v>0</v>
      </c>
      <c r="AI356" s="1277">
        <f>VLOOKUP(K356,'[2]ผลการเบิกจ่ายสะสม พ.ย. 66'!$C:$N,12,0)</f>
        <v>0</v>
      </c>
      <c r="AJ356" s="1274">
        <f t="shared" si="396"/>
        <v>-2662.2</v>
      </c>
    </row>
    <row r="357" spans="1:36" s="5" customFormat="1" ht="21" customHeight="1" outlineLevel="1" x14ac:dyDescent="0.2">
      <c r="A357" s="33"/>
      <c r="B357" s="57"/>
      <c r="C357" s="27" t="s">
        <v>42</v>
      </c>
      <c r="D357" s="1111">
        <v>277100</v>
      </c>
      <c r="E357" s="1109">
        <v>400599.24</v>
      </c>
      <c r="F357" s="1109"/>
      <c r="G357" s="1109"/>
      <c r="H357" s="1109">
        <v>95000</v>
      </c>
      <c r="I357" s="1110">
        <v>500000</v>
      </c>
      <c r="J357" s="1110">
        <v>96000</v>
      </c>
      <c r="K357" s="1033"/>
      <c r="L357" s="1033"/>
      <c r="M357" s="1160">
        <v>72000</v>
      </c>
      <c r="N357" s="1160">
        <v>96000</v>
      </c>
      <c r="O357" s="1160"/>
      <c r="P357" s="1160"/>
      <c r="Q357" s="1160"/>
      <c r="R357" s="1160"/>
      <c r="S357" s="1283">
        <f>32910</f>
        <v>32910</v>
      </c>
      <c r="T357" s="1091">
        <f t="shared" si="399"/>
        <v>32910</v>
      </c>
      <c r="U357" s="1091">
        <f t="shared" si="400"/>
        <v>63090</v>
      </c>
      <c r="V357" s="1091">
        <f t="shared" si="395"/>
        <v>34.28125</v>
      </c>
      <c r="W357" s="1091"/>
      <c r="X357" s="1091">
        <f t="shared" si="401"/>
        <v>32910</v>
      </c>
      <c r="Y357" s="1091">
        <f t="shared" si="402"/>
        <v>63090</v>
      </c>
      <c r="Z357" s="1091">
        <f t="shared" si="403"/>
        <v>32910</v>
      </c>
      <c r="AA357" s="1091">
        <f t="shared" si="404"/>
        <v>63090</v>
      </c>
      <c r="AB357" s="1091">
        <f t="shared" si="405"/>
        <v>34.28125</v>
      </c>
      <c r="AD357" s="650">
        <f t="shared" si="387"/>
        <v>0</v>
      </c>
      <c r="AI357" s="1277">
        <f>VLOOKUP(K357,'[2]ผลการเบิกจ่ายสะสม พ.ย. 66'!$C:$N,12,0)</f>
        <v>0</v>
      </c>
      <c r="AJ357" s="1274">
        <f t="shared" si="396"/>
        <v>-32910</v>
      </c>
    </row>
    <row r="358" spans="1:36" s="5" customFormat="1" ht="21" customHeight="1" outlineLevel="1" x14ac:dyDescent="0.2">
      <c r="A358" s="104"/>
      <c r="B358" s="921"/>
      <c r="C358" s="920" t="s">
        <v>81</v>
      </c>
      <c r="D358" s="1146">
        <v>2338200</v>
      </c>
      <c r="E358" s="1147">
        <v>426098.56</v>
      </c>
      <c r="F358" s="1147"/>
      <c r="G358" s="1147"/>
      <c r="H358" s="1147">
        <v>2292200</v>
      </c>
      <c r="I358" s="1152">
        <v>3100000</v>
      </c>
      <c r="J358" s="1152">
        <f>2315800+83800</f>
        <v>2399600</v>
      </c>
      <c r="K358" s="1033"/>
      <c r="L358" s="1033"/>
      <c r="M358" s="1160">
        <v>1800000</v>
      </c>
      <c r="N358" s="1160">
        <f>2315800+83800</f>
        <v>2399600</v>
      </c>
      <c r="O358" s="1160"/>
      <c r="P358" s="1160"/>
      <c r="Q358" s="1160"/>
      <c r="R358" s="1160"/>
      <c r="S358" s="1283">
        <f>11649</f>
        <v>11649</v>
      </c>
      <c r="T358" s="1091">
        <f t="shared" si="399"/>
        <v>11649</v>
      </c>
      <c r="U358" s="1091">
        <f t="shared" si="400"/>
        <v>2387951</v>
      </c>
      <c r="V358" s="1091">
        <f t="shared" si="395"/>
        <v>0.48545590931821969</v>
      </c>
      <c r="W358" s="1091"/>
      <c r="X358" s="1091">
        <f t="shared" si="401"/>
        <v>11649</v>
      </c>
      <c r="Y358" s="1091">
        <f t="shared" si="402"/>
        <v>2387951</v>
      </c>
      <c r="Z358" s="1091">
        <f t="shared" si="403"/>
        <v>11649</v>
      </c>
      <c r="AA358" s="1091">
        <f t="shared" si="404"/>
        <v>2387951</v>
      </c>
      <c r="AB358" s="1091">
        <f t="shared" si="405"/>
        <v>0.48545590931821969</v>
      </c>
      <c r="AD358" s="650">
        <f t="shared" si="387"/>
        <v>0</v>
      </c>
      <c r="AI358" s="1277">
        <f>VLOOKUP(K358,'[2]ผลการเบิกจ่ายสะสม พ.ย. 66'!$C:$N,12,0)</f>
        <v>0</v>
      </c>
      <c r="AJ358" s="1274">
        <f t="shared" si="396"/>
        <v>-11649</v>
      </c>
    </row>
    <row r="359" spans="1:36" s="5" customFormat="1" ht="21" customHeight="1" outlineLevel="1" x14ac:dyDescent="0.2">
      <c r="A359" s="33"/>
      <c r="B359" s="72" t="s">
        <v>100</v>
      </c>
      <c r="C359" s="274"/>
      <c r="D359" s="1118">
        <f t="shared" ref="D359:N359" si="406">SUM(D360:D372)</f>
        <v>1210000</v>
      </c>
      <c r="E359" s="1119">
        <f t="shared" si="406"/>
        <v>447891.57999999996</v>
      </c>
      <c r="F359" s="1119">
        <f t="shared" si="406"/>
        <v>0</v>
      </c>
      <c r="G359" s="1119">
        <f t="shared" si="406"/>
        <v>0</v>
      </c>
      <c r="H359" s="1119">
        <f t="shared" si="406"/>
        <v>1689200</v>
      </c>
      <c r="I359" s="1106">
        <f t="shared" si="406"/>
        <v>2404500</v>
      </c>
      <c r="J359" s="1106">
        <f>SUM(J360:J372)</f>
        <v>1856800</v>
      </c>
      <c r="K359" s="1040" t="s">
        <v>1371</v>
      </c>
      <c r="L359" s="1065" t="s">
        <v>1428</v>
      </c>
      <c r="M359" s="1105">
        <f t="shared" ref="M359:U359" si="407">SUM(M360:M372)</f>
        <v>1394400</v>
      </c>
      <c r="N359" s="1105">
        <f t="shared" si="406"/>
        <v>1856800</v>
      </c>
      <c r="O359" s="1240">
        <f t="shared" si="407"/>
        <v>-130000</v>
      </c>
      <c r="P359" s="1105">
        <f t="shared" si="407"/>
        <v>0</v>
      </c>
      <c r="Q359" s="1105">
        <f t="shared" si="407"/>
        <v>0</v>
      </c>
      <c r="R359" s="1105">
        <f t="shared" si="407"/>
        <v>0</v>
      </c>
      <c r="S359" s="1105">
        <f t="shared" si="407"/>
        <v>8644.5299999999988</v>
      </c>
      <c r="T359" s="1105">
        <f t="shared" si="407"/>
        <v>8644.5299999999988</v>
      </c>
      <c r="U359" s="1105">
        <f t="shared" si="407"/>
        <v>1718155.4700000002</v>
      </c>
      <c r="V359" s="1105">
        <f t="shared" si="395"/>
        <v>0.50060979847116049</v>
      </c>
      <c r="W359" s="1105">
        <f t="shared" ref="W359:AB359" si="408">SUM(W360:W372)</f>
        <v>0</v>
      </c>
      <c r="X359" s="1105">
        <f t="shared" si="408"/>
        <v>8644.5299999999988</v>
      </c>
      <c r="Y359" s="1105">
        <f t="shared" si="408"/>
        <v>1718155.4700000002</v>
      </c>
      <c r="Z359" s="1105">
        <f t="shared" si="408"/>
        <v>8644.5299999999988</v>
      </c>
      <c r="AA359" s="1105">
        <f t="shared" si="408"/>
        <v>1718155.4700000002</v>
      </c>
      <c r="AB359" s="1105">
        <f t="shared" si="408"/>
        <v>7.6215127776180971</v>
      </c>
      <c r="AC359" s="423"/>
      <c r="AD359" s="650">
        <f t="shared" si="387"/>
        <v>0</v>
      </c>
      <c r="AI359" s="1277">
        <f>VLOOKUP(K359,'[2]ผลการเบิกจ่ายสะสม พ.ย. 66'!$C:$N,12,0)</f>
        <v>483919928.55000001</v>
      </c>
      <c r="AJ359" s="1274">
        <f t="shared" si="396"/>
        <v>483911284.02000004</v>
      </c>
    </row>
    <row r="360" spans="1:36" s="5" customFormat="1" ht="21" customHeight="1" outlineLevel="1" x14ac:dyDescent="0.2">
      <c r="A360" s="33"/>
      <c r="B360" s="57"/>
      <c r="C360" s="27" t="s">
        <v>52</v>
      </c>
      <c r="D360" s="1111">
        <v>60000</v>
      </c>
      <c r="E360" s="1109">
        <v>32995</v>
      </c>
      <c r="F360" s="1109"/>
      <c r="G360" s="1109"/>
      <c r="H360" s="1109">
        <v>90700</v>
      </c>
      <c r="I360" s="1110">
        <v>100000</v>
      </c>
      <c r="J360" s="1110">
        <v>91700</v>
      </c>
      <c r="K360" s="1033"/>
      <c r="L360" s="1033"/>
      <c r="M360" s="1160">
        <v>68900</v>
      </c>
      <c r="N360" s="1160">
        <v>91700</v>
      </c>
      <c r="O360" s="1160"/>
      <c r="P360" s="1160"/>
      <c r="Q360" s="1160"/>
      <c r="R360" s="1160"/>
      <c r="S360" s="1160"/>
      <c r="T360" s="1091">
        <f t="shared" ref="T360:T372" si="409">+R360+S360</f>
        <v>0</v>
      </c>
      <c r="U360" s="1091">
        <f t="shared" ref="U360:U372" si="410">+N360+O360-T360</f>
        <v>91700</v>
      </c>
      <c r="V360" s="1091">
        <f t="shared" si="395"/>
        <v>0</v>
      </c>
      <c r="W360" s="1091"/>
      <c r="X360" s="1091">
        <f t="shared" ref="X360:X372" si="411">+T360+Q360</f>
        <v>0</v>
      </c>
      <c r="Y360" s="1091">
        <f t="shared" ref="Y360:Y372" si="412">+U360-Q360</f>
        <v>91700</v>
      </c>
      <c r="Z360" s="1091">
        <f t="shared" ref="Z360:Z372" si="413">+T360+Q360+P360</f>
        <v>0</v>
      </c>
      <c r="AA360" s="1091">
        <f t="shared" ref="AA360:AA372" si="414">+U360-Q360-P360</f>
        <v>91700</v>
      </c>
      <c r="AB360" s="1091">
        <f t="shared" ref="AB360:AB372" si="415">IFERROR(Z360*100/(N360+O360),0)</f>
        <v>0</v>
      </c>
      <c r="AC360" s="314"/>
      <c r="AD360" s="650">
        <f t="shared" si="387"/>
        <v>0</v>
      </c>
      <c r="AI360" s="1277">
        <f>VLOOKUP(K360,'[2]ผลการเบิกจ่ายสะสม พ.ย. 66'!$C:$N,12,0)</f>
        <v>0</v>
      </c>
      <c r="AJ360" s="1274">
        <f t="shared" si="396"/>
        <v>0</v>
      </c>
    </row>
    <row r="361" spans="1:36" s="5" customFormat="1" ht="21" customHeight="1" outlineLevel="1" x14ac:dyDescent="0.2">
      <c r="A361" s="33"/>
      <c r="B361" s="57"/>
      <c r="C361" s="27" t="s">
        <v>49</v>
      </c>
      <c r="D361" s="1111">
        <v>50000</v>
      </c>
      <c r="E361" s="1109">
        <v>7300</v>
      </c>
      <c r="F361" s="1109"/>
      <c r="G361" s="1109"/>
      <c r="H361" s="1109">
        <v>90700</v>
      </c>
      <c r="I361" s="1110">
        <v>100000</v>
      </c>
      <c r="J361" s="1110">
        <v>91700</v>
      </c>
      <c r="K361" s="1033"/>
      <c r="L361" s="1033"/>
      <c r="M361" s="1160">
        <v>68900</v>
      </c>
      <c r="N361" s="1160">
        <v>91700</v>
      </c>
      <c r="O361" s="1241">
        <v>-30000</v>
      </c>
      <c r="P361" s="1160"/>
      <c r="Q361" s="1160"/>
      <c r="R361" s="1160"/>
      <c r="S361" s="1160"/>
      <c r="T361" s="1091">
        <f t="shared" si="409"/>
        <v>0</v>
      </c>
      <c r="U361" s="1091">
        <f t="shared" si="410"/>
        <v>61700</v>
      </c>
      <c r="V361" s="1091">
        <f t="shared" si="395"/>
        <v>0</v>
      </c>
      <c r="W361" s="1091"/>
      <c r="X361" s="1091">
        <f t="shared" si="411"/>
        <v>0</v>
      </c>
      <c r="Y361" s="1091">
        <f t="shared" si="412"/>
        <v>61700</v>
      </c>
      <c r="Z361" s="1091">
        <f t="shared" si="413"/>
        <v>0</v>
      </c>
      <c r="AA361" s="1091">
        <f t="shared" si="414"/>
        <v>61700</v>
      </c>
      <c r="AB361" s="1091">
        <f t="shared" si="415"/>
        <v>0</v>
      </c>
      <c r="AC361" s="5" t="s">
        <v>1455</v>
      </c>
      <c r="AD361" s="650">
        <f t="shared" si="387"/>
        <v>0</v>
      </c>
      <c r="AI361" s="1277">
        <f>VLOOKUP(K361,'[2]ผลการเบิกจ่ายสะสม พ.ย. 66'!$C:$N,12,0)</f>
        <v>0</v>
      </c>
      <c r="AJ361" s="1274">
        <f t="shared" si="396"/>
        <v>0</v>
      </c>
    </row>
    <row r="362" spans="1:36" s="5" customFormat="1" ht="21" customHeight="1" outlineLevel="1" x14ac:dyDescent="0.2">
      <c r="A362" s="33"/>
      <c r="B362" s="57"/>
      <c r="C362" s="27" t="s">
        <v>54</v>
      </c>
      <c r="D362" s="1111">
        <v>72000</v>
      </c>
      <c r="E362" s="1109">
        <v>9901</v>
      </c>
      <c r="F362" s="1109"/>
      <c r="G362" s="1109"/>
      <c r="H362" s="1109">
        <v>90700</v>
      </c>
      <c r="I362" s="1110">
        <v>90000</v>
      </c>
      <c r="J362" s="1110">
        <v>91700</v>
      </c>
      <c r="K362" s="1033"/>
      <c r="L362" s="1033"/>
      <c r="M362" s="1160">
        <v>68900</v>
      </c>
      <c r="N362" s="1160">
        <v>91700</v>
      </c>
      <c r="O362" s="1160"/>
      <c r="P362" s="1160"/>
      <c r="Q362" s="1160"/>
      <c r="R362" s="1160"/>
      <c r="S362" s="1160"/>
      <c r="T362" s="1091">
        <f t="shared" si="409"/>
        <v>0</v>
      </c>
      <c r="U362" s="1091">
        <f t="shared" si="410"/>
        <v>91700</v>
      </c>
      <c r="V362" s="1091">
        <f t="shared" si="395"/>
        <v>0</v>
      </c>
      <c r="W362" s="1091"/>
      <c r="X362" s="1091">
        <f t="shared" si="411"/>
        <v>0</v>
      </c>
      <c r="Y362" s="1091">
        <f t="shared" si="412"/>
        <v>91700</v>
      </c>
      <c r="Z362" s="1091">
        <f t="shared" si="413"/>
        <v>0</v>
      </c>
      <c r="AA362" s="1091">
        <f t="shared" si="414"/>
        <v>91700</v>
      </c>
      <c r="AB362" s="1091">
        <f t="shared" si="415"/>
        <v>0</v>
      </c>
      <c r="AD362" s="650">
        <f t="shared" si="387"/>
        <v>0</v>
      </c>
      <c r="AI362" s="1277">
        <f>VLOOKUP(K362,'[2]ผลการเบิกจ่ายสะสม พ.ย. 66'!$C:$N,12,0)</f>
        <v>0</v>
      </c>
      <c r="AJ362" s="1274">
        <f t="shared" si="396"/>
        <v>0</v>
      </c>
    </row>
    <row r="363" spans="1:36" s="5" customFormat="1" ht="21" customHeight="1" outlineLevel="1" x14ac:dyDescent="0.2">
      <c r="A363" s="33"/>
      <c r="B363" s="57"/>
      <c r="C363" s="27" t="s">
        <v>53</v>
      </c>
      <c r="D363" s="1111">
        <v>54000</v>
      </c>
      <c r="E363" s="1109">
        <v>1810</v>
      </c>
      <c r="F363" s="1109"/>
      <c r="G363" s="1109"/>
      <c r="H363" s="1109">
        <v>90700</v>
      </c>
      <c r="I363" s="1110">
        <v>65000</v>
      </c>
      <c r="J363" s="1110">
        <v>91700</v>
      </c>
      <c r="K363" s="1033"/>
      <c r="L363" s="1033"/>
      <c r="M363" s="1160">
        <v>68900</v>
      </c>
      <c r="N363" s="1160">
        <v>91700</v>
      </c>
      <c r="O363" s="1160"/>
      <c r="P363" s="1160"/>
      <c r="Q363" s="1160"/>
      <c r="R363" s="1160"/>
      <c r="S363" s="1160"/>
      <c r="T363" s="1091">
        <f t="shared" si="409"/>
        <v>0</v>
      </c>
      <c r="U363" s="1091">
        <f t="shared" si="410"/>
        <v>91700</v>
      </c>
      <c r="V363" s="1091">
        <f t="shared" si="395"/>
        <v>0</v>
      </c>
      <c r="W363" s="1091"/>
      <c r="X363" s="1091">
        <f t="shared" si="411"/>
        <v>0</v>
      </c>
      <c r="Y363" s="1091">
        <f t="shared" si="412"/>
        <v>91700</v>
      </c>
      <c r="Z363" s="1091">
        <f t="shared" si="413"/>
        <v>0</v>
      </c>
      <c r="AA363" s="1091">
        <f t="shared" si="414"/>
        <v>91700</v>
      </c>
      <c r="AB363" s="1091">
        <f t="shared" si="415"/>
        <v>0</v>
      </c>
      <c r="AD363" s="650">
        <f t="shared" si="387"/>
        <v>0</v>
      </c>
      <c r="AI363" s="1277">
        <f>VLOOKUP(K363,'[2]ผลการเบิกจ่ายสะสม พ.ย. 66'!$C:$N,12,0)</f>
        <v>0</v>
      </c>
      <c r="AJ363" s="1274">
        <f t="shared" si="396"/>
        <v>0</v>
      </c>
    </row>
    <row r="364" spans="1:36" s="5" customFormat="1" ht="21" customHeight="1" outlineLevel="1" x14ac:dyDescent="0.2">
      <c r="A364" s="33"/>
      <c r="B364" s="57"/>
      <c r="C364" s="27" t="s">
        <v>80</v>
      </c>
      <c r="D364" s="1111">
        <v>12000</v>
      </c>
      <c r="E364" s="1109">
        <v>5897</v>
      </c>
      <c r="F364" s="1109"/>
      <c r="G364" s="1109"/>
      <c r="H364" s="1109">
        <v>90700</v>
      </c>
      <c r="I364" s="1110">
        <v>20000</v>
      </c>
      <c r="J364" s="1110">
        <v>91700</v>
      </c>
      <c r="K364" s="1033"/>
      <c r="L364" s="1033"/>
      <c r="M364" s="1160">
        <v>68900</v>
      </c>
      <c r="N364" s="1160">
        <v>91700</v>
      </c>
      <c r="O364" s="1241">
        <v>-40000</v>
      </c>
      <c r="P364" s="1160"/>
      <c r="Q364" s="1160"/>
      <c r="R364" s="1160"/>
      <c r="S364" s="1283">
        <f>3595.2</f>
        <v>3595.2</v>
      </c>
      <c r="T364" s="1091">
        <f t="shared" si="409"/>
        <v>3595.2</v>
      </c>
      <c r="U364" s="1091">
        <f t="shared" si="410"/>
        <v>48104.800000000003</v>
      </c>
      <c r="V364" s="1091">
        <f t="shared" si="395"/>
        <v>6.9539651837524179</v>
      </c>
      <c r="W364" s="1091"/>
      <c r="X364" s="1091">
        <f t="shared" si="411"/>
        <v>3595.2</v>
      </c>
      <c r="Y364" s="1091">
        <f t="shared" si="412"/>
        <v>48104.800000000003</v>
      </c>
      <c r="Z364" s="1091">
        <f t="shared" si="413"/>
        <v>3595.2</v>
      </c>
      <c r="AA364" s="1091">
        <f t="shared" si="414"/>
        <v>48104.800000000003</v>
      </c>
      <c r="AB364" s="1091">
        <f t="shared" si="415"/>
        <v>6.9539651837524179</v>
      </c>
      <c r="AC364" s="5" t="s">
        <v>1453</v>
      </c>
      <c r="AD364" s="650">
        <f t="shared" si="387"/>
        <v>0</v>
      </c>
      <c r="AI364" s="1277">
        <f>VLOOKUP(K364,'[2]ผลการเบิกจ่ายสะสม พ.ย. 66'!$C:$N,12,0)</f>
        <v>0</v>
      </c>
      <c r="AJ364" s="1274">
        <f t="shared" si="396"/>
        <v>-3595.2</v>
      </c>
    </row>
    <row r="365" spans="1:36" s="5" customFormat="1" ht="21" customHeight="1" outlineLevel="1" x14ac:dyDescent="0.2">
      <c r="A365" s="33"/>
      <c r="B365" s="57"/>
      <c r="C365" s="27" t="s">
        <v>63</v>
      </c>
      <c r="D365" s="1111">
        <v>30000</v>
      </c>
      <c r="E365" s="1109">
        <v>17390</v>
      </c>
      <c r="F365" s="1109"/>
      <c r="G365" s="1109"/>
      <c r="H365" s="1109">
        <v>90700</v>
      </c>
      <c r="I365" s="1110">
        <v>100000</v>
      </c>
      <c r="J365" s="1110">
        <v>91700</v>
      </c>
      <c r="K365" s="1033"/>
      <c r="L365" s="1033"/>
      <c r="M365" s="1160">
        <v>68900</v>
      </c>
      <c r="N365" s="1160">
        <v>91700</v>
      </c>
      <c r="O365" s="1241">
        <v>-60000</v>
      </c>
      <c r="P365" s="1160"/>
      <c r="Q365" s="1160"/>
      <c r="R365" s="1160"/>
      <c r="S365" s="1160"/>
      <c r="T365" s="1091">
        <f t="shared" si="409"/>
        <v>0</v>
      </c>
      <c r="U365" s="1091">
        <f t="shared" si="410"/>
        <v>31700</v>
      </c>
      <c r="V365" s="1091">
        <f t="shared" si="395"/>
        <v>0</v>
      </c>
      <c r="W365" s="1091"/>
      <c r="X365" s="1091">
        <f t="shared" si="411"/>
        <v>0</v>
      </c>
      <c r="Y365" s="1091">
        <f t="shared" si="412"/>
        <v>31700</v>
      </c>
      <c r="Z365" s="1091">
        <f t="shared" si="413"/>
        <v>0</v>
      </c>
      <c r="AA365" s="1091">
        <f t="shared" si="414"/>
        <v>31700</v>
      </c>
      <c r="AB365" s="1091">
        <f t="shared" si="415"/>
        <v>0</v>
      </c>
      <c r="AC365" s="5" t="s">
        <v>1453</v>
      </c>
      <c r="AD365" s="650">
        <f t="shared" si="387"/>
        <v>0</v>
      </c>
      <c r="AI365" s="1277">
        <f>VLOOKUP(K365,'[2]ผลการเบิกจ่ายสะสม พ.ย. 66'!$C:$N,12,0)</f>
        <v>0</v>
      </c>
      <c r="AJ365" s="1274">
        <f t="shared" si="396"/>
        <v>0</v>
      </c>
    </row>
    <row r="366" spans="1:36" s="5" customFormat="1" ht="21" customHeight="1" outlineLevel="1" x14ac:dyDescent="0.2">
      <c r="A366" s="33"/>
      <c r="B366" s="57"/>
      <c r="C366" s="27" t="s">
        <v>61</v>
      </c>
      <c r="D366" s="1111">
        <v>30000</v>
      </c>
      <c r="E366" s="1109">
        <v>1383</v>
      </c>
      <c r="F366" s="1109"/>
      <c r="G366" s="1109"/>
      <c r="H366" s="1109">
        <v>90700</v>
      </c>
      <c r="I366" s="1110">
        <v>60000</v>
      </c>
      <c r="J366" s="1110">
        <v>91700</v>
      </c>
      <c r="K366" s="1033"/>
      <c r="L366" s="1033"/>
      <c r="M366" s="1160">
        <v>68900</v>
      </c>
      <c r="N366" s="1160">
        <v>91700</v>
      </c>
      <c r="O366" s="1160"/>
      <c r="P366" s="1160"/>
      <c r="Q366" s="1160"/>
      <c r="R366" s="1160"/>
      <c r="S366" s="1160"/>
      <c r="T366" s="1091">
        <f t="shared" si="409"/>
        <v>0</v>
      </c>
      <c r="U366" s="1091">
        <f t="shared" si="410"/>
        <v>91700</v>
      </c>
      <c r="V366" s="1091">
        <f t="shared" si="395"/>
        <v>0</v>
      </c>
      <c r="W366" s="1091"/>
      <c r="X366" s="1091">
        <f t="shared" si="411"/>
        <v>0</v>
      </c>
      <c r="Y366" s="1091">
        <f t="shared" si="412"/>
        <v>91700</v>
      </c>
      <c r="Z366" s="1091">
        <f t="shared" si="413"/>
        <v>0</v>
      </c>
      <c r="AA366" s="1091">
        <f t="shared" si="414"/>
        <v>91700</v>
      </c>
      <c r="AB366" s="1091">
        <f t="shared" si="415"/>
        <v>0</v>
      </c>
      <c r="AD366" s="650">
        <f t="shared" si="387"/>
        <v>0</v>
      </c>
      <c r="AI366" s="1277">
        <f>VLOOKUP(K366,'[2]ผลการเบิกจ่ายสะสม พ.ย. 66'!$C:$N,12,0)</f>
        <v>0</v>
      </c>
      <c r="AJ366" s="1274">
        <f t="shared" si="396"/>
        <v>0</v>
      </c>
    </row>
    <row r="367" spans="1:36" s="5" customFormat="1" ht="21" customHeight="1" outlineLevel="1" x14ac:dyDescent="0.2">
      <c r="A367" s="33"/>
      <c r="B367" s="57"/>
      <c r="C367" s="27" t="s">
        <v>51</v>
      </c>
      <c r="D367" s="1111">
        <v>12000</v>
      </c>
      <c r="E367" s="1109">
        <v>36373</v>
      </c>
      <c r="F367" s="1109"/>
      <c r="G367" s="1109"/>
      <c r="H367" s="1109">
        <v>90700</v>
      </c>
      <c r="I367" s="1110">
        <v>100000</v>
      </c>
      <c r="J367" s="1110">
        <v>91700</v>
      </c>
      <c r="K367" s="1033"/>
      <c r="L367" s="1033"/>
      <c r="M367" s="1160">
        <v>68900</v>
      </c>
      <c r="N367" s="1160">
        <v>91700</v>
      </c>
      <c r="O367" s="1160"/>
      <c r="P367" s="1160"/>
      <c r="Q367" s="1160"/>
      <c r="R367" s="1160"/>
      <c r="S367" s="1160"/>
      <c r="T367" s="1091">
        <f t="shared" si="409"/>
        <v>0</v>
      </c>
      <c r="U367" s="1091">
        <f t="shared" si="410"/>
        <v>91700</v>
      </c>
      <c r="V367" s="1091">
        <f t="shared" si="395"/>
        <v>0</v>
      </c>
      <c r="W367" s="1091"/>
      <c r="X367" s="1091">
        <f t="shared" si="411"/>
        <v>0</v>
      </c>
      <c r="Y367" s="1091">
        <f t="shared" si="412"/>
        <v>91700</v>
      </c>
      <c r="Z367" s="1091">
        <f t="shared" si="413"/>
        <v>0</v>
      </c>
      <c r="AA367" s="1091">
        <f t="shared" si="414"/>
        <v>91700</v>
      </c>
      <c r="AB367" s="1091">
        <f t="shared" si="415"/>
        <v>0</v>
      </c>
      <c r="AD367" s="650">
        <f t="shared" si="387"/>
        <v>0</v>
      </c>
      <c r="AI367" s="1277">
        <f>VLOOKUP(K367,'[2]ผลการเบิกจ่ายสะสม พ.ย. 66'!$C:$N,12,0)</f>
        <v>0</v>
      </c>
      <c r="AJ367" s="1274">
        <f t="shared" si="396"/>
        <v>0</v>
      </c>
    </row>
    <row r="368" spans="1:36" s="5" customFormat="1" ht="21" customHeight="1" outlineLevel="1" x14ac:dyDescent="0.2">
      <c r="A368" s="33"/>
      <c r="B368" s="57"/>
      <c r="C368" s="27" t="s">
        <v>62</v>
      </c>
      <c r="D368" s="1111">
        <v>50000</v>
      </c>
      <c r="E368" s="1109">
        <v>12095</v>
      </c>
      <c r="F368" s="1109"/>
      <c r="G368" s="1109"/>
      <c r="H368" s="1109">
        <v>90700</v>
      </c>
      <c r="I368" s="1110">
        <v>110000</v>
      </c>
      <c r="J368" s="1110">
        <v>91700</v>
      </c>
      <c r="K368" s="1033"/>
      <c r="L368" s="1033"/>
      <c r="M368" s="1160">
        <v>68900</v>
      </c>
      <c r="N368" s="1160">
        <v>91700</v>
      </c>
      <c r="O368" s="1160"/>
      <c r="P368" s="1160"/>
      <c r="Q368" s="1160"/>
      <c r="R368" s="1160"/>
      <c r="S368" s="1160"/>
      <c r="T368" s="1091">
        <f t="shared" si="409"/>
        <v>0</v>
      </c>
      <c r="U368" s="1091">
        <f t="shared" si="410"/>
        <v>91700</v>
      </c>
      <c r="V368" s="1091">
        <f t="shared" si="395"/>
        <v>0</v>
      </c>
      <c r="W368" s="1091"/>
      <c r="X368" s="1091">
        <f t="shared" si="411"/>
        <v>0</v>
      </c>
      <c r="Y368" s="1091">
        <f t="shared" si="412"/>
        <v>91700</v>
      </c>
      <c r="Z368" s="1091">
        <f t="shared" si="413"/>
        <v>0</v>
      </c>
      <c r="AA368" s="1091">
        <f t="shared" si="414"/>
        <v>91700</v>
      </c>
      <c r="AB368" s="1091">
        <f t="shared" si="415"/>
        <v>0</v>
      </c>
      <c r="AD368" s="650">
        <f t="shared" si="387"/>
        <v>0</v>
      </c>
      <c r="AI368" s="1277">
        <f>VLOOKUP(K368,'[2]ผลการเบิกจ่ายสะสม พ.ย. 66'!$C:$N,12,0)</f>
        <v>0</v>
      </c>
      <c r="AJ368" s="1274">
        <f t="shared" si="396"/>
        <v>0</v>
      </c>
    </row>
    <row r="369" spans="1:36" s="5" customFormat="1" ht="21" customHeight="1" outlineLevel="1" x14ac:dyDescent="0.2">
      <c r="A369" s="33"/>
      <c r="B369" s="57"/>
      <c r="C369" s="27" t="s">
        <v>43</v>
      </c>
      <c r="D369" s="1111">
        <v>36000</v>
      </c>
      <c r="E369" s="1109">
        <v>5257.98</v>
      </c>
      <c r="F369" s="1109"/>
      <c r="G369" s="1109"/>
      <c r="H369" s="1109">
        <v>90700</v>
      </c>
      <c r="I369" s="1110">
        <v>100000</v>
      </c>
      <c r="J369" s="1110">
        <v>91700</v>
      </c>
      <c r="K369" s="1033"/>
      <c r="L369" s="1033"/>
      <c r="M369" s="1160">
        <v>68900</v>
      </c>
      <c r="N369" s="1160">
        <v>91700</v>
      </c>
      <c r="O369" s="1160"/>
      <c r="P369" s="1160"/>
      <c r="Q369" s="1160"/>
      <c r="R369" s="1160"/>
      <c r="S369" s="1160"/>
      <c r="T369" s="1091">
        <f t="shared" si="409"/>
        <v>0</v>
      </c>
      <c r="U369" s="1091">
        <f t="shared" si="410"/>
        <v>91700</v>
      </c>
      <c r="V369" s="1091">
        <f t="shared" si="395"/>
        <v>0</v>
      </c>
      <c r="W369" s="1091"/>
      <c r="X369" s="1091">
        <f t="shared" si="411"/>
        <v>0</v>
      </c>
      <c r="Y369" s="1091">
        <f t="shared" si="412"/>
        <v>91700</v>
      </c>
      <c r="Z369" s="1091">
        <f t="shared" si="413"/>
        <v>0</v>
      </c>
      <c r="AA369" s="1091">
        <f t="shared" si="414"/>
        <v>91700</v>
      </c>
      <c r="AB369" s="1091">
        <f t="shared" si="415"/>
        <v>0</v>
      </c>
      <c r="AD369" s="650">
        <f t="shared" si="387"/>
        <v>0</v>
      </c>
      <c r="AI369" s="1277">
        <f>VLOOKUP(K369,'[2]ผลการเบิกจ่ายสะสม พ.ย. 66'!$C:$N,12,0)</f>
        <v>0</v>
      </c>
      <c r="AJ369" s="1274">
        <f t="shared" si="396"/>
        <v>0</v>
      </c>
    </row>
    <row r="370" spans="1:36" s="5" customFormat="1" ht="21" customHeight="1" outlineLevel="1" x14ac:dyDescent="0.2">
      <c r="A370" s="33"/>
      <c r="B370" s="57"/>
      <c r="C370" s="27" t="s">
        <v>50</v>
      </c>
      <c r="D370" s="1111">
        <v>96000</v>
      </c>
      <c r="E370" s="1109">
        <v>6035</v>
      </c>
      <c r="F370" s="1109"/>
      <c r="G370" s="1109"/>
      <c r="H370" s="1109">
        <v>90700</v>
      </c>
      <c r="I370" s="1110">
        <v>150000</v>
      </c>
      <c r="J370" s="1110">
        <v>91700</v>
      </c>
      <c r="K370" s="1033"/>
      <c r="L370" s="1033"/>
      <c r="M370" s="1160">
        <v>68900</v>
      </c>
      <c r="N370" s="1160">
        <v>91700</v>
      </c>
      <c r="O370" s="1160"/>
      <c r="P370" s="1160"/>
      <c r="Q370" s="1160"/>
      <c r="R370" s="1160"/>
      <c r="S370" s="1160"/>
      <c r="T370" s="1091">
        <f t="shared" si="409"/>
        <v>0</v>
      </c>
      <c r="U370" s="1091">
        <f t="shared" si="410"/>
        <v>91700</v>
      </c>
      <c r="V370" s="1091">
        <f t="shared" si="395"/>
        <v>0</v>
      </c>
      <c r="W370" s="1091"/>
      <c r="X370" s="1091">
        <f t="shared" si="411"/>
        <v>0</v>
      </c>
      <c r="Y370" s="1091">
        <f t="shared" si="412"/>
        <v>91700</v>
      </c>
      <c r="Z370" s="1091">
        <f t="shared" si="413"/>
        <v>0</v>
      </c>
      <c r="AA370" s="1091">
        <f t="shared" si="414"/>
        <v>91700</v>
      </c>
      <c r="AB370" s="1091">
        <f t="shared" si="415"/>
        <v>0</v>
      </c>
      <c r="AD370" s="650">
        <f t="shared" si="387"/>
        <v>0</v>
      </c>
      <c r="AI370" s="1277">
        <f>VLOOKUP(K370,'[2]ผลการเบิกจ่ายสะสม พ.ย. 66'!$C:$N,12,0)</f>
        <v>0</v>
      </c>
      <c r="AJ370" s="1274">
        <f t="shared" si="396"/>
        <v>0</v>
      </c>
    </row>
    <row r="371" spans="1:36" s="5" customFormat="1" ht="21" customHeight="1" outlineLevel="1" x14ac:dyDescent="0.2">
      <c r="A371" s="33"/>
      <c r="B371" s="57"/>
      <c r="C371" s="27" t="s">
        <v>42</v>
      </c>
      <c r="D371" s="1111">
        <v>108000</v>
      </c>
      <c r="E371" s="1109">
        <v>2000</v>
      </c>
      <c r="F371" s="1109"/>
      <c r="G371" s="1109"/>
      <c r="H371" s="1109">
        <v>90700</v>
      </c>
      <c r="I371" s="1110">
        <v>100000</v>
      </c>
      <c r="J371" s="1110">
        <v>91700</v>
      </c>
      <c r="K371" s="1033"/>
      <c r="L371" s="1033"/>
      <c r="M371" s="1160">
        <v>68900</v>
      </c>
      <c r="N371" s="1160">
        <v>91700</v>
      </c>
      <c r="O371" s="1160"/>
      <c r="P371" s="1160"/>
      <c r="Q371" s="1160"/>
      <c r="R371" s="1160"/>
      <c r="S371" s="1160"/>
      <c r="T371" s="1091">
        <f t="shared" si="409"/>
        <v>0</v>
      </c>
      <c r="U371" s="1091">
        <f t="shared" si="410"/>
        <v>91700</v>
      </c>
      <c r="V371" s="1091">
        <f t="shared" si="395"/>
        <v>0</v>
      </c>
      <c r="W371" s="1091"/>
      <c r="X371" s="1091">
        <f t="shared" si="411"/>
        <v>0</v>
      </c>
      <c r="Y371" s="1091">
        <f t="shared" si="412"/>
        <v>91700</v>
      </c>
      <c r="Z371" s="1091">
        <f t="shared" si="413"/>
        <v>0</v>
      </c>
      <c r="AA371" s="1091">
        <f t="shared" si="414"/>
        <v>91700</v>
      </c>
      <c r="AB371" s="1091">
        <f t="shared" si="415"/>
        <v>0</v>
      </c>
      <c r="AD371" s="650">
        <f t="shared" si="387"/>
        <v>0</v>
      </c>
      <c r="AI371" s="1277">
        <f>VLOOKUP(K371,'[2]ผลการเบิกจ่ายสะสม พ.ย. 66'!$C:$N,12,0)</f>
        <v>0</v>
      </c>
      <c r="AJ371" s="1274">
        <f t="shared" si="396"/>
        <v>0</v>
      </c>
    </row>
    <row r="372" spans="1:36" s="5" customFormat="1" ht="21" customHeight="1" outlineLevel="1" x14ac:dyDescent="0.2">
      <c r="A372" s="33"/>
      <c r="B372" s="57"/>
      <c r="C372" s="27" t="s">
        <v>81</v>
      </c>
      <c r="D372" s="1111">
        <v>600000</v>
      </c>
      <c r="E372" s="1109">
        <v>309454.59999999998</v>
      </c>
      <c r="F372" s="1109"/>
      <c r="G372" s="1109"/>
      <c r="H372" s="1109">
        <v>600800</v>
      </c>
      <c r="I372" s="1110">
        <v>1309500</v>
      </c>
      <c r="J372" s="1110">
        <v>756400</v>
      </c>
      <c r="K372" s="1033"/>
      <c r="L372" s="1033"/>
      <c r="M372" s="1160">
        <v>567600</v>
      </c>
      <c r="N372" s="1160">
        <v>756400</v>
      </c>
      <c r="O372" s="1160"/>
      <c r="P372" s="1160"/>
      <c r="Q372" s="1160"/>
      <c r="R372" s="1160"/>
      <c r="S372" s="1283">
        <f>5049.33</f>
        <v>5049.33</v>
      </c>
      <c r="T372" s="1091">
        <f t="shared" si="409"/>
        <v>5049.33</v>
      </c>
      <c r="U372" s="1091">
        <f t="shared" si="410"/>
        <v>751350.67</v>
      </c>
      <c r="V372" s="1091">
        <f t="shared" si="395"/>
        <v>0.66754759386567952</v>
      </c>
      <c r="W372" s="1091"/>
      <c r="X372" s="1091">
        <f t="shared" si="411"/>
        <v>5049.33</v>
      </c>
      <c r="Y372" s="1091">
        <f t="shared" si="412"/>
        <v>751350.67</v>
      </c>
      <c r="Z372" s="1091">
        <f t="shared" si="413"/>
        <v>5049.33</v>
      </c>
      <c r="AA372" s="1091">
        <f t="shared" si="414"/>
        <v>751350.67</v>
      </c>
      <c r="AB372" s="1091">
        <f t="shared" si="415"/>
        <v>0.66754759386567952</v>
      </c>
      <c r="AD372" s="650">
        <f t="shared" si="387"/>
        <v>0</v>
      </c>
      <c r="AI372" s="1277">
        <f>VLOOKUP(K372,'[2]ผลการเบิกจ่ายสะสม พ.ย. 66'!$C:$N,12,0)</f>
        <v>0</v>
      </c>
      <c r="AJ372" s="1274">
        <f t="shared" si="396"/>
        <v>-5049.33</v>
      </c>
    </row>
    <row r="373" spans="1:36" s="5" customFormat="1" ht="21" customHeight="1" outlineLevel="1" x14ac:dyDescent="0.2">
      <c r="A373" s="33"/>
      <c r="B373" s="72" t="s">
        <v>101</v>
      </c>
      <c r="C373" s="274"/>
      <c r="D373" s="1118">
        <f>SUM(D376:D383)</f>
        <v>657500</v>
      </c>
      <c r="E373" s="1119">
        <f>SUM(E374:E383)</f>
        <v>232192.07</v>
      </c>
      <c r="F373" s="1119"/>
      <c r="G373" s="1119"/>
      <c r="H373" s="1119">
        <f>SUM(H374:H383)</f>
        <v>292000</v>
      </c>
      <c r="I373" s="1106">
        <v>4064600</v>
      </c>
      <c r="J373" s="1106">
        <f>SUM(J374:J383)</f>
        <v>292000</v>
      </c>
      <c r="K373" s="1040" t="s">
        <v>1371</v>
      </c>
      <c r="L373" s="1065" t="s">
        <v>1428</v>
      </c>
      <c r="M373" s="1105">
        <f t="shared" ref="M373:U373" si="416">SUM(M374:M383)</f>
        <v>221000</v>
      </c>
      <c r="N373" s="1105">
        <f>SUM(N374:N383)</f>
        <v>292000</v>
      </c>
      <c r="O373" s="1105">
        <f t="shared" si="416"/>
        <v>0</v>
      </c>
      <c r="P373" s="1105">
        <f t="shared" si="416"/>
        <v>0</v>
      </c>
      <c r="Q373" s="1105">
        <f t="shared" si="416"/>
        <v>0</v>
      </c>
      <c r="R373" s="1105">
        <f t="shared" si="416"/>
        <v>0</v>
      </c>
      <c r="S373" s="1105">
        <f t="shared" si="416"/>
        <v>68028.460000000006</v>
      </c>
      <c r="T373" s="1105">
        <f t="shared" si="416"/>
        <v>68028.460000000006</v>
      </c>
      <c r="U373" s="1105">
        <f t="shared" si="416"/>
        <v>223971.53999999998</v>
      </c>
      <c r="V373" s="1105">
        <f t="shared" si="395"/>
        <v>23.29741780821918</v>
      </c>
      <c r="W373" s="1105">
        <f t="shared" ref="W373:AB373" si="417">SUM(W374:W383)</f>
        <v>0</v>
      </c>
      <c r="X373" s="1105">
        <f t="shared" si="417"/>
        <v>68028.460000000006</v>
      </c>
      <c r="Y373" s="1105">
        <f t="shared" si="417"/>
        <v>223971.53999999998</v>
      </c>
      <c r="Z373" s="1105">
        <f t="shared" si="417"/>
        <v>68028.460000000006</v>
      </c>
      <c r="AA373" s="1105">
        <f t="shared" si="417"/>
        <v>223971.53999999998</v>
      </c>
      <c r="AB373" s="1105">
        <f t="shared" si="417"/>
        <v>60.739696428571435</v>
      </c>
      <c r="AD373" s="650">
        <f t="shared" si="387"/>
        <v>0</v>
      </c>
      <c r="AI373" s="1277">
        <f>VLOOKUP(K373,'[2]ผลการเบิกจ่ายสะสม พ.ย. 66'!$C:$N,12,0)</f>
        <v>483919928.55000001</v>
      </c>
      <c r="AJ373" s="1274">
        <f t="shared" si="396"/>
        <v>483851900.09000003</v>
      </c>
    </row>
    <row r="374" spans="1:36" s="5" customFormat="1" ht="21" customHeight="1" outlineLevel="1" x14ac:dyDescent="0.2">
      <c r="A374" s="33"/>
      <c r="B374" s="72"/>
      <c r="C374" s="27" t="s">
        <v>52</v>
      </c>
      <c r="D374" s="1118"/>
      <c r="E374" s="1109"/>
      <c r="F374" s="1109"/>
      <c r="G374" s="1109"/>
      <c r="H374" s="1109">
        <v>20000</v>
      </c>
      <c r="I374" s="1110">
        <v>50000</v>
      </c>
      <c r="J374" s="1110">
        <v>20000</v>
      </c>
      <c r="K374" s="1033"/>
      <c r="L374" s="1033"/>
      <c r="M374" s="1160">
        <v>15200</v>
      </c>
      <c r="N374" s="1160">
        <v>20000</v>
      </c>
      <c r="O374" s="1160"/>
      <c r="P374" s="1160"/>
      <c r="Q374" s="1160"/>
      <c r="R374" s="1160"/>
      <c r="S374" s="1160"/>
      <c r="T374" s="1091">
        <f t="shared" ref="T374:T383" si="418">+R374+S374</f>
        <v>0</v>
      </c>
      <c r="U374" s="1091">
        <f t="shared" ref="U374:U383" si="419">+N374+O374-T374</f>
        <v>20000</v>
      </c>
      <c r="V374" s="1091">
        <f t="shared" si="395"/>
        <v>0</v>
      </c>
      <c r="W374" s="1091"/>
      <c r="X374" s="1091">
        <f t="shared" ref="X374:X383" si="420">+T374+Q374</f>
        <v>0</v>
      </c>
      <c r="Y374" s="1091">
        <f t="shared" ref="Y374:Y383" si="421">+U374-Q374</f>
        <v>20000</v>
      </c>
      <c r="Z374" s="1091">
        <f t="shared" ref="Z374:Z383" si="422">+T374+Q374+P374</f>
        <v>0</v>
      </c>
      <c r="AA374" s="1091">
        <f t="shared" ref="AA374:AA383" si="423">+U374-Q374-P374</f>
        <v>20000</v>
      </c>
      <c r="AB374" s="1091">
        <f t="shared" ref="AB374:AB383" si="424">IFERROR(Z374*100/(N374+O374),0)</f>
        <v>0</v>
      </c>
      <c r="AD374" s="650">
        <f t="shared" si="387"/>
        <v>0</v>
      </c>
      <c r="AI374" s="1277">
        <f>VLOOKUP(K374,'[2]ผลการเบิกจ่ายสะสม พ.ย. 66'!$C:$N,12,0)</f>
        <v>0</v>
      </c>
      <c r="AJ374" s="1274">
        <f t="shared" si="396"/>
        <v>0</v>
      </c>
    </row>
    <row r="375" spans="1:36" s="5" customFormat="1" ht="21" customHeight="1" outlineLevel="1" x14ac:dyDescent="0.2">
      <c r="A375" s="33"/>
      <c r="B375" s="72"/>
      <c r="C375" s="27" t="s">
        <v>49</v>
      </c>
      <c r="D375" s="1118"/>
      <c r="E375" s="1109"/>
      <c r="F375" s="1109"/>
      <c r="G375" s="1109"/>
      <c r="H375" s="1109">
        <v>20000</v>
      </c>
      <c r="I375" s="1110">
        <v>50000</v>
      </c>
      <c r="J375" s="1110">
        <v>20000</v>
      </c>
      <c r="K375" s="1033"/>
      <c r="L375" s="1033"/>
      <c r="M375" s="1160">
        <v>15200</v>
      </c>
      <c r="N375" s="1160">
        <v>20000</v>
      </c>
      <c r="O375" s="1160"/>
      <c r="P375" s="1160"/>
      <c r="Q375" s="1160"/>
      <c r="R375" s="1160"/>
      <c r="S375" s="1160"/>
      <c r="T375" s="1091">
        <f t="shared" si="418"/>
        <v>0</v>
      </c>
      <c r="U375" s="1091">
        <f t="shared" si="419"/>
        <v>20000</v>
      </c>
      <c r="V375" s="1091">
        <f t="shared" si="395"/>
        <v>0</v>
      </c>
      <c r="W375" s="1091"/>
      <c r="X375" s="1091">
        <f t="shared" si="420"/>
        <v>0</v>
      </c>
      <c r="Y375" s="1091">
        <f t="shared" si="421"/>
        <v>20000</v>
      </c>
      <c r="Z375" s="1091">
        <f t="shared" si="422"/>
        <v>0</v>
      </c>
      <c r="AA375" s="1091">
        <f t="shared" si="423"/>
        <v>20000</v>
      </c>
      <c r="AB375" s="1091">
        <f t="shared" si="424"/>
        <v>0</v>
      </c>
      <c r="AD375" s="650">
        <f t="shared" si="387"/>
        <v>0</v>
      </c>
      <c r="AI375" s="1277">
        <f>VLOOKUP(K375,'[2]ผลการเบิกจ่ายสะสม พ.ย. 66'!$C:$N,12,0)</f>
        <v>0</v>
      </c>
      <c r="AJ375" s="1274">
        <f t="shared" si="396"/>
        <v>0</v>
      </c>
    </row>
    <row r="376" spans="1:36" s="5" customFormat="1" ht="21" customHeight="1" outlineLevel="1" x14ac:dyDescent="0.2">
      <c r="A376" s="33"/>
      <c r="B376" s="57"/>
      <c r="C376" s="27" t="s">
        <v>80</v>
      </c>
      <c r="D376" s="1111">
        <v>166000</v>
      </c>
      <c r="E376" s="1109">
        <v>17496.72</v>
      </c>
      <c r="F376" s="1109"/>
      <c r="G376" s="1109"/>
      <c r="H376" s="1109">
        <v>20000</v>
      </c>
      <c r="I376" s="1110">
        <v>200000</v>
      </c>
      <c r="J376" s="1110">
        <v>20000</v>
      </c>
      <c r="K376" s="1033"/>
      <c r="L376" s="1033"/>
      <c r="M376" s="1160">
        <v>15200</v>
      </c>
      <c r="N376" s="1160">
        <v>20000</v>
      </c>
      <c r="O376" s="1160"/>
      <c r="P376" s="1160"/>
      <c r="Q376" s="1160"/>
      <c r="R376" s="1160"/>
      <c r="S376" s="1160"/>
      <c r="T376" s="1091">
        <f t="shared" si="418"/>
        <v>0</v>
      </c>
      <c r="U376" s="1091">
        <f t="shared" si="419"/>
        <v>20000</v>
      </c>
      <c r="V376" s="1091">
        <f t="shared" si="395"/>
        <v>0</v>
      </c>
      <c r="W376" s="1091"/>
      <c r="X376" s="1091">
        <f t="shared" si="420"/>
        <v>0</v>
      </c>
      <c r="Y376" s="1091">
        <f t="shared" si="421"/>
        <v>20000</v>
      </c>
      <c r="Z376" s="1091">
        <f t="shared" si="422"/>
        <v>0</v>
      </c>
      <c r="AA376" s="1091">
        <f t="shared" si="423"/>
        <v>20000</v>
      </c>
      <c r="AB376" s="1091">
        <f t="shared" si="424"/>
        <v>0</v>
      </c>
      <c r="AD376" s="650">
        <f t="shared" si="387"/>
        <v>0</v>
      </c>
      <c r="AI376" s="1277">
        <f>VLOOKUP(K376,'[2]ผลการเบิกจ่ายสะสม พ.ย. 66'!$C:$N,12,0)</f>
        <v>0</v>
      </c>
      <c r="AJ376" s="1274">
        <f t="shared" si="396"/>
        <v>0</v>
      </c>
    </row>
    <row r="377" spans="1:36" s="5" customFormat="1" ht="21" customHeight="1" outlineLevel="1" x14ac:dyDescent="0.2">
      <c r="A377" s="33"/>
      <c r="B377" s="57"/>
      <c r="C377" s="27" t="s">
        <v>61</v>
      </c>
      <c r="D377" s="1111"/>
      <c r="E377" s="1109"/>
      <c r="F377" s="1109"/>
      <c r="G377" s="1109"/>
      <c r="H377" s="1109">
        <v>20000</v>
      </c>
      <c r="I377" s="1110">
        <v>10000</v>
      </c>
      <c r="J377" s="1110">
        <v>20000</v>
      </c>
      <c r="K377" s="1033"/>
      <c r="L377" s="1033"/>
      <c r="M377" s="1160">
        <v>15200</v>
      </c>
      <c r="N377" s="1160">
        <v>20000</v>
      </c>
      <c r="O377" s="1160"/>
      <c r="P377" s="1160"/>
      <c r="Q377" s="1160"/>
      <c r="R377" s="1160"/>
      <c r="S377" s="1160"/>
      <c r="T377" s="1091">
        <f t="shared" si="418"/>
        <v>0</v>
      </c>
      <c r="U377" s="1091">
        <f t="shared" si="419"/>
        <v>20000</v>
      </c>
      <c r="V377" s="1091">
        <f t="shared" si="395"/>
        <v>0</v>
      </c>
      <c r="W377" s="1091"/>
      <c r="X377" s="1091">
        <f t="shared" si="420"/>
        <v>0</v>
      </c>
      <c r="Y377" s="1091">
        <f t="shared" si="421"/>
        <v>20000</v>
      </c>
      <c r="Z377" s="1091">
        <f t="shared" si="422"/>
        <v>0</v>
      </c>
      <c r="AA377" s="1091">
        <f t="shared" si="423"/>
        <v>20000</v>
      </c>
      <c r="AB377" s="1091">
        <f t="shared" si="424"/>
        <v>0</v>
      </c>
      <c r="AD377" s="650">
        <f t="shared" si="387"/>
        <v>0</v>
      </c>
      <c r="AI377" s="1277">
        <f>VLOOKUP(K377,'[2]ผลการเบิกจ่ายสะสม พ.ย. 66'!$C:$N,12,0)</f>
        <v>0</v>
      </c>
      <c r="AJ377" s="1274">
        <f t="shared" si="396"/>
        <v>0</v>
      </c>
    </row>
    <row r="378" spans="1:36" s="5" customFormat="1" ht="21" customHeight="1" outlineLevel="1" x14ac:dyDescent="0.2">
      <c r="A378" s="33"/>
      <c r="B378" s="57"/>
      <c r="C378" s="27" t="s">
        <v>51</v>
      </c>
      <c r="D378" s="1111"/>
      <c r="E378" s="1109"/>
      <c r="F378" s="1109"/>
      <c r="G378" s="1109"/>
      <c r="H378" s="1109">
        <v>20000</v>
      </c>
      <c r="I378" s="1110">
        <v>20000</v>
      </c>
      <c r="J378" s="1110">
        <v>20000</v>
      </c>
      <c r="K378" s="1033"/>
      <c r="L378" s="1033"/>
      <c r="M378" s="1160">
        <v>15200</v>
      </c>
      <c r="N378" s="1160">
        <v>20000</v>
      </c>
      <c r="O378" s="1160"/>
      <c r="P378" s="1160"/>
      <c r="Q378" s="1160"/>
      <c r="R378" s="1160"/>
      <c r="S378" s="1160"/>
      <c r="T378" s="1091">
        <f t="shared" si="418"/>
        <v>0</v>
      </c>
      <c r="U378" s="1091">
        <f t="shared" si="419"/>
        <v>20000</v>
      </c>
      <c r="V378" s="1091">
        <f t="shared" si="395"/>
        <v>0</v>
      </c>
      <c r="W378" s="1091"/>
      <c r="X378" s="1091">
        <f t="shared" si="420"/>
        <v>0</v>
      </c>
      <c r="Y378" s="1091">
        <f t="shared" si="421"/>
        <v>20000</v>
      </c>
      <c r="Z378" s="1091">
        <f t="shared" si="422"/>
        <v>0</v>
      </c>
      <c r="AA378" s="1091">
        <f t="shared" si="423"/>
        <v>20000</v>
      </c>
      <c r="AB378" s="1091">
        <f t="shared" si="424"/>
        <v>0</v>
      </c>
      <c r="AD378" s="650">
        <f t="shared" si="387"/>
        <v>0</v>
      </c>
      <c r="AI378" s="1277">
        <f>VLOOKUP(K378,'[2]ผลการเบิกจ่ายสะสม พ.ย. 66'!$C:$N,12,0)</f>
        <v>0</v>
      </c>
      <c r="AJ378" s="1274">
        <f t="shared" si="396"/>
        <v>0</v>
      </c>
    </row>
    <row r="379" spans="1:36" s="5" customFormat="1" ht="21" customHeight="1" outlineLevel="1" x14ac:dyDescent="0.2">
      <c r="A379" s="33"/>
      <c r="B379" s="57"/>
      <c r="C379" s="27" t="s">
        <v>62</v>
      </c>
      <c r="D379" s="1111"/>
      <c r="E379" s="1109"/>
      <c r="F379" s="1109"/>
      <c r="G379" s="1109"/>
      <c r="H379" s="1109">
        <v>20000</v>
      </c>
      <c r="I379" s="1110">
        <v>8000</v>
      </c>
      <c r="J379" s="1110">
        <v>20000</v>
      </c>
      <c r="K379" s="1033"/>
      <c r="L379" s="1033"/>
      <c r="M379" s="1160">
        <v>15200</v>
      </c>
      <c r="N379" s="1160">
        <v>20000</v>
      </c>
      <c r="O379" s="1160"/>
      <c r="P379" s="1160"/>
      <c r="Q379" s="1160"/>
      <c r="R379" s="1160"/>
      <c r="S379" s="1160"/>
      <c r="T379" s="1091">
        <f t="shared" si="418"/>
        <v>0</v>
      </c>
      <c r="U379" s="1091">
        <f t="shared" si="419"/>
        <v>20000</v>
      </c>
      <c r="V379" s="1091">
        <f t="shared" si="395"/>
        <v>0</v>
      </c>
      <c r="W379" s="1091"/>
      <c r="X379" s="1091">
        <f t="shared" si="420"/>
        <v>0</v>
      </c>
      <c r="Y379" s="1091">
        <f t="shared" si="421"/>
        <v>20000</v>
      </c>
      <c r="Z379" s="1091">
        <f t="shared" si="422"/>
        <v>0</v>
      </c>
      <c r="AA379" s="1091">
        <f t="shared" si="423"/>
        <v>20000</v>
      </c>
      <c r="AB379" s="1091">
        <f t="shared" si="424"/>
        <v>0</v>
      </c>
      <c r="AD379" s="650">
        <f t="shared" si="387"/>
        <v>0</v>
      </c>
      <c r="AI379" s="1277">
        <f>VLOOKUP(K379,'[2]ผลการเบิกจ่ายสะสม พ.ย. 66'!$C:$N,12,0)</f>
        <v>0</v>
      </c>
      <c r="AJ379" s="1274">
        <f t="shared" si="396"/>
        <v>0</v>
      </c>
    </row>
    <row r="380" spans="1:36" s="5" customFormat="1" ht="21" customHeight="1" outlineLevel="1" x14ac:dyDescent="0.2">
      <c r="A380" s="33"/>
      <c r="B380" s="57"/>
      <c r="C380" s="27" t="s">
        <v>43</v>
      </c>
      <c r="D380" s="1111">
        <v>3000</v>
      </c>
      <c r="E380" s="1109">
        <v>0</v>
      </c>
      <c r="F380" s="1109"/>
      <c r="G380" s="1109"/>
      <c r="H380" s="1109">
        <v>20000</v>
      </c>
      <c r="I380" s="1110">
        <v>20000</v>
      </c>
      <c r="J380" s="1110">
        <v>20000</v>
      </c>
      <c r="K380" s="1033"/>
      <c r="L380" s="1033"/>
      <c r="M380" s="1160">
        <v>15200</v>
      </c>
      <c r="N380" s="1160">
        <v>20000</v>
      </c>
      <c r="O380" s="1160"/>
      <c r="P380" s="1160"/>
      <c r="Q380" s="1160"/>
      <c r="R380" s="1160"/>
      <c r="S380" s="1160"/>
      <c r="T380" s="1091">
        <f t="shared" si="418"/>
        <v>0</v>
      </c>
      <c r="U380" s="1091">
        <f t="shared" si="419"/>
        <v>20000</v>
      </c>
      <c r="V380" s="1091">
        <f t="shared" si="395"/>
        <v>0</v>
      </c>
      <c r="W380" s="1091"/>
      <c r="X380" s="1091">
        <f t="shared" si="420"/>
        <v>0</v>
      </c>
      <c r="Y380" s="1091">
        <f t="shared" si="421"/>
        <v>20000</v>
      </c>
      <c r="Z380" s="1091">
        <f t="shared" si="422"/>
        <v>0</v>
      </c>
      <c r="AA380" s="1091">
        <f t="shared" si="423"/>
        <v>20000</v>
      </c>
      <c r="AB380" s="1091">
        <f t="shared" si="424"/>
        <v>0</v>
      </c>
      <c r="AD380" s="650">
        <f t="shared" si="387"/>
        <v>0</v>
      </c>
      <c r="AI380" s="1277">
        <f>VLOOKUP(K380,'[2]ผลการเบิกจ่ายสะสม พ.ย. 66'!$C:$N,12,0)</f>
        <v>0</v>
      </c>
      <c r="AJ380" s="1274">
        <f t="shared" si="396"/>
        <v>0</v>
      </c>
    </row>
    <row r="381" spans="1:36" s="5" customFormat="1" ht="21" customHeight="1" outlineLevel="1" x14ac:dyDescent="0.2">
      <c r="A381" s="33"/>
      <c r="B381" s="57"/>
      <c r="C381" s="27" t="s">
        <v>50</v>
      </c>
      <c r="D381" s="1111">
        <v>17000</v>
      </c>
      <c r="E381" s="1109">
        <v>2879.5</v>
      </c>
      <c r="F381" s="1109"/>
      <c r="G381" s="1109"/>
      <c r="H381" s="1109">
        <v>20000</v>
      </c>
      <c r="I381" s="1110">
        <v>20000</v>
      </c>
      <c r="J381" s="1110">
        <v>20000</v>
      </c>
      <c r="K381" s="1033"/>
      <c r="L381" s="1033"/>
      <c r="M381" s="1160">
        <v>15200</v>
      </c>
      <c r="N381" s="1160">
        <v>20000</v>
      </c>
      <c r="O381" s="1160"/>
      <c r="P381" s="1160"/>
      <c r="Q381" s="1160"/>
      <c r="R381" s="1160"/>
      <c r="S381" s="1160"/>
      <c r="T381" s="1091">
        <f t="shared" si="418"/>
        <v>0</v>
      </c>
      <c r="U381" s="1091">
        <f t="shared" si="419"/>
        <v>20000</v>
      </c>
      <c r="V381" s="1091">
        <f t="shared" si="395"/>
        <v>0</v>
      </c>
      <c r="W381" s="1091"/>
      <c r="X381" s="1091">
        <f t="shared" si="420"/>
        <v>0</v>
      </c>
      <c r="Y381" s="1091">
        <f t="shared" si="421"/>
        <v>20000</v>
      </c>
      <c r="Z381" s="1091">
        <f t="shared" si="422"/>
        <v>0</v>
      </c>
      <c r="AA381" s="1091">
        <f t="shared" si="423"/>
        <v>20000</v>
      </c>
      <c r="AB381" s="1091">
        <f t="shared" si="424"/>
        <v>0</v>
      </c>
      <c r="AD381" s="650">
        <f t="shared" si="387"/>
        <v>0</v>
      </c>
      <c r="AI381" s="1277">
        <f>VLOOKUP(K381,'[2]ผลการเบิกจ่ายสะสม พ.ย. 66'!$C:$N,12,0)</f>
        <v>0</v>
      </c>
      <c r="AJ381" s="1274">
        <f t="shared" si="396"/>
        <v>0</v>
      </c>
    </row>
    <row r="382" spans="1:36" s="5" customFormat="1" ht="21" customHeight="1" outlineLevel="1" x14ac:dyDescent="0.2">
      <c r="A382" s="33"/>
      <c r="B382" s="57"/>
      <c r="C382" s="27" t="s">
        <v>42</v>
      </c>
      <c r="D382" s="1111">
        <v>68000</v>
      </c>
      <c r="E382" s="1109">
        <v>5000</v>
      </c>
      <c r="F382" s="1109"/>
      <c r="G382" s="1109"/>
      <c r="H382" s="1109">
        <v>20000</v>
      </c>
      <c r="I382" s="1110">
        <v>100000</v>
      </c>
      <c r="J382" s="1110">
        <v>20000</v>
      </c>
      <c r="K382" s="1033"/>
      <c r="L382" s="1033"/>
      <c r="M382" s="1160">
        <v>15200</v>
      </c>
      <c r="N382" s="1160">
        <v>20000</v>
      </c>
      <c r="O382" s="1160"/>
      <c r="P382" s="1160"/>
      <c r="Q382" s="1160"/>
      <c r="R382" s="1160"/>
      <c r="S382" s="1160"/>
      <c r="T382" s="1091">
        <f t="shared" si="418"/>
        <v>0</v>
      </c>
      <c r="U382" s="1091">
        <f t="shared" si="419"/>
        <v>20000</v>
      </c>
      <c r="V382" s="1091">
        <f t="shared" si="395"/>
        <v>0</v>
      </c>
      <c r="W382" s="1091"/>
      <c r="X382" s="1091">
        <f t="shared" si="420"/>
        <v>0</v>
      </c>
      <c r="Y382" s="1091">
        <f t="shared" si="421"/>
        <v>20000</v>
      </c>
      <c r="Z382" s="1091">
        <f t="shared" si="422"/>
        <v>0</v>
      </c>
      <c r="AA382" s="1091">
        <f t="shared" si="423"/>
        <v>20000</v>
      </c>
      <c r="AB382" s="1091">
        <f t="shared" si="424"/>
        <v>0</v>
      </c>
      <c r="AD382" s="650">
        <f t="shared" si="387"/>
        <v>0</v>
      </c>
      <c r="AI382" s="1277">
        <f>VLOOKUP(K382,'[2]ผลการเบิกจ่ายสะสม พ.ย. 66'!$C:$N,12,0)</f>
        <v>0</v>
      </c>
      <c r="AJ382" s="1274">
        <f t="shared" si="396"/>
        <v>0</v>
      </c>
    </row>
    <row r="383" spans="1:36" s="5" customFormat="1" ht="21" customHeight="1" outlineLevel="1" x14ac:dyDescent="0.2">
      <c r="A383" s="33"/>
      <c r="B383" s="57"/>
      <c r="C383" s="27" t="s">
        <v>81</v>
      </c>
      <c r="D383" s="1111">
        <v>403500</v>
      </c>
      <c r="E383" s="1109">
        <v>206815.85</v>
      </c>
      <c r="F383" s="1109"/>
      <c r="G383" s="1109"/>
      <c r="H383" s="1109">
        <v>112000</v>
      </c>
      <c r="I383" s="1110">
        <v>3586600</v>
      </c>
      <c r="J383" s="1110">
        <v>112000</v>
      </c>
      <c r="K383" s="1033"/>
      <c r="L383" s="1033"/>
      <c r="M383" s="1160">
        <v>84200</v>
      </c>
      <c r="N383" s="1160">
        <v>112000</v>
      </c>
      <c r="O383" s="1160"/>
      <c r="P383" s="1160"/>
      <c r="Q383" s="1160"/>
      <c r="R383" s="1160"/>
      <c r="S383" s="1283">
        <f>68028.46</f>
        <v>68028.460000000006</v>
      </c>
      <c r="T383" s="1091">
        <f t="shared" si="418"/>
        <v>68028.460000000006</v>
      </c>
      <c r="U383" s="1091">
        <f t="shared" si="419"/>
        <v>43971.539999999994</v>
      </c>
      <c r="V383" s="1091">
        <f t="shared" si="395"/>
        <v>60.739696428571435</v>
      </c>
      <c r="W383" s="1091"/>
      <c r="X383" s="1091">
        <f t="shared" si="420"/>
        <v>68028.460000000006</v>
      </c>
      <c r="Y383" s="1091">
        <f t="shared" si="421"/>
        <v>43971.539999999994</v>
      </c>
      <c r="Z383" s="1091">
        <f t="shared" si="422"/>
        <v>68028.460000000006</v>
      </c>
      <c r="AA383" s="1091">
        <f t="shared" si="423"/>
        <v>43971.539999999994</v>
      </c>
      <c r="AB383" s="1091">
        <f t="shared" si="424"/>
        <v>60.739696428571435</v>
      </c>
      <c r="AD383" s="650">
        <f t="shared" si="387"/>
        <v>0</v>
      </c>
      <c r="AI383" s="1277">
        <f>VLOOKUP(K383,'[2]ผลการเบิกจ่ายสะสม พ.ย. 66'!$C:$N,12,0)</f>
        <v>0</v>
      </c>
      <c r="AJ383" s="1274">
        <f t="shared" si="396"/>
        <v>-68028.460000000006</v>
      </c>
    </row>
    <row r="384" spans="1:36" s="5" customFormat="1" ht="21" customHeight="1" outlineLevel="1" x14ac:dyDescent="0.2">
      <c r="A384" s="33"/>
      <c r="B384" s="72" t="s">
        <v>102</v>
      </c>
      <c r="C384" s="274"/>
      <c r="D384" s="1118">
        <f>SUM(D387)</f>
        <v>2169000</v>
      </c>
      <c r="E384" s="1119">
        <f>SUM(E385:E387)</f>
        <v>25836</v>
      </c>
      <c r="F384" s="1119"/>
      <c r="G384" s="1119"/>
      <c r="H384" s="1119">
        <f>SUM(H385:H387)</f>
        <v>23300</v>
      </c>
      <c r="I384" s="1106">
        <v>467400</v>
      </c>
      <c r="J384" s="1106">
        <f>SUM(J385:J387)</f>
        <v>23300</v>
      </c>
      <c r="K384" s="1040" t="s">
        <v>1371</v>
      </c>
      <c r="L384" s="1065" t="s">
        <v>1428</v>
      </c>
      <c r="M384" s="1105">
        <f t="shared" ref="M384:O384" si="425">SUM(M385:M387)</f>
        <v>23300</v>
      </c>
      <c r="N384" s="1105">
        <f>SUM(N385:N387)</f>
        <v>23300</v>
      </c>
      <c r="O384" s="1105">
        <f t="shared" si="425"/>
        <v>0</v>
      </c>
      <c r="P384" s="1105">
        <f t="shared" ref="P384:U384" si="426">SUM(P385:P387)</f>
        <v>0</v>
      </c>
      <c r="Q384" s="1105">
        <f t="shared" si="426"/>
        <v>0</v>
      </c>
      <c r="R384" s="1105">
        <f t="shared" si="426"/>
        <v>0</v>
      </c>
      <c r="S384" s="1105">
        <f t="shared" si="426"/>
        <v>0</v>
      </c>
      <c r="T384" s="1105">
        <f t="shared" si="426"/>
        <v>0</v>
      </c>
      <c r="U384" s="1105">
        <f t="shared" si="426"/>
        <v>23300</v>
      </c>
      <c r="V384" s="1105">
        <f t="shared" si="395"/>
        <v>0</v>
      </c>
      <c r="W384" s="1105">
        <f t="shared" ref="W384:AB384" si="427">SUM(W385:W387)</f>
        <v>0</v>
      </c>
      <c r="X384" s="1105">
        <f t="shared" si="427"/>
        <v>0</v>
      </c>
      <c r="Y384" s="1105">
        <f t="shared" si="427"/>
        <v>23300</v>
      </c>
      <c r="Z384" s="1105">
        <f t="shared" si="427"/>
        <v>0</v>
      </c>
      <c r="AA384" s="1105">
        <f t="shared" si="427"/>
        <v>23300</v>
      </c>
      <c r="AB384" s="1105">
        <f t="shared" si="427"/>
        <v>0</v>
      </c>
      <c r="AD384" s="650">
        <f t="shared" si="387"/>
        <v>0</v>
      </c>
      <c r="AI384" s="1277">
        <f>VLOOKUP(K384,'[2]ผลการเบิกจ่ายสะสม พ.ย. 66'!$C:$N,12,0)</f>
        <v>483919928.55000001</v>
      </c>
      <c r="AJ384" s="1274">
        <f t="shared" si="396"/>
        <v>483919928.55000001</v>
      </c>
    </row>
    <row r="385" spans="1:36" s="5" customFormat="1" ht="21" customHeight="1" outlineLevel="1" x14ac:dyDescent="0.2">
      <c r="A385" s="33"/>
      <c r="B385" s="72"/>
      <c r="C385" s="27" t="s">
        <v>49</v>
      </c>
      <c r="D385" s="1118"/>
      <c r="E385" s="1109"/>
      <c r="F385" s="1109"/>
      <c r="G385" s="1109"/>
      <c r="H385" s="1109">
        <v>0</v>
      </c>
      <c r="I385" s="1110">
        <v>120000</v>
      </c>
      <c r="J385" s="1110">
        <v>0</v>
      </c>
      <c r="K385" s="1033"/>
      <c r="L385" s="1033"/>
      <c r="M385" s="1160">
        <v>0</v>
      </c>
      <c r="N385" s="1160">
        <v>0</v>
      </c>
      <c r="O385" s="1160"/>
      <c r="P385" s="1160"/>
      <c r="Q385" s="1160"/>
      <c r="R385" s="1160"/>
      <c r="S385" s="1160"/>
      <c r="T385" s="1091">
        <f t="shared" ref="T385:T387" si="428">+R385+S385</f>
        <v>0</v>
      </c>
      <c r="U385" s="1091">
        <f t="shared" ref="U385:U387" si="429">+N385+O385-T385</f>
        <v>0</v>
      </c>
      <c r="V385" s="1091">
        <f t="shared" si="395"/>
        <v>0</v>
      </c>
      <c r="W385" s="1091"/>
      <c r="X385" s="1091">
        <f t="shared" ref="X385:X387" si="430">+T385+Q385</f>
        <v>0</v>
      </c>
      <c r="Y385" s="1091">
        <f t="shared" ref="Y385:Y387" si="431">+U385-Q385</f>
        <v>0</v>
      </c>
      <c r="Z385" s="1091">
        <f t="shared" ref="Z385:Z387" si="432">+T385+Q385+P385</f>
        <v>0</v>
      </c>
      <c r="AA385" s="1091">
        <f t="shared" ref="AA385:AA387" si="433">+U385-Q385-P385</f>
        <v>0</v>
      </c>
      <c r="AB385" s="1091">
        <f t="shared" ref="AB385:AB387" si="434">IFERROR(Z385*100/(N385+O385),0)</f>
        <v>0</v>
      </c>
      <c r="AD385" s="650">
        <f t="shared" si="387"/>
        <v>0</v>
      </c>
      <c r="AI385" s="1277">
        <f>VLOOKUP(K385,'[2]ผลการเบิกจ่ายสะสม พ.ย. 66'!$C:$N,12,0)</f>
        <v>0</v>
      </c>
      <c r="AJ385" s="1274">
        <f t="shared" si="396"/>
        <v>0</v>
      </c>
    </row>
    <row r="386" spans="1:36" s="5" customFormat="1" ht="21" customHeight="1" outlineLevel="1" x14ac:dyDescent="0.2">
      <c r="A386" s="33"/>
      <c r="B386" s="72"/>
      <c r="C386" s="27" t="s">
        <v>80</v>
      </c>
      <c r="D386" s="1118"/>
      <c r="E386" s="1109"/>
      <c r="F386" s="1109"/>
      <c r="G386" s="1109"/>
      <c r="H386" s="1109">
        <v>0</v>
      </c>
      <c r="I386" s="1110">
        <v>297400</v>
      </c>
      <c r="J386" s="1110">
        <v>0</v>
      </c>
      <c r="K386" s="1033"/>
      <c r="L386" s="1033"/>
      <c r="M386" s="1160">
        <v>0</v>
      </c>
      <c r="N386" s="1160">
        <v>0</v>
      </c>
      <c r="O386" s="1160"/>
      <c r="P386" s="1160"/>
      <c r="Q386" s="1160"/>
      <c r="R386" s="1160"/>
      <c r="S386" s="1160"/>
      <c r="T386" s="1091">
        <f t="shared" si="428"/>
        <v>0</v>
      </c>
      <c r="U386" s="1091">
        <f t="shared" si="429"/>
        <v>0</v>
      </c>
      <c r="V386" s="1091">
        <f t="shared" si="395"/>
        <v>0</v>
      </c>
      <c r="W386" s="1091"/>
      <c r="X386" s="1091">
        <f t="shared" si="430"/>
        <v>0</v>
      </c>
      <c r="Y386" s="1091">
        <f t="shared" si="431"/>
        <v>0</v>
      </c>
      <c r="Z386" s="1091">
        <f t="shared" si="432"/>
        <v>0</v>
      </c>
      <c r="AA386" s="1091">
        <f t="shared" si="433"/>
        <v>0</v>
      </c>
      <c r="AB386" s="1091">
        <f t="shared" si="434"/>
        <v>0</v>
      </c>
      <c r="AD386" s="650">
        <f t="shared" si="387"/>
        <v>0</v>
      </c>
      <c r="AI386" s="1277">
        <f>VLOOKUP(K386,'[2]ผลการเบิกจ่ายสะสม พ.ย. 66'!$C:$N,12,0)</f>
        <v>0</v>
      </c>
      <c r="AJ386" s="1274">
        <f t="shared" si="396"/>
        <v>0</v>
      </c>
    </row>
    <row r="387" spans="1:36" s="5" customFormat="1" ht="21" customHeight="1" outlineLevel="1" x14ac:dyDescent="0.2">
      <c r="A387" s="33"/>
      <c r="B387" s="57"/>
      <c r="C387" s="27" t="s">
        <v>81</v>
      </c>
      <c r="D387" s="1111">
        <v>2169000</v>
      </c>
      <c r="E387" s="1109">
        <v>25836</v>
      </c>
      <c r="F387" s="1109"/>
      <c r="G387" s="1109"/>
      <c r="H387" s="1109">
        <v>23300</v>
      </c>
      <c r="I387" s="1110">
        <v>50000</v>
      </c>
      <c r="J387" s="1110">
        <v>23300</v>
      </c>
      <c r="K387" s="1033"/>
      <c r="L387" s="1033"/>
      <c r="M387" s="1160">
        <v>23300</v>
      </c>
      <c r="N387" s="1160">
        <v>23300</v>
      </c>
      <c r="O387" s="1160"/>
      <c r="P387" s="1160"/>
      <c r="Q387" s="1160"/>
      <c r="R387" s="1160"/>
      <c r="S387" s="1160"/>
      <c r="T387" s="1091">
        <f t="shared" si="428"/>
        <v>0</v>
      </c>
      <c r="U387" s="1091">
        <f t="shared" si="429"/>
        <v>23300</v>
      </c>
      <c r="V387" s="1091">
        <f t="shared" si="395"/>
        <v>0</v>
      </c>
      <c r="W387" s="1091"/>
      <c r="X387" s="1091">
        <f t="shared" si="430"/>
        <v>0</v>
      </c>
      <c r="Y387" s="1091">
        <f t="shared" si="431"/>
        <v>23300</v>
      </c>
      <c r="Z387" s="1091">
        <f t="shared" si="432"/>
        <v>0</v>
      </c>
      <c r="AA387" s="1091">
        <f t="shared" si="433"/>
        <v>23300</v>
      </c>
      <c r="AB387" s="1091">
        <f t="shared" si="434"/>
        <v>0</v>
      </c>
      <c r="AD387" s="650">
        <f t="shared" si="387"/>
        <v>0</v>
      </c>
      <c r="AI387" s="1277">
        <f>VLOOKUP(K387,'[2]ผลการเบิกจ่ายสะสม พ.ย. 66'!$C:$N,12,0)</f>
        <v>0</v>
      </c>
      <c r="AJ387" s="1274">
        <f t="shared" si="396"/>
        <v>0</v>
      </c>
    </row>
    <row r="388" spans="1:36" s="5" customFormat="1" ht="21" customHeight="1" outlineLevel="1" x14ac:dyDescent="0.2">
      <c r="A388" s="33"/>
      <c r="B388" s="72" t="s">
        <v>103</v>
      </c>
      <c r="C388" s="274"/>
      <c r="D388" s="1118">
        <f>SUM(D389:D401)</f>
        <v>5538000</v>
      </c>
      <c r="E388" s="1119">
        <f>SUM(E389:E401)</f>
        <v>6573423.8799999999</v>
      </c>
      <c r="F388" s="1119"/>
      <c r="G388" s="1119"/>
      <c r="H388" s="1119">
        <f>SUM(H389:H401)</f>
        <v>4557600</v>
      </c>
      <c r="I388" s="1106">
        <v>6722800</v>
      </c>
      <c r="J388" s="1106">
        <f>SUM(J389:J401)</f>
        <v>4557600</v>
      </c>
      <c r="K388" s="1040" t="s">
        <v>1371</v>
      </c>
      <c r="L388" s="1065" t="s">
        <v>1428</v>
      </c>
      <c r="M388" s="1105">
        <f t="shared" ref="M388:U388" si="435">SUM(M389:M401)</f>
        <v>3421800</v>
      </c>
      <c r="N388" s="1105">
        <f>SUM(N389:N401)</f>
        <v>4557600</v>
      </c>
      <c r="O388" s="1105">
        <f t="shared" si="435"/>
        <v>70000</v>
      </c>
      <c r="P388" s="1105">
        <f t="shared" si="435"/>
        <v>0</v>
      </c>
      <c r="Q388" s="1105">
        <f t="shared" si="435"/>
        <v>0</v>
      </c>
      <c r="R388" s="1105">
        <f t="shared" si="435"/>
        <v>0</v>
      </c>
      <c r="S388" s="1105">
        <f t="shared" si="435"/>
        <v>367645.58</v>
      </c>
      <c r="T388" s="1105">
        <f t="shared" si="435"/>
        <v>367645.58</v>
      </c>
      <c r="U388" s="1105">
        <f t="shared" si="435"/>
        <v>4259954.42</v>
      </c>
      <c r="V388" s="1105">
        <f t="shared" si="395"/>
        <v>7.9446274526752525</v>
      </c>
      <c r="W388" s="1105">
        <f t="shared" ref="W388:AB388" si="436">SUM(W389:W401)</f>
        <v>0</v>
      </c>
      <c r="X388" s="1105">
        <f t="shared" si="436"/>
        <v>367645.58</v>
      </c>
      <c r="Y388" s="1105">
        <f t="shared" si="436"/>
        <v>4259954.42</v>
      </c>
      <c r="Z388" s="1105">
        <f t="shared" si="436"/>
        <v>367645.58</v>
      </c>
      <c r="AA388" s="1105">
        <f t="shared" si="436"/>
        <v>4259954.42</v>
      </c>
      <c r="AB388" s="1105">
        <f t="shared" si="436"/>
        <v>10.148666151382985</v>
      </c>
      <c r="AD388" s="650">
        <f t="shared" si="387"/>
        <v>0</v>
      </c>
      <c r="AI388" s="1277">
        <f>VLOOKUP(K388,'[2]ผลการเบิกจ่ายสะสม พ.ย. 66'!$C:$N,12,0)</f>
        <v>483919928.55000001</v>
      </c>
      <c r="AJ388" s="1274">
        <f t="shared" si="396"/>
        <v>483552282.97000003</v>
      </c>
    </row>
    <row r="389" spans="1:36" s="5" customFormat="1" ht="21" customHeight="1" outlineLevel="1" x14ac:dyDescent="0.2">
      <c r="A389" s="33"/>
      <c r="B389" s="57"/>
      <c r="C389" s="27" t="s">
        <v>52</v>
      </c>
      <c r="D389" s="1111">
        <v>45000</v>
      </c>
      <c r="E389" s="1109">
        <v>205213.16</v>
      </c>
      <c r="F389" s="1109"/>
      <c r="G389" s="1109"/>
      <c r="H389" s="1109">
        <v>45000</v>
      </c>
      <c r="I389" s="1110">
        <v>50000</v>
      </c>
      <c r="J389" s="1110">
        <v>45000</v>
      </c>
      <c r="K389" s="1033"/>
      <c r="L389" s="1033"/>
      <c r="M389" s="1160">
        <v>34000</v>
      </c>
      <c r="N389" s="1160">
        <v>45000</v>
      </c>
      <c r="O389" s="1160"/>
      <c r="P389" s="1160"/>
      <c r="Q389" s="1160"/>
      <c r="R389" s="1160"/>
      <c r="S389" s="1160"/>
      <c r="T389" s="1091">
        <f t="shared" ref="T389:T401" si="437">+R389+S389</f>
        <v>0</v>
      </c>
      <c r="U389" s="1091">
        <f t="shared" ref="U389:U401" si="438">+N389+O389-T389</f>
        <v>45000</v>
      </c>
      <c r="V389" s="1091">
        <f t="shared" si="395"/>
        <v>0</v>
      </c>
      <c r="W389" s="1091"/>
      <c r="X389" s="1091">
        <f t="shared" ref="X389:X401" si="439">+T389+Q389</f>
        <v>0</v>
      </c>
      <c r="Y389" s="1091">
        <f t="shared" ref="Y389:Y401" si="440">+U389-Q389</f>
        <v>45000</v>
      </c>
      <c r="Z389" s="1091">
        <f t="shared" ref="Z389:Z401" si="441">+T389+Q389+P389</f>
        <v>0</v>
      </c>
      <c r="AA389" s="1091">
        <f t="shared" ref="AA389:AA401" si="442">+U389-Q389-P389</f>
        <v>45000</v>
      </c>
      <c r="AB389" s="1091">
        <f t="shared" ref="AB389:AB401" si="443">IFERROR(Z389*100/(N389+O389),0)</f>
        <v>0</v>
      </c>
      <c r="AD389" s="650">
        <f t="shared" si="387"/>
        <v>0</v>
      </c>
      <c r="AI389" s="1277">
        <f>VLOOKUP(K389,'[2]ผลการเบิกจ่ายสะสม พ.ย. 66'!$C:$N,12,0)</f>
        <v>0</v>
      </c>
      <c r="AJ389" s="1274">
        <f t="shared" si="396"/>
        <v>0</v>
      </c>
    </row>
    <row r="390" spans="1:36" s="5" customFormat="1" ht="21" customHeight="1" outlineLevel="1" x14ac:dyDescent="0.2">
      <c r="A390" s="33"/>
      <c r="B390" s="57"/>
      <c r="C390" s="27" t="s">
        <v>49</v>
      </c>
      <c r="D390" s="1111">
        <v>45000</v>
      </c>
      <c r="E390" s="1109">
        <v>118526.04</v>
      </c>
      <c r="F390" s="1109"/>
      <c r="G390" s="1109"/>
      <c r="H390" s="1109">
        <v>45000</v>
      </c>
      <c r="I390" s="1110">
        <v>100000</v>
      </c>
      <c r="J390" s="1110">
        <v>45000</v>
      </c>
      <c r="K390" s="1033"/>
      <c r="L390" s="1033"/>
      <c r="M390" s="1160">
        <v>34000</v>
      </c>
      <c r="N390" s="1160">
        <v>45000</v>
      </c>
      <c r="O390" s="1160">
        <v>30000</v>
      </c>
      <c r="P390" s="1160"/>
      <c r="Q390" s="1160"/>
      <c r="R390" s="1160"/>
      <c r="S390" s="1160"/>
      <c r="T390" s="1091">
        <f t="shared" si="437"/>
        <v>0</v>
      </c>
      <c r="U390" s="1091">
        <f t="shared" si="438"/>
        <v>75000</v>
      </c>
      <c r="V390" s="1091">
        <f t="shared" si="395"/>
        <v>0</v>
      </c>
      <c r="W390" s="1091"/>
      <c r="X390" s="1091">
        <f t="shared" si="439"/>
        <v>0</v>
      </c>
      <c r="Y390" s="1091">
        <f t="shared" si="440"/>
        <v>75000</v>
      </c>
      <c r="Z390" s="1091">
        <f t="shared" si="441"/>
        <v>0</v>
      </c>
      <c r="AA390" s="1091">
        <f t="shared" si="442"/>
        <v>75000</v>
      </c>
      <c r="AB390" s="1091">
        <f t="shared" si="443"/>
        <v>0</v>
      </c>
      <c r="AC390" s="5" t="s">
        <v>1455</v>
      </c>
      <c r="AD390" s="650">
        <f t="shared" si="387"/>
        <v>0</v>
      </c>
      <c r="AI390" s="1277">
        <f>VLOOKUP(K390,'[2]ผลการเบิกจ่ายสะสม พ.ย. 66'!$C:$N,12,0)</f>
        <v>0</v>
      </c>
      <c r="AJ390" s="1274">
        <f t="shared" si="396"/>
        <v>0</v>
      </c>
    </row>
    <row r="391" spans="1:36" s="5" customFormat="1" ht="21" customHeight="1" outlineLevel="1" x14ac:dyDescent="0.2">
      <c r="A391" s="33"/>
      <c r="B391" s="57"/>
      <c r="C391" s="27" t="s">
        <v>54</v>
      </c>
      <c r="D391" s="1111">
        <v>45000</v>
      </c>
      <c r="E391" s="1109">
        <v>157503.76999999999</v>
      </c>
      <c r="F391" s="1109"/>
      <c r="G391" s="1109"/>
      <c r="H391" s="1109">
        <v>45000</v>
      </c>
      <c r="I391" s="1110">
        <v>50000</v>
      </c>
      <c r="J391" s="1110">
        <v>45000</v>
      </c>
      <c r="K391" s="1033"/>
      <c r="L391" s="1033"/>
      <c r="M391" s="1160">
        <v>34000</v>
      </c>
      <c r="N391" s="1160">
        <v>45000</v>
      </c>
      <c r="O391" s="1160"/>
      <c r="P391" s="1160"/>
      <c r="Q391" s="1160"/>
      <c r="R391" s="1160"/>
      <c r="S391" s="1160"/>
      <c r="T391" s="1091">
        <f t="shared" si="437"/>
        <v>0</v>
      </c>
      <c r="U391" s="1091">
        <f t="shared" si="438"/>
        <v>45000</v>
      </c>
      <c r="V391" s="1091">
        <f t="shared" si="395"/>
        <v>0</v>
      </c>
      <c r="W391" s="1091"/>
      <c r="X391" s="1091">
        <f t="shared" si="439"/>
        <v>0</v>
      </c>
      <c r="Y391" s="1091">
        <f t="shared" si="440"/>
        <v>45000</v>
      </c>
      <c r="Z391" s="1091">
        <f t="shared" si="441"/>
        <v>0</v>
      </c>
      <c r="AA391" s="1091">
        <f t="shared" si="442"/>
        <v>45000</v>
      </c>
      <c r="AB391" s="1091">
        <f t="shared" si="443"/>
        <v>0</v>
      </c>
      <c r="AD391" s="650">
        <f t="shared" si="387"/>
        <v>0</v>
      </c>
      <c r="AI391" s="1277">
        <f>VLOOKUP(K391,'[2]ผลการเบิกจ่ายสะสม พ.ย. 66'!$C:$N,12,0)</f>
        <v>0</v>
      </c>
      <c r="AJ391" s="1274">
        <f t="shared" si="396"/>
        <v>0</v>
      </c>
    </row>
    <row r="392" spans="1:36" s="5" customFormat="1" ht="21" customHeight="1" outlineLevel="1" x14ac:dyDescent="0.2">
      <c r="A392" s="33"/>
      <c r="B392" s="57"/>
      <c r="C392" s="27" t="s">
        <v>53</v>
      </c>
      <c r="D392" s="1111">
        <v>45000</v>
      </c>
      <c r="E392" s="1109">
        <v>252479.34</v>
      </c>
      <c r="F392" s="1109"/>
      <c r="G392" s="1109"/>
      <c r="H392" s="1109">
        <v>45000</v>
      </c>
      <c r="I392" s="1110">
        <v>60000</v>
      </c>
      <c r="J392" s="1110">
        <v>45000</v>
      </c>
      <c r="K392" s="1033"/>
      <c r="L392" s="1033"/>
      <c r="M392" s="1160">
        <v>34000</v>
      </c>
      <c r="N392" s="1160">
        <v>45000</v>
      </c>
      <c r="O392" s="1160"/>
      <c r="P392" s="1160"/>
      <c r="Q392" s="1160"/>
      <c r="R392" s="1160"/>
      <c r="S392" s="1160"/>
      <c r="T392" s="1091">
        <f t="shared" si="437"/>
        <v>0</v>
      </c>
      <c r="U392" s="1091">
        <f t="shared" si="438"/>
        <v>45000</v>
      </c>
      <c r="V392" s="1091">
        <f t="shared" si="395"/>
        <v>0</v>
      </c>
      <c r="W392" s="1091"/>
      <c r="X392" s="1091">
        <f t="shared" si="439"/>
        <v>0</v>
      </c>
      <c r="Y392" s="1091">
        <f t="shared" si="440"/>
        <v>45000</v>
      </c>
      <c r="Z392" s="1091">
        <f t="shared" si="441"/>
        <v>0</v>
      </c>
      <c r="AA392" s="1091">
        <f t="shared" si="442"/>
        <v>45000</v>
      </c>
      <c r="AB392" s="1091">
        <f t="shared" si="443"/>
        <v>0</v>
      </c>
      <c r="AD392" s="650">
        <f t="shared" si="387"/>
        <v>0</v>
      </c>
      <c r="AI392" s="1277">
        <f>VLOOKUP(K392,'[2]ผลการเบิกจ่ายสะสม พ.ย. 66'!$C:$N,12,0)</f>
        <v>0</v>
      </c>
      <c r="AJ392" s="1274">
        <f t="shared" si="396"/>
        <v>0</v>
      </c>
    </row>
    <row r="393" spans="1:36" s="5" customFormat="1" ht="21" customHeight="1" outlineLevel="1" x14ac:dyDescent="0.2">
      <c r="A393" s="33"/>
      <c r="B393" s="57"/>
      <c r="C393" s="27" t="s">
        <v>881</v>
      </c>
      <c r="D393" s="1111">
        <v>100000</v>
      </c>
      <c r="E393" s="1109">
        <v>342746.63</v>
      </c>
      <c r="F393" s="1109"/>
      <c r="G393" s="1109"/>
      <c r="H393" s="1109">
        <v>0</v>
      </c>
      <c r="I393" s="1110">
        <v>700000</v>
      </c>
      <c r="J393" s="1110">
        <v>45000</v>
      </c>
      <c r="K393" s="1033"/>
      <c r="L393" s="1033"/>
      <c r="M393" s="1160">
        <v>34000</v>
      </c>
      <c r="N393" s="1160">
        <v>45000</v>
      </c>
      <c r="O393" s="1160">
        <v>40000</v>
      </c>
      <c r="P393" s="1160"/>
      <c r="Q393" s="1160"/>
      <c r="R393" s="1160"/>
      <c r="S393" s="1160"/>
      <c r="T393" s="1091">
        <f t="shared" si="437"/>
        <v>0</v>
      </c>
      <c r="U393" s="1091">
        <f t="shared" si="438"/>
        <v>85000</v>
      </c>
      <c r="V393" s="1091">
        <f t="shared" si="395"/>
        <v>0</v>
      </c>
      <c r="W393" s="1091"/>
      <c r="X393" s="1091">
        <f t="shared" si="439"/>
        <v>0</v>
      </c>
      <c r="Y393" s="1091">
        <f t="shared" si="440"/>
        <v>85000</v>
      </c>
      <c r="Z393" s="1091">
        <f t="shared" si="441"/>
        <v>0</v>
      </c>
      <c r="AA393" s="1091">
        <f t="shared" si="442"/>
        <v>85000</v>
      </c>
      <c r="AB393" s="1091">
        <f t="shared" si="443"/>
        <v>0</v>
      </c>
      <c r="AC393" s="5" t="s">
        <v>1454</v>
      </c>
      <c r="AD393" s="650">
        <f t="shared" si="387"/>
        <v>0</v>
      </c>
      <c r="AI393" s="1277">
        <f>VLOOKUP(K393,'[2]ผลการเบิกจ่ายสะสม พ.ย. 66'!$C:$N,12,0)</f>
        <v>0</v>
      </c>
      <c r="AJ393" s="1274">
        <f t="shared" si="396"/>
        <v>0</v>
      </c>
    </row>
    <row r="394" spans="1:36" s="5" customFormat="1" ht="21" customHeight="1" outlineLevel="1" x14ac:dyDescent="0.2">
      <c r="A394" s="33"/>
      <c r="B394" s="57"/>
      <c r="C394" s="27" t="s">
        <v>63</v>
      </c>
      <c r="D394" s="1111"/>
      <c r="E394" s="1109"/>
      <c r="F394" s="1109"/>
      <c r="G394" s="1109"/>
      <c r="H394" s="1109"/>
      <c r="I394" s="1110"/>
      <c r="J394" s="1110"/>
      <c r="K394" s="1033"/>
      <c r="L394" s="1033"/>
      <c r="M394" s="1160">
        <v>22600</v>
      </c>
      <c r="N394" s="1160">
        <v>30000</v>
      </c>
      <c r="O394" s="1160"/>
      <c r="P394" s="1160"/>
      <c r="Q394" s="1160"/>
      <c r="R394" s="1160"/>
      <c r="S394" s="1160"/>
      <c r="T394" s="1091">
        <f t="shared" si="437"/>
        <v>0</v>
      </c>
      <c r="U394" s="1091">
        <f t="shared" si="438"/>
        <v>30000</v>
      </c>
      <c r="V394" s="1091">
        <f t="shared" si="395"/>
        <v>0</v>
      </c>
      <c r="W394" s="1091"/>
      <c r="X394" s="1091">
        <f t="shared" si="439"/>
        <v>0</v>
      </c>
      <c r="Y394" s="1091">
        <f t="shared" si="440"/>
        <v>30000</v>
      </c>
      <c r="Z394" s="1091">
        <f t="shared" si="441"/>
        <v>0</v>
      </c>
      <c r="AA394" s="1091">
        <f t="shared" si="442"/>
        <v>30000</v>
      </c>
      <c r="AB394" s="1091">
        <f t="shared" si="443"/>
        <v>0</v>
      </c>
      <c r="AD394" s="650">
        <f t="shared" si="387"/>
        <v>0</v>
      </c>
      <c r="AI394" s="1277">
        <f>VLOOKUP(K394,'[2]ผลการเบิกจ่ายสะสม พ.ย. 66'!$C:$N,12,0)</f>
        <v>0</v>
      </c>
      <c r="AJ394" s="1274">
        <f t="shared" si="396"/>
        <v>0</v>
      </c>
    </row>
    <row r="395" spans="1:36" s="5" customFormat="1" ht="21" customHeight="1" outlineLevel="1" x14ac:dyDescent="0.2">
      <c r="A395" s="33"/>
      <c r="B395" s="57"/>
      <c r="C395" s="27" t="s">
        <v>61</v>
      </c>
      <c r="D395" s="1111">
        <v>45000</v>
      </c>
      <c r="E395" s="1109">
        <v>222386.66</v>
      </c>
      <c r="F395" s="1109"/>
      <c r="G395" s="1109"/>
      <c r="H395" s="1109">
        <v>45000</v>
      </c>
      <c r="I395" s="1110">
        <v>150000</v>
      </c>
      <c r="J395" s="1110">
        <v>45000</v>
      </c>
      <c r="K395" s="1033"/>
      <c r="L395" s="1033"/>
      <c r="M395" s="1160">
        <v>34000</v>
      </c>
      <c r="N395" s="1160">
        <v>45000</v>
      </c>
      <c r="O395" s="1160"/>
      <c r="P395" s="1160"/>
      <c r="Q395" s="1160"/>
      <c r="R395" s="1160"/>
      <c r="S395" s="1160"/>
      <c r="T395" s="1091">
        <f t="shared" si="437"/>
        <v>0</v>
      </c>
      <c r="U395" s="1091">
        <f t="shared" si="438"/>
        <v>45000</v>
      </c>
      <c r="V395" s="1091">
        <f t="shared" si="395"/>
        <v>0</v>
      </c>
      <c r="W395" s="1091"/>
      <c r="X395" s="1091">
        <f t="shared" si="439"/>
        <v>0</v>
      </c>
      <c r="Y395" s="1091">
        <f t="shared" si="440"/>
        <v>45000</v>
      </c>
      <c r="Z395" s="1091">
        <f t="shared" si="441"/>
        <v>0</v>
      </c>
      <c r="AA395" s="1091">
        <f t="shared" si="442"/>
        <v>45000</v>
      </c>
      <c r="AB395" s="1091">
        <f t="shared" si="443"/>
        <v>0</v>
      </c>
      <c r="AD395" s="650">
        <f t="shared" ref="AD395:AD461" si="444">+N395+O395-R395-S395-U395</f>
        <v>0</v>
      </c>
      <c r="AI395" s="1277">
        <f>VLOOKUP(K395,'[2]ผลการเบิกจ่ายสะสม พ.ย. 66'!$C:$N,12,0)</f>
        <v>0</v>
      </c>
      <c r="AJ395" s="1274">
        <f t="shared" si="396"/>
        <v>0</v>
      </c>
    </row>
    <row r="396" spans="1:36" s="5" customFormat="1" ht="21" customHeight="1" outlineLevel="1" x14ac:dyDescent="0.2">
      <c r="A396" s="33"/>
      <c r="B396" s="57"/>
      <c r="C396" s="27" t="s">
        <v>51</v>
      </c>
      <c r="D396" s="1111">
        <v>10000</v>
      </c>
      <c r="E396" s="1109">
        <v>148521.9</v>
      </c>
      <c r="F396" s="1109"/>
      <c r="G396" s="1109"/>
      <c r="H396" s="1109">
        <v>10000</v>
      </c>
      <c r="I396" s="1110">
        <v>20000</v>
      </c>
      <c r="J396" s="1110">
        <v>10000</v>
      </c>
      <c r="K396" s="1033"/>
      <c r="L396" s="1033"/>
      <c r="M396" s="1160">
        <v>7600</v>
      </c>
      <c r="N396" s="1160">
        <v>10000</v>
      </c>
      <c r="O396" s="1160"/>
      <c r="P396" s="1160"/>
      <c r="Q396" s="1160"/>
      <c r="R396" s="1160"/>
      <c r="S396" s="1160"/>
      <c r="T396" s="1091">
        <f t="shared" si="437"/>
        <v>0</v>
      </c>
      <c r="U396" s="1091">
        <f t="shared" si="438"/>
        <v>10000</v>
      </c>
      <c r="V396" s="1091">
        <f t="shared" si="395"/>
        <v>0</v>
      </c>
      <c r="W396" s="1091"/>
      <c r="X396" s="1091">
        <f t="shared" si="439"/>
        <v>0</v>
      </c>
      <c r="Y396" s="1091">
        <f t="shared" si="440"/>
        <v>10000</v>
      </c>
      <c r="Z396" s="1091">
        <f t="shared" si="441"/>
        <v>0</v>
      </c>
      <c r="AA396" s="1091">
        <f t="shared" si="442"/>
        <v>10000</v>
      </c>
      <c r="AB396" s="1091">
        <f t="shared" si="443"/>
        <v>0</v>
      </c>
      <c r="AD396" s="650">
        <f t="shared" si="444"/>
        <v>0</v>
      </c>
      <c r="AI396" s="1277">
        <f>VLOOKUP(K396,'[2]ผลการเบิกจ่ายสะสม พ.ย. 66'!$C:$N,12,0)</f>
        <v>0</v>
      </c>
      <c r="AJ396" s="1274">
        <f t="shared" si="396"/>
        <v>0</v>
      </c>
    </row>
    <row r="397" spans="1:36" s="5" customFormat="1" ht="21" customHeight="1" outlineLevel="1" x14ac:dyDescent="0.2">
      <c r="A397" s="33"/>
      <c r="B397" s="57"/>
      <c r="C397" s="27" t="s">
        <v>62</v>
      </c>
      <c r="D397" s="1111">
        <v>45000</v>
      </c>
      <c r="E397" s="1109">
        <v>448431.65</v>
      </c>
      <c r="F397" s="1109"/>
      <c r="G397" s="1109"/>
      <c r="H397" s="1109">
        <v>45000</v>
      </c>
      <c r="I397" s="1110">
        <v>65000</v>
      </c>
      <c r="J397" s="1110">
        <v>45000</v>
      </c>
      <c r="K397" s="1033"/>
      <c r="L397" s="1033"/>
      <c r="M397" s="1160">
        <v>34000</v>
      </c>
      <c r="N397" s="1160">
        <v>45000</v>
      </c>
      <c r="O397" s="1160"/>
      <c r="P397" s="1160"/>
      <c r="Q397" s="1160"/>
      <c r="R397" s="1160"/>
      <c r="S397" s="1160"/>
      <c r="T397" s="1091">
        <f t="shared" si="437"/>
        <v>0</v>
      </c>
      <c r="U397" s="1091">
        <f t="shared" si="438"/>
        <v>45000</v>
      </c>
      <c r="V397" s="1091">
        <f t="shared" si="395"/>
        <v>0</v>
      </c>
      <c r="W397" s="1091"/>
      <c r="X397" s="1091">
        <f t="shared" si="439"/>
        <v>0</v>
      </c>
      <c r="Y397" s="1091">
        <f t="shared" si="440"/>
        <v>45000</v>
      </c>
      <c r="Z397" s="1091">
        <f t="shared" si="441"/>
        <v>0</v>
      </c>
      <c r="AA397" s="1091">
        <f t="shared" si="442"/>
        <v>45000</v>
      </c>
      <c r="AB397" s="1091">
        <f t="shared" si="443"/>
        <v>0</v>
      </c>
      <c r="AD397" s="650">
        <f t="shared" si="444"/>
        <v>0</v>
      </c>
      <c r="AI397" s="1277">
        <f>VLOOKUP(K397,'[2]ผลการเบิกจ่ายสะสม พ.ย. 66'!$C:$N,12,0)</f>
        <v>0</v>
      </c>
      <c r="AJ397" s="1274">
        <f t="shared" si="396"/>
        <v>0</v>
      </c>
    </row>
    <row r="398" spans="1:36" s="5" customFormat="1" ht="21" customHeight="1" outlineLevel="1" x14ac:dyDescent="0.2">
      <c r="A398" s="33"/>
      <c r="B398" s="57"/>
      <c r="C398" s="27" t="s">
        <v>43</v>
      </c>
      <c r="D398" s="1111">
        <v>45000</v>
      </c>
      <c r="E398" s="1109">
        <v>406365.67</v>
      </c>
      <c r="F398" s="1109"/>
      <c r="G398" s="1109"/>
      <c r="H398" s="1109">
        <v>45000</v>
      </c>
      <c r="I398" s="1110">
        <v>500000</v>
      </c>
      <c r="J398" s="1110">
        <v>45000</v>
      </c>
      <c r="K398" s="1033"/>
      <c r="L398" s="1033"/>
      <c r="M398" s="1160">
        <v>34000</v>
      </c>
      <c r="N398" s="1160">
        <v>45000</v>
      </c>
      <c r="O398" s="1160"/>
      <c r="P398" s="1160"/>
      <c r="Q398" s="1160"/>
      <c r="R398" s="1160"/>
      <c r="S398" s="1160"/>
      <c r="T398" s="1091">
        <f t="shared" si="437"/>
        <v>0</v>
      </c>
      <c r="U398" s="1091">
        <f t="shared" si="438"/>
        <v>45000</v>
      </c>
      <c r="V398" s="1091">
        <f t="shared" si="395"/>
        <v>0</v>
      </c>
      <c r="W398" s="1091"/>
      <c r="X398" s="1091">
        <f t="shared" si="439"/>
        <v>0</v>
      </c>
      <c r="Y398" s="1091">
        <f t="shared" si="440"/>
        <v>45000</v>
      </c>
      <c r="Z398" s="1091">
        <f t="shared" si="441"/>
        <v>0</v>
      </c>
      <c r="AA398" s="1091">
        <f t="shared" si="442"/>
        <v>45000</v>
      </c>
      <c r="AB398" s="1091">
        <f t="shared" si="443"/>
        <v>0</v>
      </c>
      <c r="AD398" s="650">
        <f t="shared" si="444"/>
        <v>0</v>
      </c>
      <c r="AI398" s="1277">
        <f>VLOOKUP(K398,'[2]ผลการเบิกจ่ายสะสม พ.ย. 66'!$C:$N,12,0)</f>
        <v>0</v>
      </c>
      <c r="AJ398" s="1274">
        <f t="shared" si="396"/>
        <v>0</v>
      </c>
    </row>
    <row r="399" spans="1:36" s="5" customFormat="1" ht="21" customHeight="1" outlineLevel="1" x14ac:dyDescent="0.2">
      <c r="A399" s="33"/>
      <c r="B399" s="57"/>
      <c r="C399" s="27" t="s">
        <v>50</v>
      </c>
      <c r="D399" s="1111">
        <v>45000</v>
      </c>
      <c r="E399" s="1109">
        <v>285734.28999999998</v>
      </c>
      <c r="F399" s="1109"/>
      <c r="G399" s="1109"/>
      <c r="H399" s="1109">
        <v>45000</v>
      </c>
      <c r="I399" s="1110">
        <v>600000</v>
      </c>
      <c r="J399" s="1110">
        <v>45000</v>
      </c>
      <c r="K399" s="1033"/>
      <c r="L399" s="1033"/>
      <c r="M399" s="1160">
        <v>34000</v>
      </c>
      <c r="N399" s="1160">
        <v>45000</v>
      </c>
      <c r="O399" s="1160"/>
      <c r="P399" s="1160"/>
      <c r="Q399" s="1160"/>
      <c r="R399" s="1160"/>
      <c r="S399" s="1160"/>
      <c r="T399" s="1091">
        <f t="shared" si="437"/>
        <v>0</v>
      </c>
      <c r="U399" s="1091">
        <f t="shared" si="438"/>
        <v>45000</v>
      </c>
      <c r="V399" s="1091">
        <f t="shared" ref="V399:V465" si="445">IFERROR(T399*100/(N399+O399),0)</f>
        <v>0</v>
      </c>
      <c r="W399" s="1091"/>
      <c r="X399" s="1091">
        <f t="shared" si="439"/>
        <v>0</v>
      </c>
      <c r="Y399" s="1091">
        <f t="shared" si="440"/>
        <v>45000</v>
      </c>
      <c r="Z399" s="1091">
        <f t="shared" si="441"/>
        <v>0</v>
      </c>
      <c r="AA399" s="1091">
        <f t="shared" si="442"/>
        <v>45000</v>
      </c>
      <c r="AB399" s="1091">
        <f t="shared" si="443"/>
        <v>0</v>
      </c>
      <c r="AD399" s="650">
        <f t="shared" si="444"/>
        <v>0</v>
      </c>
      <c r="AI399" s="1277">
        <f>VLOOKUP(K399,'[2]ผลการเบิกจ่ายสะสม พ.ย. 66'!$C:$N,12,0)</f>
        <v>0</v>
      </c>
      <c r="AJ399" s="1274">
        <f t="shared" ref="AJ399:AJ462" si="446">+AI399-S399</f>
        <v>0</v>
      </c>
    </row>
    <row r="400" spans="1:36" s="5" customFormat="1" ht="21" customHeight="1" outlineLevel="1" x14ac:dyDescent="0.2">
      <c r="A400" s="33"/>
      <c r="B400" s="57"/>
      <c r="C400" s="27" t="s">
        <v>42</v>
      </c>
      <c r="D400" s="1111">
        <v>490000</v>
      </c>
      <c r="E400" s="1109">
        <v>0</v>
      </c>
      <c r="F400" s="1109"/>
      <c r="G400" s="1109"/>
      <c r="H400" s="1109">
        <v>490000</v>
      </c>
      <c r="I400" s="1110">
        <v>500000</v>
      </c>
      <c r="J400" s="1110">
        <v>490000</v>
      </c>
      <c r="K400" s="1033"/>
      <c r="L400" s="1033"/>
      <c r="M400" s="1160">
        <v>367600</v>
      </c>
      <c r="N400" s="1160">
        <v>490000</v>
      </c>
      <c r="O400" s="1160"/>
      <c r="P400" s="1160"/>
      <c r="Q400" s="1160"/>
      <c r="R400" s="1160"/>
      <c r="S400" s="1160"/>
      <c r="T400" s="1091">
        <f t="shared" si="437"/>
        <v>0</v>
      </c>
      <c r="U400" s="1091">
        <f t="shared" si="438"/>
        <v>490000</v>
      </c>
      <c r="V400" s="1091">
        <f t="shared" si="445"/>
        <v>0</v>
      </c>
      <c r="W400" s="1091"/>
      <c r="X400" s="1091">
        <f t="shared" si="439"/>
        <v>0</v>
      </c>
      <c r="Y400" s="1091">
        <f t="shared" si="440"/>
        <v>490000</v>
      </c>
      <c r="Z400" s="1091">
        <f t="shared" si="441"/>
        <v>0</v>
      </c>
      <c r="AA400" s="1091">
        <f t="shared" si="442"/>
        <v>490000</v>
      </c>
      <c r="AB400" s="1091">
        <f t="shared" si="443"/>
        <v>0</v>
      </c>
      <c r="AD400" s="650">
        <f t="shared" si="444"/>
        <v>0</v>
      </c>
      <c r="AI400" s="1277">
        <f>VLOOKUP(K400,'[2]ผลการเบิกจ่ายสะสม พ.ย. 66'!$C:$N,12,0)</f>
        <v>0</v>
      </c>
      <c r="AJ400" s="1274">
        <f t="shared" si="446"/>
        <v>0</v>
      </c>
    </row>
    <row r="401" spans="1:36" s="112" customFormat="1" ht="21" customHeight="1" outlineLevel="1" x14ac:dyDescent="0.2">
      <c r="A401" s="33"/>
      <c r="B401" s="57"/>
      <c r="C401" s="27" t="s">
        <v>81</v>
      </c>
      <c r="D401" s="1111">
        <v>4578000</v>
      </c>
      <c r="E401" s="1109">
        <v>3985514.77</v>
      </c>
      <c r="F401" s="1109"/>
      <c r="G401" s="1109"/>
      <c r="H401" s="1109">
        <v>3697600</v>
      </c>
      <c r="I401" s="1110">
        <v>3927800</v>
      </c>
      <c r="J401" s="1110">
        <v>3652600</v>
      </c>
      <c r="K401" s="1033"/>
      <c r="L401" s="1033"/>
      <c r="M401" s="1160">
        <v>2718000</v>
      </c>
      <c r="N401" s="1160">
        <v>3622600</v>
      </c>
      <c r="O401" s="1160"/>
      <c r="P401" s="1160"/>
      <c r="Q401" s="1160"/>
      <c r="R401" s="1160"/>
      <c r="S401" s="1283">
        <f>367645.58</f>
        <v>367645.58</v>
      </c>
      <c r="T401" s="1091">
        <f t="shared" si="437"/>
        <v>367645.58</v>
      </c>
      <c r="U401" s="1091">
        <f t="shared" si="438"/>
        <v>3254954.42</v>
      </c>
      <c r="V401" s="1091">
        <f t="shared" si="445"/>
        <v>10.148666151382985</v>
      </c>
      <c r="W401" s="1091"/>
      <c r="X401" s="1091">
        <f t="shared" si="439"/>
        <v>367645.58</v>
      </c>
      <c r="Y401" s="1091">
        <f t="shared" si="440"/>
        <v>3254954.42</v>
      </c>
      <c r="Z401" s="1091">
        <f t="shared" si="441"/>
        <v>367645.58</v>
      </c>
      <c r="AA401" s="1091">
        <f t="shared" si="442"/>
        <v>3254954.42</v>
      </c>
      <c r="AB401" s="1091">
        <f t="shared" si="443"/>
        <v>10.148666151382985</v>
      </c>
      <c r="AD401" s="650">
        <f t="shared" si="444"/>
        <v>0</v>
      </c>
      <c r="AI401" s="1277">
        <f>VLOOKUP(K401,'[2]ผลการเบิกจ่ายสะสม พ.ย. 66'!$C:$N,12,0)</f>
        <v>0</v>
      </c>
      <c r="AJ401" s="1274">
        <f t="shared" si="446"/>
        <v>-367645.58</v>
      </c>
    </row>
    <row r="402" spans="1:36" s="5" customFormat="1" ht="21" customHeight="1" outlineLevel="1" x14ac:dyDescent="0.2">
      <c r="A402" s="33"/>
      <c r="B402" s="72" t="s">
        <v>104</v>
      </c>
      <c r="C402" s="274"/>
      <c r="D402" s="1118">
        <f>SUM(D403:D405)</f>
        <v>145000</v>
      </c>
      <c r="E402" s="1119">
        <f>SUM(E403:E405)</f>
        <v>58677</v>
      </c>
      <c r="F402" s="1119"/>
      <c r="G402" s="1119"/>
      <c r="H402" s="1119">
        <v>42800</v>
      </c>
      <c r="I402" s="1106">
        <v>280000</v>
      </c>
      <c r="J402" s="1106">
        <f>SUM(J403:J405)</f>
        <v>42800</v>
      </c>
      <c r="K402" s="1040" t="s">
        <v>1371</v>
      </c>
      <c r="L402" s="1065" t="s">
        <v>1428</v>
      </c>
      <c r="M402" s="1105">
        <f t="shared" ref="M402:U402" si="447">SUM(M403:M405)</f>
        <v>32600</v>
      </c>
      <c r="N402" s="1105">
        <f>SUM(N403:N405)</f>
        <v>42800</v>
      </c>
      <c r="O402" s="1105">
        <f t="shared" si="447"/>
        <v>0</v>
      </c>
      <c r="P402" s="1105">
        <f t="shared" si="447"/>
        <v>0</v>
      </c>
      <c r="Q402" s="1105">
        <f t="shared" si="447"/>
        <v>0</v>
      </c>
      <c r="R402" s="1105">
        <f t="shared" si="447"/>
        <v>0</v>
      </c>
      <c r="S402" s="1105">
        <f t="shared" si="447"/>
        <v>0</v>
      </c>
      <c r="T402" s="1105">
        <f t="shared" si="447"/>
        <v>0</v>
      </c>
      <c r="U402" s="1105">
        <f t="shared" si="447"/>
        <v>42800</v>
      </c>
      <c r="V402" s="1105">
        <f t="shared" si="445"/>
        <v>0</v>
      </c>
      <c r="W402" s="1105">
        <f t="shared" ref="W402:AB402" si="448">SUM(W403:W405)</f>
        <v>0</v>
      </c>
      <c r="X402" s="1105">
        <f t="shared" si="448"/>
        <v>0</v>
      </c>
      <c r="Y402" s="1105">
        <f t="shared" si="448"/>
        <v>42800</v>
      </c>
      <c r="Z402" s="1105">
        <f t="shared" si="448"/>
        <v>0</v>
      </c>
      <c r="AA402" s="1105">
        <f t="shared" si="448"/>
        <v>42800</v>
      </c>
      <c r="AB402" s="1105">
        <f t="shared" si="448"/>
        <v>0</v>
      </c>
      <c r="AD402" s="650">
        <f t="shared" si="444"/>
        <v>0</v>
      </c>
      <c r="AI402" s="1277">
        <f>VLOOKUP(K402,'[2]ผลการเบิกจ่ายสะสม พ.ย. 66'!$C:$N,12,0)</f>
        <v>483919928.55000001</v>
      </c>
      <c r="AJ402" s="1274">
        <f t="shared" si="446"/>
        <v>483919928.55000001</v>
      </c>
    </row>
    <row r="403" spans="1:36" s="5" customFormat="1" ht="21" customHeight="1" outlineLevel="1" x14ac:dyDescent="0.2">
      <c r="A403" s="33"/>
      <c r="B403" s="57"/>
      <c r="C403" s="27" t="s">
        <v>43</v>
      </c>
      <c r="D403" s="1111">
        <v>50000</v>
      </c>
      <c r="E403" s="1109">
        <v>48677</v>
      </c>
      <c r="F403" s="1109"/>
      <c r="G403" s="1109"/>
      <c r="H403" s="1109">
        <v>14200</v>
      </c>
      <c r="I403" s="1110">
        <v>50000</v>
      </c>
      <c r="J403" s="1110">
        <v>14200</v>
      </c>
      <c r="K403" s="1033"/>
      <c r="L403" s="1033"/>
      <c r="M403" s="1160">
        <v>10800</v>
      </c>
      <c r="N403" s="1160">
        <v>14200</v>
      </c>
      <c r="O403" s="1160"/>
      <c r="P403" s="1160"/>
      <c r="Q403" s="1160"/>
      <c r="R403" s="1160"/>
      <c r="S403" s="1160"/>
      <c r="T403" s="1091">
        <f t="shared" ref="T403:T405" si="449">+R403+S403</f>
        <v>0</v>
      </c>
      <c r="U403" s="1091">
        <f t="shared" ref="U403:U405" si="450">+N403+O403-T403</f>
        <v>14200</v>
      </c>
      <c r="V403" s="1091">
        <f t="shared" si="445"/>
        <v>0</v>
      </c>
      <c r="W403" s="1091"/>
      <c r="X403" s="1091">
        <f t="shared" ref="X403:X405" si="451">+T403+Q403</f>
        <v>0</v>
      </c>
      <c r="Y403" s="1091">
        <f t="shared" ref="Y403:Y405" si="452">+U403-Q403</f>
        <v>14200</v>
      </c>
      <c r="Z403" s="1091">
        <f t="shared" ref="Z403:Z405" si="453">+T403+Q403+P403</f>
        <v>0</v>
      </c>
      <c r="AA403" s="1091">
        <f t="shared" ref="AA403:AA405" si="454">+U403-Q403-P403</f>
        <v>14200</v>
      </c>
      <c r="AB403" s="1091">
        <f t="shared" ref="AB403:AB405" si="455">IFERROR(Z403*100/(N403+O403),0)</f>
        <v>0</v>
      </c>
      <c r="AD403" s="650">
        <f t="shared" si="444"/>
        <v>0</v>
      </c>
      <c r="AI403" s="1277">
        <f>VLOOKUP(K403,'[2]ผลการเบิกจ่ายสะสม พ.ย. 66'!$C:$N,12,0)</f>
        <v>0</v>
      </c>
      <c r="AJ403" s="1274">
        <f t="shared" si="446"/>
        <v>0</v>
      </c>
    </row>
    <row r="404" spans="1:36" s="5" customFormat="1" ht="21" customHeight="1" outlineLevel="1" x14ac:dyDescent="0.2">
      <c r="A404" s="33"/>
      <c r="B404" s="57"/>
      <c r="C404" s="27" t="s">
        <v>50</v>
      </c>
      <c r="D404" s="1111">
        <v>20000</v>
      </c>
      <c r="E404" s="1109">
        <v>0</v>
      </c>
      <c r="F404" s="1109"/>
      <c r="G404" s="1109"/>
      <c r="H404" s="1109">
        <v>14200</v>
      </c>
      <c r="I404" s="1110">
        <v>50000</v>
      </c>
      <c r="J404" s="1110">
        <v>14200</v>
      </c>
      <c r="K404" s="1033"/>
      <c r="L404" s="1033"/>
      <c r="M404" s="1160">
        <v>10800</v>
      </c>
      <c r="N404" s="1160">
        <v>14200</v>
      </c>
      <c r="O404" s="1160"/>
      <c r="P404" s="1160"/>
      <c r="Q404" s="1160"/>
      <c r="R404" s="1160"/>
      <c r="S404" s="1160"/>
      <c r="T404" s="1091">
        <f t="shared" si="449"/>
        <v>0</v>
      </c>
      <c r="U404" s="1091">
        <f t="shared" si="450"/>
        <v>14200</v>
      </c>
      <c r="V404" s="1091">
        <f t="shared" si="445"/>
        <v>0</v>
      </c>
      <c r="W404" s="1091"/>
      <c r="X404" s="1091">
        <f t="shared" si="451"/>
        <v>0</v>
      </c>
      <c r="Y404" s="1091">
        <f t="shared" si="452"/>
        <v>14200</v>
      </c>
      <c r="Z404" s="1091">
        <f t="shared" si="453"/>
        <v>0</v>
      </c>
      <c r="AA404" s="1091">
        <f t="shared" si="454"/>
        <v>14200</v>
      </c>
      <c r="AB404" s="1091">
        <f t="shared" si="455"/>
        <v>0</v>
      </c>
      <c r="AD404" s="650">
        <f t="shared" si="444"/>
        <v>0</v>
      </c>
      <c r="AI404" s="1277">
        <f>VLOOKUP(K404,'[2]ผลการเบิกจ่ายสะสม พ.ย. 66'!$C:$N,12,0)</f>
        <v>0</v>
      </c>
      <c r="AJ404" s="1274">
        <f t="shared" si="446"/>
        <v>0</v>
      </c>
    </row>
    <row r="405" spans="1:36" s="5" customFormat="1" ht="24" customHeight="1" outlineLevel="1" x14ac:dyDescent="0.2">
      <c r="A405" s="33"/>
      <c r="B405" s="57"/>
      <c r="C405" s="27" t="s">
        <v>81</v>
      </c>
      <c r="D405" s="1111">
        <v>75000</v>
      </c>
      <c r="E405" s="1109">
        <v>10000</v>
      </c>
      <c r="F405" s="1109"/>
      <c r="G405" s="1109"/>
      <c r="H405" s="1109">
        <v>14400</v>
      </c>
      <c r="I405" s="1110">
        <v>180000</v>
      </c>
      <c r="J405" s="1110">
        <v>14400</v>
      </c>
      <c r="K405" s="1033"/>
      <c r="L405" s="1033"/>
      <c r="M405" s="1160">
        <v>11000</v>
      </c>
      <c r="N405" s="1160">
        <v>14400</v>
      </c>
      <c r="O405" s="1160"/>
      <c r="P405" s="1160"/>
      <c r="Q405" s="1160"/>
      <c r="R405" s="1160"/>
      <c r="S405" s="1160"/>
      <c r="T405" s="1091">
        <f t="shared" si="449"/>
        <v>0</v>
      </c>
      <c r="U405" s="1091">
        <f t="shared" si="450"/>
        <v>14400</v>
      </c>
      <c r="V405" s="1091">
        <f t="shared" si="445"/>
        <v>0</v>
      </c>
      <c r="W405" s="1091"/>
      <c r="X405" s="1091">
        <f t="shared" si="451"/>
        <v>0</v>
      </c>
      <c r="Y405" s="1091">
        <f t="shared" si="452"/>
        <v>14400</v>
      </c>
      <c r="Z405" s="1091">
        <f t="shared" si="453"/>
        <v>0</v>
      </c>
      <c r="AA405" s="1091">
        <f t="shared" si="454"/>
        <v>14400</v>
      </c>
      <c r="AB405" s="1091">
        <f t="shared" si="455"/>
        <v>0</v>
      </c>
      <c r="AD405" s="650">
        <f t="shared" si="444"/>
        <v>0</v>
      </c>
      <c r="AI405" s="1277">
        <f>VLOOKUP(K405,'[2]ผลการเบิกจ่ายสะสม พ.ย. 66'!$C:$N,12,0)</f>
        <v>0</v>
      </c>
      <c r="AJ405" s="1274">
        <f t="shared" si="446"/>
        <v>0</v>
      </c>
    </row>
    <row r="406" spans="1:36" s="5" customFormat="1" ht="24" customHeight="1" outlineLevel="1" x14ac:dyDescent="0.2">
      <c r="A406" s="33"/>
      <c r="B406" s="72" t="s">
        <v>315</v>
      </c>
      <c r="C406" s="27"/>
      <c r="D406" s="1111">
        <v>0</v>
      </c>
      <c r="E406" s="1119">
        <v>0</v>
      </c>
      <c r="F406" s="1119"/>
      <c r="G406" s="1119"/>
      <c r="H406" s="1119">
        <v>0</v>
      </c>
      <c r="I406" s="1106">
        <v>1400000</v>
      </c>
      <c r="J406" s="1106">
        <f>SUM(J407:J409)</f>
        <v>0</v>
      </c>
      <c r="K406" s="1040"/>
      <c r="L406" s="1040"/>
      <c r="M406" s="1105">
        <f t="shared" ref="M406:U406" si="456">SUM(M407:M409)</f>
        <v>0</v>
      </c>
      <c r="N406" s="1105">
        <f>SUM(N407:N409)</f>
        <v>0</v>
      </c>
      <c r="O406" s="1105">
        <f t="shared" si="456"/>
        <v>0</v>
      </c>
      <c r="P406" s="1105">
        <f t="shared" si="456"/>
        <v>0</v>
      </c>
      <c r="Q406" s="1105">
        <f t="shared" si="456"/>
        <v>0</v>
      </c>
      <c r="R406" s="1105">
        <f t="shared" si="456"/>
        <v>0</v>
      </c>
      <c r="S406" s="1105">
        <f t="shared" si="456"/>
        <v>0</v>
      </c>
      <c r="T406" s="1105">
        <f t="shared" si="456"/>
        <v>0</v>
      </c>
      <c r="U406" s="1105">
        <f t="shared" si="456"/>
        <v>0</v>
      </c>
      <c r="V406" s="1105">
        <f t="shared" si="445"/>
        <v>0</v>
      </c>
      <c r="W406" s="1105">
        <f t="shared" ref="W406:AB406" si="457">SUM(W407:W409)</f>
        <v>0</v>
      </c>
      <c r="X406" s="1105">
        <f t="shared" si="457"/>
        <v>0</v>
      </c>
      <c r="Y406" s="1105">
        <f t="shared" si="457"/>
        <v>0</v>
      </c>
      <c r="Z406" s="1105">
        <f t="shared" si="457"/>
        <v>0</v>
      </c>
      <c r="AA406" s="1105">
        <f t="shared" si="457"/>
        <v>0</v>
      </c>
      <c r="AB406" s="1105">
        <f t="shared" si="457"/>
        <v>0</v>
      </c>
      <c r="AD406" s="650">
        <f t="shared" si="444"/>
        <v>0</v>
      </c>
      <c r="AI406" s="1277">
        <f>VLOOKUP(K406,'[2]ผลการเบิกจ่ายสะสม พ.ย. 66'!$C:$N,12,0)</f>
        <v>0</v>
      </c>
      <c r="AJ406" s="1274">
        <f t="shared" si="446"/>
        <v>0</v>
      </c>
    </row>
    <row r="407" spans="1:36" s="5" customFormat="1" ht="24" customHeight="1" outlineLevel="1" x14ac:dyDescent="0.2">
      <c r="A407" s="33"/>
      <c r="B407" s="72"/>
      <c r="C407" s="27" t="s">
        <v>52</v>
      </c>
      <c r="D407" s="1111"/>
      <c r="E407" s="1119"/>
      <c r="F407" s="1119"/>
      <c r="G407" s="1119"/>
      <c r="H407" s="1119"/>
      <c r="I407" s="1110">
        <v>300000</v>
      </c>
      <c r="J407" s="1110"/>
      <c r="K407" s="1033"/>
      <c r="L407" s="1033"/>
      <c r="M407" s="1160"/>
      <c r="N407" s="1160">
        <v>0</v>
      </c>
      <c r="O407" s="1160"/>
      <c r="P407" s="1160"/>
      <c r="Q407" s="1160"/>
      <c r="R407" s="1160"/>
      <c r="S407" s="1160"/>
      <c r="T407" s="1091">
        <f t="shared" ref="T407:T409" si="458">+R407+S407</f>
        <v>0</v>
      </c>
      <c r="U407" s="1091">
        <f t="shared" ref="U407:U409" si="459">+N407+O407-T407</f>
        <v>0</v>
      </c>
      <c r="V407" s="1091">
        <f t="shared" si="445"/>
        <v>0</v>
      </c>
      <c r="W407" s="1091"/>
      <c r="X407" s="1091">
        <f t="shared" ref="X407:X409" si="460">+T407+Q407</f>
        <v>0</v>
      </c>
      <c r="Y407" s="1091">
        <f t="shared" ref="Y407:Y409" si="461">+U407-Q407</f>
        <v>0</v>
      </c>
      <c r="Z407" s="1091">
        <f t="shared" ref="Z407:Z409" si="462">+T407+Q407+P407</f>
        <v>0</v>
      </c>
      <c r="AA407" s="1091">
        <f t="shared" ref="AA407:AA409" si="463">+U407-Q407-P407</f>
        <v>0</v>
      </c>
      <c r="AB407" s="1091">
        <f t="shared" ref="AB407:AB409" si="464">IFERROR(Z407*100/(N407+O407),0)</f>
        <v>0</v>
      </c>
      <c r="AD407" s="650">
        <f t="shared" si="444"/>
        <v>0</v>
      </c>
      <c r="AI407" s="1277">
        <f>VLOOKUP(K407,'[2]ผลการเบิกจ่ายสะสม พ.ย. 66'!$C:$N,12,0)</f>
        <v>0</v>
      </c>
      <c r="AJ407" s="1274">
        <f t="shared" si="446"/>
        <v>0</v>
      </c>
    </row>
    <row r="408" spans="1:36" s="5" customFormat="1" ht="24" customHeight="1" outlineLevel="1" x14ac:dyDescent="0.2">
      <c r="A408" s="33"/>
      <c r="B408" s="72"/>
      <c r="C408" s="27" t="s">
        <v>881</v>
      </c>
      <c r="D408" s="1111"/>
      <c r="E408" s="1119"/>
      <c r="F408" s="1119"/>
      <c r="G408" s="1119"/>
      <c r="H408" s="1119"/>
      <c r="I408" s="1110">
        <v>500000</v>
      </c>
      <c r="J408" s="1110"/>
      <c r="K408" s="1033"/>
      <c r="L408" s="1033"/>
      <c r="M408" s="1160"/>
      <c r="N408" s="1160">
        <v>0</v>
      </c>
      <c r="O408" s="1160"/>
      <c r="P408" s="1160"/>
      <c r="Q408" s="1160"/>
      <c r="R408" s="1160"/>
      <c r="S408" s="1160"/>
      <c r="T408" s="1091">
        <f t="shared" si="458"/>
        <v>0</v>
      </c>
      <c r="U408" s="1091">
        <f t="shared" si="459"/>
        <v>0</v>
      </c>
      <c r="V408" s="1091">
        <f t="shared" si="445"/>
        <v>0</v>
      </c>
      <c r="W408" s="1091"/>
      <c r="X408" s="1091">
        <f t="shared" si="460"/>
        <v>0</v>
      </c>
      <c r="Y408" s="1091">
        <f t="shared" si="461"/>
        <v>0</v>
      </c>
      <c r="Z408" s="1091">
        <f t="shared" si="462"/>
        <v>0</v>
      </c>
      <c r="AA408" s="1091">
        <f t="shared" si="463"/>
        <v>0</v>
      </c>
      <c r="AB408" s="1091">
        <f t="shared" si="464"/>
        <v>0</v>
      </c>
      <c r="AD408" s="650">
        <f t="shared" si="444"/>
        <v>0</v>
      </c>
      <c r="AI408" s="1277">
        <f>VLOOKUP(K408,'[2]ผลการเบิกจ่ายสะสม พ.ย. 66'!$C:$N,12,0)</f>
        <v>0</v>
      </c>
      <c r="AJ408" s="1274">
        <f t="shared" si="446"/>
        <v>0</v>
      </c>
    </row>
    <row r="409" spans="1:36" s="5" customFormat="1" ht="24" customHeight="1" outlineLevel="1" x14ac:dyDescent="0.2">
      <c r="A409" s="33"/>
      <c r="B409" s="72"/>
      <c r="C409" s="27" t="s">
        <v>81</v>
      </c>
      <c r="D409" s="1111">
        <v>0</v>
      </c>
      <c r="E409" s="1109"/>
      <c r="F409" s="1109"/>
      <c r="G409" s="1109"/>
      <c r="H409" s="1109"/>
      <c r="I409" s="1110">
        <v>600000</v>
      </c>
      <c r="J409" s="1110"/>
      <c r="K409" s="1033"/>
      <c r="L409" s="1033"/>
      <c r="M409" s="1160"/>
      <c r="N409" s="1160">
        <v>0</v>
      </c>
      <c r="O409" s="1160"/>
      <c r="P409" s="1160"/>
      <c r="Q409" s="1160"/>
      <c r="R409" s="1160"/>
      <c r="S409" s="1160"/>
      <c r="T409" s="1091">
        <f t="shared" si="458"/>
        <v>0</v>
      </c>
      <c r="U409" s="1091">
        <f t="shared" si="459"/>
        <v>0</v>
      </c>
      <c r="V409" s="1091">
        <f t="shared" si="445"/>
        <v>0</v>
      </c>
      <c r="W409" s="1091"/>
      <c r="X409" s="1091">
        <f t="shared" si="460"/>
        <v>0</v>
      </c>
      <c r="Y409" s="1091">
        <f t="shared" si="461"/>
        <v>0</v>
      </c>
      <c r="Z409" s="1091">
        <f t="shared" si="462"/>
        <v>0</v>
      </c>
      <c r="AA409" s="1091">
        <f t="shared" si="463"/>
        <v>0</v>
      </c>
      <c r="AB409" s="1091">
        <f t="shared" si="464"/>
        <v>0</v>
      </c>
      <c r="AD409" s="650">
        <f t="shared" si="444"/>
        <v>0</v>
      </c>
      <c r="AI409" s="1277">
        <f>VLOOKUP(K409,'[2]ผลการเบิกจ่ายสะสม พ.ย. 66'!$C:$N,12,0)</f>
        <v>0</v>
      </c>
      <c r="AJ409" s="1274">
        <f t="shared" si="446"/>
        <v>0</v>
      </c>
    </row>
    <row r="410" spans="1:36" s="112" customFormat="1" ht="24" customHeight="1" x14ac:dyDescent="0.2">
      <c r="A410" s="33"/>
      <c r="B410" s="72" t="s">
        <v>106</v>
      </c>
      <c r="C410" s="274"/>
      <c r="D410" s="1149">
        <f>+D411+D415+D419+D423+D427</f>
        <v>73596900</v>
      </c>
      <c r="E410" s="1150">
        <f>+E411+E415+E419+E423+E427</f>
        <v>87698472.899999991</v>
      </c>
      <c r="F410" s="1150"/>
      <c r="G410" s="1150"/>
      <c r="H410" s="1150">
        <f>+H411+H415+H419+H423+H427</f>
        <v>77614100</v>
      </c>
      <c r="I410" s="1151">
        <v>107510000</v>
      </c>
      <c r="J410" s="1151">
        <f>+J411+J415+J419+J423+J427</f>
        <v>75741000</v>
      </c>
      <c r="K410" s="1040" t="s">
        <v>1371</v>
      </c>
      <c r="L410" s="1065" t="s">
        <v>1428</v>
      </c>
      <c r="M410" s="1153">
        <f t="shared" ref="M410:P410" si="465">+M411+M415+M419+M423+M427</f>
        <v>55433600</v>
      </c>
      <c r="N410" s="1153">
        <f>+N411+N415+N419+N423+N427</f>
        <v>75741000</v>
      </c>
      <c r="O410" s="1248">
        <f t="shared" si="465"/>
        <v>0</v>
      </c>
      <c r="P410" s="1153">
        <f t="shared" si="465"/>
        <v>0</v>
      </c>
      <c r="Q410" s="1272">
        <f>880164.88</f>
        <v>880164.88</v>
      </c>
      <c r="R410" s="1153">
        <f t="shared" ref="R410:U410" si="466">+R411+R415+R419+R423+R427</f>
        <v>0</v>
      </c>
      <c r="S410" s="1272">
        <f>3615638.9+(82461757.35-76816478.86)</f>
        <v>9260917.389999995</v>
      </c>
      <c r="T410" s="1153">
        <f t="shared" si="466"/>
        <v>9260917.3899999987</v>
      </c>
      <c r="U410" s="1153">
        <f t="shared" si="466"/>
        <v>66480082.609999999</v>
      </c>
      <c r="V410" s="1153">
        <f t="shared" si="445"/>
        <v>12.227086241269589</v>
      </c>
      <c r="W410" s="1153">
        <f t="shared" ref="W410:AB410" si="467">+W411+W415+W419+W423+W427</f>
        <v>0</v>
      </c>
      <c r="X410" s="1153">
        <f t="shared" si="467"/>
        <v>10141082.27</v>
      </c>
      <c r="Y410" s="1153">
        <f t="shared" si="467"/>
        <v>65599917.730000004</v>
      </c>
      <c r="Z410" s="1153">
        <f t="shared" si="467"/>
        <v>10141082.27</v>
      </c>
      <c r="AA410" s="1153">
        <f t="shared" si="467"/>
        <v>65599917.730000004</v>
      </c>
      <c r="AB410" s="1153">
        <f t="shared" si="467"/>
        <v>123.41239441094417</v>
      </c>
      <c r="AD410" s="650">
        <f t="shared" si="444"/>
        <v>0</v>
      </c>
      <c r="AI410" s="1277">
        <f>VLOOKUP(K410,'[2]ผลการเบิกจ่ายสะสม พ.ย. 66'!$C:$N,12,0)</f>
        <v>483919928.55000001</v>
      </c>
      <c r="AJ410" s="1274">
        <f t="shared" si="446"/>
        <v>474659011.16000003</v>
      </c>
    </row>
    <row r="411" spans="1:36" s="5" customFormat="1" ht="21" customHeight="1" outlineLevel="1" x14ac:dyDescent="0.2">
      <c r="A411" s="33"/>
      <c r="B411" s="72" t="s">
        <v>105</v>
      </c>
      <c r="C411" s="274"/>
      <c r="D411" s="1149">
        <f>SUM(D412:D414)</f>
        <v>42650900</v>
      </c>
      <c r="E411" s="1150">
        <f>SUM(E412:E414)</f>
        <v>50175227.560000002</v>
      </c>
      <c r="F411" s="1150"/>
      <c r="G411" s="1150"/>
      <c r="H411" s="1150">
        <f>SUM(H412:H414)</f>
        <v>49706100</v>
      </c>
      <c r="I411" s="1151">
        <v>58200000</v>
      </c>
      <c r="J411" s="1151">
        <f>SUM(J412:J414)</f>
        <v>42937000</v>
      </c>
      <c r="K411" s="1040" t="s">
        <v>1371</v>
      </c>
      <c r="L411" s="1065" t="s">
        <v>1428</v>
      </c>
      <c r="M411" s="1153">
        <f t="shared" ref="M411:U411" si="468">SUM(M412:M414)</f>
        <v>32203200</v>
      </c>
      <c r="N411" s="1153">
        <f>SUM(N412:N414)</f>
        <v>42937000</v>
      </c>
      <c r="O411" s="1153">
        <f t="shared" si="468"/>
        <v>0</v>
      </c>
      <c r="P411" s="1153">
        <f t="shared" si="468"/>
        <v>0</v>
      </c>
      <c r="Q411" s="1153">
        <f t="shared" si="468"/>
        <v>0</v>
      </c>
      <c r="R411" s="1153">
        <f t="shared" si="468"/>
        <v>0</v>
      </c>
      <c r="S411" s="1153">
        <f t="shared" si="468"/>
        <v>5871948.5999999996</v>
      </c>
      <c r="T411" s="1153">
        <f t="shared" si="468"/>
        <v>5871948.5999999996</v>
      </c>
      <c r="U411" s="1153">
        <f t="shared" si="468"/>
        <v>37065051.399999999</v>
      </c>
      <c r="V411" s="1153">
        <f t="shared" si="445"/>
        <v>13.675730954654494</v>
      </c>
      <c r="W411" s="1153">
        <f t="shared" ref="W411:AB411" si="469">SUM(W412:W414)</f>
        <v>0</v>
      </c>
      <c r="X411" s="1153">
        <f t="shared" si="469"/>
        <v>5871948.5999999996</v>
      </c>
      <c r="Y411" s="1153">
        <f t="shared" si="469"/>
        <v>37065051.399999999</v>
      </c>
      <c r="Z411" s="1153">
        <f t="shared" si="469"/>
        <v>5871948.5999999996</v>
      </c>
      <c r="AA411" s="1153">
        <f t="shared" si="469"/>
        <v>37065051.399999999</v>
      </c>
      <c r="AB411" s="1153">
        <f t="shared" si="469"/>
        <v>37.794082434558007</v>
      </c>
      <c r="AC411" s="314"/>
      <c r="AD411" s="650">
        <f t="shared" si="444"/>
        <v>0</v>
      </c>
      <c r="AI411" s="1277">
        <f>VLOOKUP(K411,'[2]ผลการเบิกจ่ายสะสม พ.ย. 66'!$C:$N,12,0)</f>
        <v>483919928.55000001</v>
      </c>
      <c r="AJ411" s="1274">
        <f t="shared" si="446"/>
        <v>478047979.94999999</v>
      </c>
    </row>
    <row r="412" spans="1:36" s="5" customFormat="1" ht="21" customHeight="1" outlineLevel="1" x14ac:dyDescent="0.2">
      <c r="A412" s="33"/>
      <c r="B412" s="57"/>
      <c r="C412" s="27" t="s">
        <v>80</v>
      </c>
      <c r="D412" s="1111">
        <v>7980000</v>
      </c>
      <c r="E412" s="1109">
        <f>9920400.3+3181062.58</f>
        <v>13101462.880000001</v>
      </c>
      <c r="F412" s="1109"/>
      <c r="G412" s="1109"/>
      <c r="H412" s="1109">
        <v>7980000</v>
      </c>
      <c r="I412" s="1110">
        <v>13200000</v>
      </c>
      <c r="J412" s="1110">
        <v>6893100</v>
      </c>
      <c r="K412" s="1033"/>
      <c r="L412" s="1033"/>
      <c r="M412" s="1160">
        <v>5169900</v>
      </c>
      <c r="N412" s="1160">
        <v>6893100</v>
      </c>
      <c r="O412" s="1160"/>
      <c r="P412" s="1160"/>
      <c r="Q412" s="1160"/>
      <c r="R412" s="1160"/>
      <c r="S412" s="1283">
        <f>1338113.65</f>
        <v>1338113.6499999999</v>
      </c>
      <c r="T412" s="1091">
        <f t="shared" ref="T412:T414" si="470">+R412+S412</f>
        <v>1338113.6499999999</v>
      </c>
      <c r="U412" s="1091">
        <f t="shared" ref="U412:U414" si="471">+N412+O412-T412</f>
        <v>5554986.3499999996</v>
      </c>
      <c r="V412" s="1091">
        <f t="shared" si="445"/>
        <v>19.412363813088447</v>
      </c>
      <c r="W412" s="1091"/>
      <c r="X412" s="1091">
        <f t="shared" ref="X412:X414" si="472">+T412+Q412</f>
        <v>1338113.6499999999</v>
      </c>
      <c r="Y412" s="1091">
        <f t="shared" ref="Y412:Y414" si="473">+U412-Q412</f>
        <v>5554986.3499999996</v>
      </c>
      <c r="Z412" s="1091">
        <f t="shared" ref="Z412:Z414" si="474">+T412+Q412+P412</f>
        <v>1338113.6499999999</v>
      </c>
      <c r="AA412" s="1091">
        <f t="shared" ref="AA412:AA414" si="475">+U412-Q412-P412</f>
        <v>5554986.3499999996</v>
      </c>
      <c r="AB412" s="1091">
        <f t="shared" ref="AB412:AB414" si="476">IFERROR(Z412*100/(N412+O412),0)</f>
        <v>19.412363813088447</v>
      </c>
      <c r="AD412" s="650">
        <f t="shared" si="444"/>
        <v>0</v>
      </c>
      <c r="AI412" s="1277">
        <f>VLOOKUP(K412,'[2]ผลการเบิกจ่ายสะสม พ.ย. 66'!$C:$N,12,0)</f>
        <v>0</v>
      </c>
      <c r="AJ412" s="1274">
        <f t="shared" si="446"/>
        <v>-1338113.6499999999</v>
      </c>
    </row>
    <row r="413" spans="1:36" s="5" customFormat="1" ht="21" customHeight="1" outlineLevel="1" x14ac:dyDescent="0.2">
      <c r="A413" s="33"/>
      <c r="B413" s="57"/>
      <c r="C413" s="27" t="s">
        <v>42</v>
      </c>
      <c r="D413" s="1111">
        <v>2967600</v>
      </c>
      <c r="E413" s="1109">
        <v>2785356.28</v>
      </c>
      <c r="F413" s="1109"/>
      <c r="G413" s="1109"/>
      <c r="H413" s="1109">
        <v>4967600</v>
      </c>
      <c r="I413" s="1110">
        <v>5000000</v>
      </c>
      <c r="J413" s="1110">
        <v>4291000</v>
      </c>
      <c r="K413" s="1033"/>
      <c r="L413" s="1033"/>
      <c r="M413" s="1160">
        <v>3218400</v>
      </c>
      <c r="N413" s="1160">
        <v>4291000</v>
      </c>
      <c r="O413" s="1160"/>
      <c r="P413" s="1160"/>
      <c r="Q413" s="1160"/>
      <c r="R413" s="1160"/>
      <c r="S413" s="1283">
        <v>203580.86</v>
      </c>
      <c r="T413" s="1091">
        <f t="shared" si="470"/>
        <v>203580.86</v>
      </c>
      <c r="U413" s="1091">
        <f t="shared" si="471"/>
        <v>4087419.14</v>
      </c>
      <c r="V413" s="1091">
        <f t="shared" si="445"/>
        <v>4.7443686786296899</v>
      </c>
      <c r="W413" s="1091"/>
      <c r="X413" s="1091">
        <f t="shared" si="472"/>
        <v>203580.86</v>
      </c>
      <c r="Y413" s="1091">
        <f t="shared" si="473"/>
        <v>4087419.14</v>
      </c>
      <c r="Z413" s="1091">
        <f t="shared" si="474"/>
        <v>203580.86</v>
      </c>
      <c r="AA413" s="1091">
        <f t="shared" si="475"/>
        <v>4087419.14</v>
      </c>
      <c r="AB413" s="1091">
        <f t="shared" si="476"/>
        <v>4.7443686786296899</v>
      </c>
      <c r="AD413" s="650">
        <f t="shared" si="444"/>
        <v>0</v>
      </c>
      <c r="AI413" s="1277">
        <f>VLOOKUP(K413,'[2]ผลการเบิกจ่ายสะสม พ.ย. 66'!$C:$N,12,0)</f>
        <v>0</v>
      </c>
      <c r="AJ413" s="1274">
        <f t="shared" si="446"/>
        <v>-203580.86</v>
      </c>
    </row>
    <row r="414" spans="1:36" s="112" customFormat="1" ht="21" customHeight="1" outlineLevel="1" x14ac:dyDescent="0.2">
      <c r="A414" s="33"/>
      <c r="B414" s="57"/>
      <c r="C414" s="27" t="s">
        <v>81</v>
      </c>
      <c r="D414" s="1111">
        <f>39880400-8177100</f>
        <v>31703300</v>
      </c>
      <c r="E414" s="1109">
        <f>31663430.37+2624978.03</f>
        <v>34288408.399999999</v>
      </c>
      <c r="F414" s="1109"/>
      <c r="G414" s="1109"/>
      <c r="H414" s="1109">
        <v>36758500</v>
      </c>
      <c r="I414" s="1110">
        <v>40000000</v>
      </c>
      <c r="J414" s="1110">
        <v>31752900</v>
      </c>
      <c r="K414" s="1033"/>
      <c r="L414" s="1033"/>
      <c r="M414" s="1160">
        <v>23814900</v>
      </c>
      <c r="N414" s="1160">
        <v>31752900</v>
      </c>
      <c r="O414" s="1160"/>
      <c r="P414" s="1160"/>
      <c r="Q414" s="1160"/>
      <c r="R414" s="1160"/>
      <c r="S414" s="1283">
        <f>4330254.09</f>
        <v>4330254.09</v>
      </c>
      <c r="T414" s="1091">
        <f t="shared" si="470"/>
        <v>4330254.09</v>
      </c>
      <c r="U414" s="1091">
        <f t="shared" si="471"/>
        <v>27422645.91</v>
      </c>
      <c r="V414" s="1091">
        <f t="shared" si="445"/>
        <v>13.637349942839867</v>
      </c>
      <c r="W414" s="1091"/>
      <c r="X414" s="1091">
        <f t="shared" si="472"/>
        <v>4330254.09</v>
      </c>
      <c r="Y414" s="1091">
        <f t="shared" si="473"/>
        <v>27422645.91</v>
      </c>
      <c r="Z414" s="1091">
        <f t="shared" si="474"/>
        <v>4330254.09</v>
      </c>
      <c r="AA414" s="1091">
        <f t="shared" si="475"/>
        <v>27422645.91</v>
      </c>
      <c r="AB414" s="1091">
        <f t="shared" si="476"/>
        <v>13.637349942839867</v>
      </c>
      <c r="AD414" s="650">
        <f t="shared" si="444"/>
        <v>0</v>
      </c>
      <c r="AI414" s="1277">
        <f>VLOOKUP(K414,'[2]ผลการเบิกจ่ายสะสม พ.ย. 66'!$C:$N,12,0)</f>
        <v>0</v>
      </c>
      <c r="AJ414" s="1274">
        <f t="shared" si="446"/>
        <v>-4330254.09</v>
      </c>
    </row>
    <row r="415" spans="1:36" s="5" customFormat="1" ht="21" customHeight="1" outlineLevel="1" x14ac:dyDescent="0.2">
      <c r="A415" s="33"/>
      <c r="B415" s="72" t="s">
        <v>157</v>
      </c>
      <c r="C415" s="274"/>
      <c r="D415" s="1118">
        <f>SUM(D416:D418)</f>
        <v>1270000</v>
      </c>
      <c r="E415" s="1119">
        <f>SUM(E416:E418)</f>
        <v>1074582.57</v>
      </c>
      <c r="F415" s="1119"/>
      <c r="G415" s="1119"/>
      <c r="H415" s="1119">
        <f>SUM(H416:H418)</f>
        <v>1401100</v>
      </c>
      <c r="I415" s="1106">
        <v>1920000</v>
      </c>
      <c r="J415" s="1106">
        <f>SUM(J416:J418)</f>
        <v>1401100</v>
      </c>
      <c r="K415" s="1040" t="s">
        <v>1371</v>
      </c>
      <c r="L415" s="1065" t="s">
        <v>1428</v>
      </c>
      <c r="M415" s="1105">
        <f t="shared" ref="M415:U415" si="477">SUM(M416:M418)</f>
        <v>1051700</v>
      </c>
      <c r="N415" s="1105">
        <f>SUM(N416:N418)</f>
        <v>1401100</v>
      </c>
      <c r="O415" s="1240">
        <f t="shared" si="477"/>
        <v>-100000</v>
      </c>
      <c r="P415" s="1105">
        <f t="shared" si="477"/>
        <v>0</v>
      </c>
      <c r="Q415" s="1105">
        <f t="shared" si="477"/>
        <v>0</v>
      </c>
      <c r="R415" s="1105">
        <f t="shared" si="477"/>
        <v>0</v>
      </c>
      <c r="S415" s="1105">
        <f t="shared" si="477"/>
        <v>36760.19</v>
      </c>
      <c r="T415" s="1105">
        <f t="shared" si="477"/>
        <v>36760.19</v>
      </c>
      <c r="U415" s="1105">
        <f t="shared" si="477"/>
        <v>1264339.81</v>
      </c>
      <c r="V415" s="1105">
        <f t="shared" si="445"/>
        <v>2.8253162708477442</v>
      </c>
      <c r="W415" s="1105">
        <f t="shared" ref="W415:AB415" si="478">SUM(W416:W418)</f>
        <v>0</v>
      </c>
      <c r="X415" s="1105">
        <f t="shared" si="478"/>
        <v>36760.19</v>
      </c>
      <c r="Y415" s="1105">
        <f t="shared" si="478"/>
        <v>1264339.81</v>
      </c>
      <c r="Z415" s="1105">
        <f t="shared" si="478"/>
        <v>36760.19</v>
      </c>
      <c r="AA415" s="1105">
        <f t="shared" si="478"/>
        <v>1264339.81</v>
      </c>
      <c r="AB415" s="1105">
        <f t="shared" si="478"/>
        <v>5.0475718582096789</v>
      </c>
      <c r="AD415" s="650">
        <f t="shared" si="444"/>
        <v>0</v>
      </c>
      <c r="AI415" s="1277">
        <f>VLOOKUP(K415,'[2]ผลการเบิกจ่ายสะสม พ.ย. 66'!$C:$N,12,0)</f>
        <v>483919928.55000001</v>
      </c>
      <c r="AJ415" s="1274">
        <f t="shared" si="446"/>
        <v>483883168.36000001</v>
      </c>
    </row>
    <row r="416" spans="1:36" s="5" customFormat="1" ht="21" customHeight="1" outlineLevel="1" x14ac:dyDescent="0.2">
      <c r="A416" s="33"/>
      <c r="B416" s="57"/>
      <c r="C416" s="27" t="s">
        <v>80</v>
      </c>
      <c r="D416" s="1111">
        <v>170000</v>
      </c>
      <c r="E416" s="1109">
        <v>74396.850000000006</v>
      </c>
      <c r="F416" s="1109"/>
      <c r="G416" s="1109"/>
      <c r="H416" s="1109">
        <v>170000</v>
      </c>
      <c r="I416" s="1110">
        <v>170000</v>
      </c>
      <c r="J416" s="1110">
        <v>170000</v>
      </c>
      <c r="K416" s="1033"/>
      <c r="L416" s="1033"/>
      <c r="M416" s="1160">
        <v>127700</v>
      </c>
      <c r="N416" s="1160">
        <v>170000</v>
      </c>
      <c r="O416" s="1241">
        <v>-100000</v>
      </c>
      <c r="P416" s="1160"/>
      <c r="Q416" s="1160"/>
      <c r="R416" s="1160"/>
      <c r="S416" s="1283">
        <f>1107.45</f>
        <v>1107.45</v>
      </c>
      <c r="T416" s="1091">
        <f t="shared" ref="T416:T418" si="479">+R416+S416</f>
        <v>1107.45</v>
      </c>
      <c r="U416" s="1091">
        <f t="shared" ref="U416:U418" si="480">+N416+O416-T416</f>
        <v>68892.55</v>
      </c>
      <c r="V416" s="1091">
        <f t="shared" si="445"/>
        <v>1.5820714285714286</v>
      </c>
      <c r="W416" s="1091"/>
      <c r="X416" s="1091">
        <f t="shared" ref="X416:X418" si="481">+T416+Q416</f>
        <v>1107.45</v>
      </c>
      <c r="Y416" s="1091">
        <f t="shared" ref="Y416:Y418" si="482">+U416-Q416</f>
        <v>68892.55</v>
      </c>
      <c r="Z416" s="1091">
        <f t="shared" ref="Z416:Z418" si="483">+T416+Q416+P416</f>
        <v>1107.45</v>
      </c>
      <c r="AA416" s="1091">
        <f t="shared" ref="AA416:AA418" si="484">+U416-Q416-P416</f>
        <v>68892.55</v>
      </c>
      <c r="AB416" s="1091">
        <f t="shared" ref="AB416:AB418" si="485">IFERROR(Z416*100/(N416+O416),0)</f>
        <v>1.5820714285714286</v>
      </c>
      <c r="AC416" s="5" t="s">
        <v>1454</v>
      </c>
      <c r="AD416" s="650">
        <f t="shared" si="444"/>
        <v>0</v>
      </c>
      <c r="AI416" s="1277">
        <f>VLOOKUP(K416,'[2]ผลการเบิกจ่ายสะสม พ.ย. 66'!$C:$N,12,0)</f>
        <v>0</v>
      </c>
      <c r="AJ416" s="1274">
        <f t="shared" si="446"/>
        <v>-1107.45</v>
      </c>
    </row>
    <row r="417" spans="1:36" s="5" customFormat="1" ht="21" customHeight="1" outlineLevel="1" x14ac:dyDescent="0.2">
      <c r="A417" s="33"/>
      <c r="B417" s="57"/>
      <c r="C417" s="27" t="s">
        <v>42</v>
      </c>
      <c r="D417" s="1111">
        <v>200000</v>
      </c>
      <c r="E417" s="1109">
        <v>122958.97</v>
      </c>
      <c r="F417" s="1109"/>
      <c r="G417" s="1109"/>
      <c r="H417" s="1109">
        <v>200000</v>
      </c>
      <c r="I417" s="1110">
        <v>250000</v>
      </c>
      <c r="J417" s="1110">
        <v>200000</v>
      </c>
      <c r="K417" s="1033"/>
      <c r="L417" s="1033"/>
      <c r="M417" s="1160">
        <v>150400</v>
      </c>
      <c r="N417" s="1160">
        <v>200000</v>
      </c>
      <c r="O417" s="1160"/>
      <c r="P417" s="1160"/>
      <c r="Q417" s="1160"/>
      <c r="R417" s="1160"/>
      <c r="S417" s="1283">
        <f>19.26</f>
        <v>19.260000000000002</v>
      </c>
      <c r="T417" s="1091">
        <f t="shared" si="479"/>
        <v>19.260000000000002</v>
      </c>
      <c r="U417" s="1091">
        <f t="shared" si="480"/>
        <v>199980.74</v>
      </c>
      <c r="V417" s="1091">
        <f t="shared" si="445"/>
        <v>9.6300000000000014E-3</v>
      </c>
      <c r="W417" s="1091"/>
      <c r="X417" s="1091">
        <f t="shared" si="481"/>
        <v>19.260000000000002</v>
      </c>
      <c r="Y417" s="1091">
        <f t="shared" si="482"/>
        <v>199980.74</v>
      </c>
      <c r="Z417" s="1091">
        <f t="shared" si="483"/>
        <v>19.260000000000002</v>
      </c>
      <c r="AA417" s="1091">
        <f t="shared" si="484"/>
        <v>199980.74</v>
      </c>
      <c r="AB417" s="1091">
        <f t="shared" si="485"/>
        <v>9.6300000000000014E-3</v>
      </c>
      <c r="AD417" s="650">
        <f t="shared" si="444"/>
        <v>0</v>
      </c>
      <c r="AI417" s="1277">
        <f>VLOOKUP(K417,'[2]ผลการเบิกจ่ายสะสม พ.ย. 66'!$C:$N,12,0)</f>
        <v>0</v>
      </c>
      <c r="AJ417" s="1274">
        <f t="shared" si="446"/>
        <v>-19.260000000000002</v>
      </c>
    </row>
    <row r="418" spans="1:36" s="112" customFormat="1" ht="21" customHeight="1" outlineLevel="1" x14ac:dyDescent="0.2">
      <c r="A418" s="104"/>
      <c r="B418" s="921"/>
      <c r="C418" s="920" t="s">
        <v>81</v>
      </c>
      <c r="D418" s="1146">
        <v>900000</v>
      </c>
      <c r="E418" s="1147">
        <v>877226.75</v>
      </c>
      <c r="F418" s="1147"/>
      <c r="G418" s="1147"/>
      <c r="H418" s="1147">
        <v>1031100</v>
      </c>
      <c r="I418" s="1110">
        <v>1500000</v>
      </c>
      <c r="J418" s="1152">
        <v>1031100</v>
      </c>
      <c r="K418" s="1043"/>
      <c r="L418" s="1043"/>
      <c r="M418" s="1164">
        <v>773600</v>
      </c>
      <c r="N418" s="1164">
        <v>1031100</v>
      </c>
      <c r="O418" s="1164"/>
      <c r="P418" s="1164"/>
      <c r="Q418" s="1164"/>
      <c r="R418" s="1164"/>
      <c r="S418" s="1288">
        <f>35633.48</f>
        <v>35633.480000000003</v>
      </c>
      <c r="T418" s="1091">
        <f t="shared" si="479"/>
        <v>35633.480000000003</v>
      </c>
      <c r="U418" s="1091">
        <f t="shared" si="480"/>
        <v>995466.52</v>
      </c>
      <c r="V418" s="1091">
        <f t="shared" si="445"/>
        <v>3.4558704296382508</v>
      </c>
      <c r="W418" s="1091"/>
      <c r="X418" s="1091">
        <f t="shared" si="481"/>
        <v>35633.480000000003</v>
      </c>
      <c r="Y418" s="1091">
        <f t="shared" si="482"/>
        <v>995466.52</v>
      </c>
      <c r="Z418" s="1091">
        <f t="shared" si="483"/>
        <v>35633.480000000003</v>
      </c>
      <c r="AA418" s="1091">
        <f t="shared" si="484"/>
        <v>995466.52</v>
      </c>
      <c r="AB418" s="1091">
        <f t="shared" si="485"/>
        <v>3.4558704296382508</v>
      </c>
      <c r="AD418" s="650">
        <f t="shared" si="444"/>
        <v>0</v>
      </c>
      <c r="AI418" s="1277">
        <f>VLOOKUP(K418,'[2]ผลการเบิกจ่ายสะสม พ.ย. 66'!$C:$N,12,0)</f>
        <v>0</v>
      </c>
      <c r="AJ418" s="1274">
        <f t="shared" si="446"/>
        <v>-35633.480000000003</v>
      </c>
    </row>
    <row r="419" spans="1:36" s="5" customFormat="1" ht="21" customHeight="1" outlineLevel="1" x14ac:dyDescent="0.2">
      <c r="A419" s="33"/>
      <c r="B419" s="72" t="s">
        <v>107</v>
      </c>
      <c r="C419" s="274"/>
      <c r="D419" s="1118">
        <f>SUM(D420:D422)</f>
        <v>9066000</v>
      </c>
      <c r="E419" s="1119">
        <f>SUM(E420:E422)</f>
        <v>3371258.8699999996</v>
      </c>
      <c r="F419" s="1119"/>
      <c r="G419" s="1119"/>
      <c r="H419" s="1119">
        <f>SUM(H420:H422)</f>
        <v>8009400</v>
      </c>
      <c r="I419" s="1106">
        <v>9500000</v>
      </c>
      <c r="J419" s="1106">
        <f>SUM(J420:J422)</f>
        <v>7531100</v>
      </c>
      <c r="K419" s="1040" t="s">
        <v>1371</v>
      </c>
      <c r="L419" s="1065" t="s">
        <v>1428</v>
      </c>
      <c r="M419" s="1105">
        <f t="shared" ref="M419:U419" si="486">SUM(M420:M422)</f>
        <v>5648700</v>
      </c>
      <c r="N419" s="1105">
        <f>SUM(N420:N422)</f>
        <v>7531100</v>
      </c>
      <c r="O419" s="1105">
        <f t="shared" si="486"/>
        <v>0</v>
      </c>
      <c r="P419" s="1105">
        <f t="shared" si="486"/>
        <v>0</v>
      </c>
      <c r="Q419" s="1105">
        <f t="shared" si="486"/>
        <v>0</v>
      </c>
      <c r="R419" s="1105">
        <f t="shared" si="486"/>
        <v>0</v>
      </c>
      <c r="S419" s="1105">
        <f t="shared" si="486"/>
        <v>381193.5</v>
      </c>
      <c r="T419" s="1105">
        <f t="shared" si="486"/>
        <v>381193.5</v>
      </c>
      <c r="U419" s="1105">
        <f t="shared" si="486"/>
        <v>7149906.5</v>
      </c>
      <c r="V419" s="1105">
        <f t="shared" si="445"/>
        <v>5.0615912682078319</v>
      </c>
      <c r="W419" s="1105">
        <f t="shared" ref="W419:AB419" si="487">SUM(W420:W422)</f>
        <v>0</v>
      </c>
      <c r="X419" s="1105">
        <f t="shared" si="487"/>
        <v>381193.5</v>
      </c>
      <c r="Y419" s="1105">
        <f t="shared" si="487"/>
        <v>7149906.5</v>
      </c>
      <c r="Z419" s="1105">
        <f t="shared" si="487"/>
        <v>381193.5</v>
      </c>
      <c r="AA419" s="1105">
        <f t="shared" si="487"/>
        <v>7149906.5</v>
      </c>
      <c r="AB419" s="1105">
        <f t="shared" si="487"/>
        <v>18.627148445186982</v>
      </c>
      <c r="AC419" s="314"/>
      <c r="AD419" s="650">
        <f t="shared" si="444"/>
        <v>0</v>
      </c>
      <c r="AI419" s="1277">
        <f>VLOOKUP(K419,'[2]ผลการเบิกจ่ายสะสม พ.ย. 66'!$C:$N,12,0)</f>
        <v>483919928.55000001</v>
      </c>
      <c r="AJ419" s="1274">
        <f t="shared" si="446"/>
        <v>483538735.05000001</v>
      </c>
    </row>
    <row r="420" spans="1:36" s="5" customFormat="1" ht="21" customHeight="1" outlineLevel="1" x14ac:dyDescent="0.2">
      <c r="A420" s="33"/>
      <c r="B420" s="57"/>
      <c r="C420" s="27" t="s">
        <v>80</v>
      </c>
      <c r="D420" s="1111">
        <v>816000</v>
      </c>
      <c r="E420" s="1109">
        <v>200951.43</v>
      </c>
      <c r="F420" s="1109"/>
      <c r="G420" s="1109"/>
      <c r="H420" s="1109">
        <v>700000</v>
      </c>
      <c r="I420" s="1110">
        <v>800000</v>
      </c>
      <c r="J420" s="1110">
        <v>658000</v>
      </c>
      <c r="K420" s="1033"/>
      <c r="L420" s="1033"/>
      <c r="M420" s="1160">
        <v>493600</v>
      </c>
      <c r="N420" s="1160">
        <v>658000</v>
      </c>
      <c r="O420" s="1160"/>
      <c r="P420" s="1160"/>
      <c r="Q420" s="1160"/>
      <c r="R420" s="1160"/>
      <c r="S420" s="1283">
        <f>4202.96</f>
        <v>4202.96</v>
      </c>
      <c r="T420" s="1091">
        <f t="shared" ref="T420:T422" si="488">+R420+S420</f>
        <v>4202.96</v>
      </c>
      <c r="U420" s="1091">
        <f t="shared" ref="U420:U422" si="489">+N420+O420-T420</f>
        <v>653797.04</v>
      </c>
      <c r="V420" s="1091">
        <f t="shared" si="445"/>
        <v>0.63874772036474159</v>
      </c>
      <c r="W420" s="1091"/>
      <c r="X420" s="1091">
        <f t="shared" ref="X420:X422" si="490">+T420+Q420</f>
        <v>4202.96</v>
      </c>
      <c r="Y420" s="1091">
        <f t="shared" ref="Y420:Y422" si="491">+U420-Q420</f>
        <v>653797.04</v>
      </c>
      <c r="Z420" s="1091">
        <f t="shared" ref="Z420:Z422" si="492">+T420+Q420+P420</f>
        <v>4202.96</v>
      </c>
      <c r="AA420" s="1091">
        <f t="shared" ref="AA420:AA422" si="493">+U420-Q420-P420</f>
        <v>653797.04</v>
      </c>
      <c r="AB420" s="1091">
        <f t="shared" ref="AB420:AB422" si="494">IFERROR(Z420*100/(N420+O420),0)</f>
        <v>0.63874772036474159</v>
      </c>
      <c r="AD420" s="650">
        <f t="shared" si="444"/>
        <v>0</v>
      </c>
      <c r="AI420" s="1277">
        <f>VLOOKUP(K420,'[2]ผลการเบิกจ่ายสะสม พ.ย. 66'!$C:$N,12,0)</f>
        <v>0</v>
      </c>
      <c r="AJ420" s="1274">
        <f t="shared" si="446"/>
        <v>-4202.96</v>
      </c>
    </row>
    <row r="421" spans="1:36" s="5" customFormat="1" ht="21" customHeight="1" outlineLevel="1" x14ac:dyDescent="0.2">
      <c r="A421" s="33"/>
      <c r="B421" s="57"/>
      <c r="C421" s="27" t="s">
        <v>42</v>
      </c>
      <c r="D421" s="1111">
        <v>350000</v>
      </c>
      <c r="E421" s="1109">
        <v>201691.39</v>
      </c>
      <c r="F421" s="1109"/>
      <c r="G421" s="1109"/>
      <c r="H421" s="1109">
        <v>300000</v>
      </c>
      <c r="I421" s="1110">
        <v>700000</v>
      </c>
      <c r="J421" s="1110">
        <v>282000</v>
      </c>
      <c r="K421" s="1033"/>
      <c r="L421" s="1033"/>
      <c r="M421" s="1160">
        <v>211600</v>
      </c>
      <c r="N421" s="1160">
        <v>282000</v>
      </c>
      <c r="O421" s="1160"/>
      <c r="P421" s="1160"/>
      <c r="Q421" s="1160"/>
      <c r="R421" s="1160"/>
      <c r="S421" s="1283">
        <f>36144.19</f>
        <v>36144.19</v>
      </c>
      <c r="T421" s="1091">
        <f t="shared" si="488"/>
        <v>36144.19</v>
      </c>
      <c r="U421" s="1091">
        <f t="shared" si="489"/>
        <v>245855.81</v>
      </c>
      <c r="V421" s="1091">
        <f t="shared" si="445"/>
        <v>12.817088652482269</v>
      </c>
      <c r="W421" s="1091"/>
      <c r="X421" s="1091">
        <f t="shared" si="490"/>
        <v>36144.19</v>
      </c>
      <c r="Y421" s="1091">
        <f t="shared" si="491"/>
        <v>245855.81</v>
      </c>
      <c r="Z421" s="1091">
        <f t="shared" si="492"/>
        <v>36144.19</v>
      </c>
      <c r="AA421" s="1091">
        <f t="shared" si="493"/>
        <v>245855.81</v>
      </c>
      <c r="AB421" s="1091">
        <f t="shared" si="494"/>
        <v>12.817088652482269</v>
      </c>
      <c r="AD421" s="650">
        <f t="shared" si="444"/>
        <v>0</v>
      </c>
      <c r="AI421" s="1277">
        <f>VLOOKUP(K421,'[2]ผลการเบิกจ่ายสะสม พ.ย. 66'!$C:$N,12,0)</f>
        <v>0</v>
      </c>
      <c r="AJ421" s="1274">
        <f t="shared" si="446"/>
        <v>-36144.19</v>
      </c>
    </row>
    <row r="422" spans="1:36" s="112" customFormat="1" ht="21" customHeight="1" outlineLevel="1" x14ac:dyDescent="0.2">
      <c r="A422" s="33"/>
      <c r="B422" s="57"/>
      <c r="C422" s="27" t="s">
        <v>81</v>
      </c>
      <c r="D422" s="1111">
        <v>7900000</v>
      </c>
      <c r="E422" s="1109">
        <v>2968616.05</v>
      </c>
      <c r="F422" s="1109"/>
      <c r="G422" s="1109"/>
      <c r="H422" s="1109">
        <v>7009400</v>
      </c>
      <c r="I422" s="1110">
        <v>8000000</v>
      </c>
      <c r="J422" s="1110">
        <v>6591100</v>
      </c>
      <c r="K422" s="1033"/>
      <c r="L422" s="1033"/>
      <c r="M422" s="1160">
        <v>4943500</v>
      </c>
      <c r="N422" s="1160">
        <v>6591100</v>
      </c>
      <c r="O422" s="1160"/>
      <c r="P422" s="1160"/>
      <c r="Q422" s="1160"/>
      <c r="R422" s="1160"/>
      <c r="S422" s="1283">
        <f>340846.35</f>
        <v>340846.35</v>
      </c>
      <c r="T422" s="1091">
        <f t="shared" si="488"/>
        <v>340846.35</v>
      </c>
      <c r="U422" s="1091">
        <f t="shared" si="489"/>
        <v>6250253.6500000004</v>
      </c>
      <c r="V422" s="1091">
        <f t="shared" si="445"/>
        <v>5.1713120723399735</v>
      </c>
      <c r="W422" s="1091"/>
      <c r="X422" s="1091">
        <f t="shared" si="490"/>
        <v>340846.35</v>
      </c>
      <c r="Y422" s="1091">
        <f t="shared" si="491"/>
        <v>6250253.6500000004</v>
      </c>
      <c r="Z422" s="1091">
        <f t="shared" si="492"/>
        <v>340846.35</v>
      </c>
      <c r="AA422" s="1091">
        <f t="shared" si="493"/>
        <v>6250253.6500000004</v>
      </c>
      <c r="AB422" s="1091">
        <f t="shared" si="494"/>
        <v>5.1713120723399735</v>
      </c>
      <c r="AD422" s="650">
        <f t="shared" si="444"/>
        <v>0</v>
      </c>
      <c r="AI422" s="1277">
        <f>VLOOKUP(K422,'[2]ผลการเบิกจ่ายสะสม พ.ย. 66'!$C:$N,12,0)</f>
        <v>0</v>
      </c>
      <c r="AJ422" s="1274">
        <f t="shared" si="446"/>
        <v>-340846.35</v>
      </c>
    </row>
    <row r="423" spans="1:36" s="5" customFormat="1" ht="21" customHeight="1" outlineLevel="1" x14ac:dyDescent="0.2">
      <c r="A423" s="33"/>
      <c r="B423" s="72" t="s">
        <v>108</v>
      </c>
      <c r="C423" s="274"/>
      <c r="D423" s="1118">
        <f>SUM(D424:D426)</f>
        <v>15110000</v>
      </c>
      <c r="E423" s="1119">
        <f>SUM(E424:E426)</f>
        <v>26622402.879999999</v>
      </c>
      <c r="F423" s="1119"/>
      <c r="G423" s="1119"/>
      <c r="H423" s="1119">
        <f>SUM(H424:H426)</f>
        <v>12997500</v>
      </c>
      <c r="I423" s="1106">
        <v>26750000</v>
      </c>
      <c r="J423" s="1106">
        <f>SUM(J424:J426)</f>
        <v>18371800</v>
      </c>
      <c r="K423" s="1040" t="s">
        <v>1371</v>
      </c>
      <c r="L423" s="1065" t="s">
        <v>1428</v>
      </c>
      <c r="M423" s="1105">
        <f t="shared" ref="M423:U423" si="495">SUM(M424:M426)</f>
        <v>13779600</v>
      </c>
      <c r="N423" s="1105">
        <f>SUM(N424:N426)</f>
        <v>18371800</v>
      </c>
      <c r="O423" s="1105">
        <f t="shared" si="495"/>
        <v>0</v>
      </c>
      <c r="P423" s="1105">
        <f t="shared" si="495"/>
        <v>0</v>
      </c>
      <c r="Q423" s="1105">
        <f t="shared" si="495"/>
        <v>0</v>
      </c>
      <c r="R423" s="1105">
        <f t="shared" si="495"/>
        <v>0</v>
      </c>
      <c r="S423" s="1105">
        <f t="shared" si="495"/>
        <v>2949657.9</v>
      </c>
      <c r="T423" s="1105">
        <f t="shared" si="495"/>
        <v>2949657.9</v>
      </c>
      <c r="U423" s="1105">
        <f t="shared" si="495"/>
        <v>15422142.1</v>
      </c>
      <c r="V423" s="1105">
        <f t="shared" si="445"/>
        <v>16.055356034792453</v>
      </c>
      <c r="W423" s="1105">
        <f t="shared" ref="W423:AB423" si="496">SUM(W424:W426)</f>
        <v>0</v>
      </c>
      <c r="X423" s="1105">
        <f t="shared" si="496"/>
        <v>2949657.9</v>
      </c>
      <c r="Y423" s="1105">
        <f t="shared" si="496"/>
        <v>15422142.1</v>
      </c>
      <c r="Z423" s="1105">
        <f t="shared" si="496"/>
        <v>2949657.9</v>
      </c>
      <c r="AA423" s="1105">
        <f t="shared" si="496"/>
        <v>15422142.1</v>
      </c>
      <c r="AB423" s="1105">
        <f t="shared" si="496"/>
        <v>43.913150072989495</v>
      </c>
      <c r="AD423" s="650">
        <f t="shared" si="444"/>
        <v>0</v>
      </c>
      <c r="AI423" s="1277">
        <f>VLOOKUP(K423,'[2]ผลการเบิกจ่ายสะสม พ.ย. 66'!$C:$N,12,0)</f>
        <v>483919928.55000001</v>
      </c>
      <c r="AJ423" s="1274">
        <f t="shared" si="446"/>
        <v>480970270.65000004</v>
      </c>
    </row>
    <row r="424" spans="1:36" s="5" customFormat="1" ht="21" customHeight="1" outlineLevel="1" x14ac:dyDescent="0.2">
      <c r="A424" s="33"/>
      <c r="B424" s="57"/>
      <c r="C424" s="27" t="s">
        <v>80</v>
      </c>
      <c r="D424" s="1111">
        <v>100000</v>
      </c>
      <c r="E424" s="1109">
        <v>96265</v>
      </c>
      <c r="F424" s="1109"/>
      <c r="G424" s="1109"/>
      <c r="H424" s="1109">
        <v>86000</v>
      </c>
      <c r="I424" s="1110">
        <v>100000</v>
      </c>
      <c r="J424" s="1110">
        <v>100000</v>
      </c>
      <c r="K424" s="1033"/>
      <c r="L424" s="1033"/>
      <c r="M424" s="1160">
        <v>75200</v>
      </c>
      <c r="N424" s="1160">
        <v>100000</v>
      </c>
      <c r="O424" s="1160"/>
      <c r="P424" s="1160"/>
      <c r="Q424" s="1160"/>
      <c r="R424" s="1160"/>
      <c r="S424" s="1283">
        <f>21110</f>
        <v>21110</v>
      </c>
      <c r="T424" s="1091">
        <f t="shared" ref="T424:T426" si="497">+R424+S424</f>
        <v>21110</v>
      </c>
      <c r="U424" s="1091">
        <f t="shared" ref="U424:U426" si="498">+N424+O424-T424</f>
        <v>78890</v>
      </c>
      <c r="V424" s="1091">
        <f t="shared" si="445"/>
        <v>21.11</v>
      </c>
      <c r="W424" s="1091"/>
      <c r="X424" s="1091">
        <f t="shared" ref="X424:X426" si="499">+T424+Q424</f>
        <v>21110</v>
      </c>
      <c r="Y424" s="1091">
        <f t="shared" ref="Y424:Y426" si="500">+U424-Q424</f>
        <v>78890</v>
      </c>
      <c r="Z424" s="1091">
        <f t="shared" ref="Z424:Z426" si="501">+T424+Q424+P424</f>
        <v>21110</v>
      </c>
      <c r="AA424" s="1091">
        <f t="shared" ref="AA424:AA426" si="502">+U424-Q424-P424</f>
        <v>78890</v>
      </c>
      <c r="AB424" s="1091">
        <f t="shared" ref="AB424:AB426" si="503">IFERROR(Z424*100/(N424+O424),0)</f>
        <v>21.11</v>
      </c>
      <c r="AD424" s="650">
        <f t="shared" si="444"/>
        <v>0</v>
      </c>
      <c r="AI424" s="1277">
        <f>VLOOKUP(K424,'[2]ผลการเบิกจ่ายสะสม พ.ย. 66'!$C:$N,12,0)</f>
        <v>0</v>
      </c>
      <c r="AJ424" s="1274">
        <f t="shared" si="446"/>
        <v>-21110</v>
      </c>
    </row>
    <row r="425" spans="1:36" s="5" customFormat="1" ht="21" customHeight="1" outlineLevel="1" x14ac:dyDescent="0.2">
      <c r="A425" s="33"/>
      <c r="B425" s="57"/>
      <c r="C425" s="27" t="s">
        <v>42</v>
      </c>
      <c r="D425" s="1111">
        <v>10000</v>
      </c>
      <c r="E425" s="1109">
        <v>10000</v>
      </c>
      <c r="F425" s="1109"/>
      <c r="G425" s="1109"/>
      <c r="H425" s="1109">
        <v>8600</v>
      </c>
      <c r="I425" s="1110">
        <v>50000</v>
      </c>
      <c r="J425" s="1110">
        <v>50000</v>
      </c>
      <c r="K425" s="1033"/>
      <c r="L425" s="1033"/>
      <c r="M425" s="1160">
        <v>37600</v>
      </c>
      <c r="N425" s="1160">
        <v>50000</v>
      </c>
      <c r="O425" s="1160"/>
      <c r="P425" s="1160"/>
      <c r="Q425" s="1160"/>
      <c r="R425" s="1160"/>
      <c r="S425" s="1283">
        <f>3375</f>
        <v>3375</v>
      </c>
      <c r="T425" s="1091">
        <f t="shared" si="497"/>
        <v>3375</v>
      </c>
      <c r="U425" s="1091">
        <f t="shared" si="498"/>
        <v>46625</v>
      </c>
      <c r="V425" s="1091">
        <f t="shared" si="445"/>
        <v>6.75</v>
      </c>
      <c r="W425" s="1091"/>
      <c r="X425" s="1091">
        <f t="shared" si="499"/>
        <v>3375</v>
      </c>
      <c r="Y425" s="1091">
        <f t="shared" si="500"/>
        <v>46625</v>
      </c>
      <c r="Z425" s="1091">
        <f t="shared" si="501"/>
        <v>3375</v>
      </c>
      <c r="AA425" s="1091">
        <f t="shared" si="502"/>
        <v>46625</v>
      </c>
      <c r="AB425" s="1091">
        <f t="shared" si="503"/>
        <v>6.75</v>
      </c>
      <c r="AD425" s="650">
        <f t="shared" si="444"/>
        <v>0</v>
      </c>
      <c r="AI425" s="1277">
        <f>VLOOKUP(K425,'[2]ผลการเบิกจ่ายสะสม พ.ย. 66'!$C:$N,12,0)</f>
        <v>0</v>
      </c>
      <c r="AJ425" s="1274">
        <f t="shared" si="446"/>
        <v>-3375</v>
      </c>
    </row>
    <row r="426" spans="1:36" s="112" customFormat="1" ht="21" customHeight="1" outlineLevel="1" x14ac:dyDescent="0.2">
      <c r="A426" s="33"/>
      <c r="B426" s="57"/>
      <c r="C426" s="27" t="s">
        <v>81</v>
      </c>
      <c r="D426" s="1111">
        <v>15000000</v>
      </c>
      <c r="E426" s="1109">
        <f>23243182.88+3272955</f>
        <v>26516137.879999999</v>
      </c>
      <c r="F426" s="1109"/>
      <c r="G426" s="1109"/>
      <c r="H426" s="1109">
        <v>12902900</v>
      </c>
      <c r="I426" s="1110">
        <v>26600000</v>
      </c>
      <c r="J426" s="1110">
        <v>18221800</v>
      </c>
      <c r="K426" s="1033"/>
      <c r="L426" s="1033"/>
      <c r="M426" s="1160">
        <v>13666800</v>
      </c>
      <c r="N426" s="1160">
        <v>18221800</v>
      </c>
      <c r="O426" s="1160"/>
      <c r="P426" s="1160"/>
      <c r="Q426" s="1160"/>
      <c r="R426" s="1160"/>
      <c r="S426" s="1283">
        <f>2925172.9</f>
        <v>2925172.9</v>
      </c>
      <c r="T426" s="1091">
        <f t="shared" si="497"/>
        <v>2925172.9</v>
      </c>
      <c r="U426" s="1091">
        <f t="shared" si="498"/>
        <v>15296627.1</v>
      </c>
      <c r="V426" s="1091">
        <f t="shared" si="445"/>
        <v>16.053150072989496</v>
      </c>
      <c r="W426" s="1091"/>
      <c r="X426" s="1091">
        <f t="shared" si="499"/>
        <v>2925172.9</v>
      </c>
      <c r="Y426" s="1091">
        <f t="shared" si="500"/>
        <v>15296627.1</v>
      </c>
      <c r="Z426" s="1091">
        <f t="shared" si="501"/>
        <v>2925172.9</v>
      </c>
      <c r="AA426" s="1091">
        <f t="shared" si="502"/>
        <v>15296627.1</v>
      </c>
      <c r="AB426" s="1091">
        <f t="shared" si="503"/>
        <v>16.053150072989496</v>
      </c>
      <c r="AD426" s="650">
        <f t="shared" si="444"/>
        <v>0</v>
      </c>
      <c r="AI426" s="1277">
        <f>VLOOKUP(K426,'[2]ผลการเบิกจ่ายสะสม พ.ย. 66'!$C:$N,12,0)</f>
        <v>0</v>
      </c>
      <c r="AJ426" s="1274">
        <f t="shared" si="446"/>
        <v>-2925172.9</v>
      </c>
    </row>
    <row r="427" spans="1:36" s="5" customFormat="1" ht="21" customHeight="1" outlineLevel="1" x14ac:dyDescent="0.2">
      <c r="A427" s="33"/>
      <c r="B427" s="72" t="s">
        <v>109</v>
      </c>
      <c r="C427" s="274"/>
      <c r="D427" s="1118">
        <f>SUM(D428:D429)</f>
        <v>5500000</v>
      </c>
      <c r="E427" s="1158">
        <f>SUM(E428:E429)</f>
        <v>6455001.0199999996</v>
      </c>
      <c r="F427" s="1158"/>
      <c r="G427" s="1158"/>
      <c r="H427" s="1158">
        <f>SUM(H428:H429)</f>
        <v>5500000</v>
      </c>
      <c r="I427" s="1159">
        <v>11140000</v>
      </c>
      <c r="J427" s="1159">
        <f>SUM(J428:J429)</f>
        <v>5500000</v>
      </c>
      <c r="K427" s="1040" t="s">
        <v>1371</v>
      </c>
      <c r="L427" s="1065" t="s">
        <v>1428</v>
      </c>
      <c r="M427" s="1118">
        <f t="shared" ref="M427:U427" si="504">SUM(M428:M429)</f>
        <v>2750400</v>
      </c>
      <c r="N427" s="1118">
        <f>SUM(N428:N429)</f>
        <v>5500000</v>
      </c>
      <c r="O427" s="1118">
        <f t="shared" si="504"/>
        <v>100000</v>
      </c>
      <c r="P427" s="1118">
        <f t="shared" si="504"/>
        <v>0</v>
      </c>
      <c r="Q427" s="1118">
        <f t="shared" si="504"/>
        <v>880164.88</v>
      </c>
      <c r="R427" s="1118">
        <f t="shared" si="504"/>
        <v>0</v>
      </c>
      <c r="S427" s="1118">
        <f t="shared" si="504"/>
        <v>21357.200000000012</v>
      </c>
      <c r="T427" s="1118">
        <f t="shared" si="504"/>
        <v>21357.200000000012</v>
      </c>
      <c r="U427" s="1118">
        <f t="shared" si="504"/>
        <v>5578642.7999999998</v>
      </c>
      <c r="V427" s="1118">
        <f t="shared" si="445"/>
        <v>0.38137857142857162</v>
      </c>
      <c r="W427" s="1118">
        <f t="shared" ref="W427:AB427" si="505">SUM(W428:W429)</f>
        <v>0</v>
      </c>
      <c r="X427" s="1118">
        <f t="shared" si="505"/>
        <v>901522.08000000007</v>
      </c>
      <c r="Y427" s="1118">
        <f t="shared" si="505"/>
        <v>4698477.92</v>
      </c>
      <c r="Z427" s="1118">
        <f t="shared" si="505"/>
        <v>901522.08000000007</v>
      </c>
      <c r="AA427" s="1118">
        <f t="shared" si="505"/>
        <v>4698477.92</v>
      </c>
      <c r="AB427" s="1118">
        <f t="shared" si="505"/>
        <v>18.0304416</v>
      </c>
      <c r="AD427" s="650">
        <f t="shared" si="444"/>
        <v>0</v>
      </c>
      <c r="AI427" s="1277">
        <f>VLOOKUP(K427,'[2]ผลการเบิกจ่ายสะสม พ.ย. 66'!$C:$N,12,0)</f>
        <v>483919928.55000001</v>
      </c>
      <c r="AJ427" s="1274">
        <f t="shared" si="446"/>
        <v>483898571.35000002</v>
      </c>
    </row>
    <row r="428" spans="1:36" ht="21" customHeight="1" outlineLevel="1" x14ac:dyDescent="0.35">
      <c r="A428" s="33"/>
      <c r="B428" s="57"/>
      <c r="C428" s="27" t="s">
        <v>80</v>
      </c>
      <c r="D428" s="1090">
        <v>500000</v>
      </c>
      <c r="E428" s="1108">
        <f>524627.34+200886.08</f>
        <v>725513.41999999993</v>
      </c>
      <c r="F428" s="1108"/>
      <c r="G428" s="1108"/>
      <c r="H428" s="1108">
        <v>500000</v>
      </c>
      <c r="I428" s="1092">
        <v>730000</v>
      </c>
      <c r="J428" s="1092">
        <v>500000</v>
      </c>
      <c r="K428" s="1032"/>
      <c r="L428" s="1032"/>
      <c r="M428" s="1091">
        <v>250200</v>
      </c>
      <c r="N428" s="1091">
        <v>500000</v>
      </c>
      <c r="O428" s="1091">
        <v>100000</v>
      </c>
      <c r="P428" s="1091"/>
      <c r="Q428" s="1091"/>
      <c r="R428" s="1091"/>
      <c r="S428" s="1091"/>
      <c r="T428" s="1091">
        <f t="shared" ref="T428:T429" si="506">+R428+S428</f>
        <v>0</v>
      </c>
      <c r="U428" s="1091">
        <f t="shared" ref="U428:U429" si="507">+N428+O428-T428</f>
        <v>600000</v>
      </c>
      <c r="V428" s="1091">
        <f t="shared" si="445"/>
        <v>0</v>
      </c>
      <c r="W428" s="1091"/>
      <c r="X428" s="1091">
        <f t="shared" ref="X428:X429" si="508">+T428+Q428</f>
        <v>0</v>
      </c>
      <c r="Y428" s="1091">
        <f t="shared" ref="Y428:Y429" si="509">+U428-Q428</f>
        <v>600000</v>
      </c>
      <c r="Z428" s="1091">
        <f t="shared" ref="Z428:Z429" si="510">+T428+Q428+P428</f>
        <v>0</v>
      </c>
      <c r="AA428" s="1091">
        <f t="shared" ref="AA428:AA429" si="511">+U428-Q428-P428</f>
        <v>600000</v>
      </c>
      <c r="AB428" s="1091">
        <f t="shared" ref="AB428:AB429" si="512">IFERROR(Z428*100/(N428+O428),0)</f>
        <v>0</v>
      </c>
      <c r="AC428" s="3" t="s">
        <v>1454</v>
      </c>
      <c r="AD428" s="650">
        <f t="shared" si="444"/>
        <v>0</v>
      </c>
      <c r="AI428" s="1277">
        <f>VLOOKUP(K428,'[2]ผลการเบิกจ่ายสะสม พ.ย. 66'!$C:$N,12,0)</f>
        <v>0</v>
      </c>
      <c r="AJ428" s="1274">
        <f t="shared" si="446"/>
        <v>0</v>
      </c>
    </row>
    <row r="429" spans="1:36" s="111" customFormat="1" ht="21" customHeight="1" outlineLevel="1" x14ac:dyDescent="0.2">
      <c r="A429" s="33"/>
      <c r="B429" s="57"/>
      <c r="C429" s="27" t="s">
        <v>81</v>
      </c>
      <c r="D429" s="1111">
        <v>5000000</v>
      </c>
      <c r="E429" s="1109">
        <v>5729487.5999999996</v>
      </c>
      <c r="F429" s="1109"/>
      <c r="G429" s="1109"/>
      <c r="H429" s="1109">
        <v>5000000</v>
      </c>
      <c r="I429" s="1110">
        <v>10410000</v>
      </c>
      <c r="J429" s="1110">
        <v>5000000</v>
      </c>
      <c r="K429" s="1033"/>
      <c r="L429" s="1033"/>
      <c r="M429" s="1160">
        <v>2500200</v>
      </c>
      <c r="N429" s="1160">
        <v>5000000</v>
      </c>
      <c r="O429" s="1160"/>
      <c r="P429" s="1160"/>
      <c r="Q429" s="1267">
        <v>880164.88</v>
      </c>
      <c r="R429" s="1160"/>
      <c r="S429" s="1283">
        <f>335839.83-314482.63</f>
        <v>21357.200000000012</v>
      </c>
      <c r="T429" s="1091">
        <f t="shared" si="506"/>
        <v>21357.200000000012</v>
      </c>
      <c r="U429" s="1091">
        <f t="shared" si="507"/>
        <v>4978642.8</v>
      </c>
      <c r="V429" s="1091">
        <f t="shared" si="445"/>
        <v>0.42714400000000019</v>
      </c>
      <c r="W429" s="1091"/>
      <c r="X429" s="1091">
        <f t="shared" si="508"/>
        <v>901522.08000000007</v>
      </c>
      <c r="Y429" s="1091">
        <f t="shared" si="509"/>
        <v>4098477.92</v>
      </c>
      <c r="Z429" s="1091">
        <f t="shared" si="510"/>
        <v>901522.08000000007</v>
      </c>
      <c r="AA429" s="1091">
        <f t="shared" si="511"/>
        <v>4098477.92</v>
      </c>
      <c r="AB429" s="1091">
        <f t="shared" si="512"/>
        <v>18.0304416</v>
      </c>
      <c r="AD429" s="650">
        <f t="shared" si="444"/>
        <v>0</v>
      </c>
      <c r="AI429" s="1277">
        <f>VLOOKUP(K429,'[2]ผลการเบิกจ่ายสะสม พ.ย. 66'!$C:$N,12,0)</f>
        <v>0</v>
      </c>
      <c r="AJ429" s="1274">
        <f t="shared" si="446"/>
        <v>-21357.200000000012</v>
      </c>
    </row>
    <row r="430" spans="1:36" x14ac:dyDescent="0.35">
      <c r="A430" s="20" t="s">
        <v>173</v>
      </c>
      <c r="B430" s="21"/>
      <c r="C430" s="21"/>
      <c r="D430" s="1087">
        <f>SUM(D431)</f>
        <v>74924900</v>
      </c>
      <c r="E430" s="1088">
        <f>SUM(E431)</f>
        <v>74924900</v>
      </c>
      <c r="F430" s="1088"/>
      <c r="G430" s="1088"/>
      <c r="H430" s="1088">
        <v>62780200</v>
      </c>
      <c r="I430" s="1089">
        <v>104536400</v>
      </c>
      <c r="J430" s="1089">
        <f>SUM(J431)</f>
        <v>57171200</v>
      </c>
      <c r="K430" s="1028"/>
      <c r="L430" s="1028"/>
      <c r="M430" s="1088">
        <f t="shared" ref="M430:AB430" si="513">SUM(M431)</f>
        <v>38114200</v>
      </c>
      <c r="N430" s="1088">
        <f>SUM(N431)</f>
        <v>38114200</v>
      </c>
      <c r="O430" s="1088">
        <f t="shared" si="513"/>
        <v>0</v>
      </c>
      <c r="P430" s="1088">
        <f t="shared" si="513"/>
        <v>0</v>
      </c>
      <c r="Q430" s="1088">
        <f t="shared" si="513"/>
        <v>0</v>
      </c>
      <c r="R430" s="1088">
        <f t="shared" si="513"/>
        <v>38114200</v>
      </c>
      <c r="S430" s="1088">
        <f t="shared" si="513"/>
        <v>0</v>
      </c>
      <c r="T430" s="1088">
        <f t="shared" si="513"/>
        <v>38114200</v>
      </c>
      <c r="U430" s="1088">
        <f t="shared" si="513"/>
        <v>0</v>
      </c>
      <c r="V430" s="1088">
        <f t="shared" si="445"/>
        <v>100</v>
      </c>
      <c r="W430" s="1088">
        <f t="shared" si="513"/>
        <v>0</v>
      </c>
      <c r="X430" s="1088">
        <f t="shared" si="513"/>
        <v>38114200</v>
      </c>
      <c r="Y430" s="1088">
        <f t="shared" si="513"/>
        <v>0</v>
      </c>
      <c r="Z430" s="1088">
        <f t="shared" si="513"/>
        <v>38114200</v>
      </c>
      <c r="AA430" s="1088">
        <f t="shared" si="513"/>
        <v>0</v>
      </c>
      <c r="AB430" s="1088">
        <f t="shared" si="513"/>
        <v>100</v>
      </c>
      <c r="AD430" s="650">
        <f t="shared" si="444"/>
        <v>0</v>
      </c>
      <c r="AI430" s="1277">
        <f>VLOOKUP(K430,'[2]ผลการเบิกจ่ายสะสม พ.ย. 66'!$C:$N,12,0)</f>
        <v>0</v>
      </c>
      <c r="AJ430" s="1274">
        <f t="shared" si="446"/>
        <v>0</v>
      </c>
    </row>
    <row r="431" spans="1:36" x14ac:dyDescent="0.35">
      <c r="A431" s="134"/>
      <c r="B431" s="72" t="s">
        <v>201</v>
      </c>
      <c r="C431" s="274"/>
      <c r="D431" s="1090">
        <v>74924900</v>
      </c>
      <c r="E431" s="1091">
        <v>74924900</v>
      </c>
      <c r="F431" s="1091"/>
      <c r="G431" s="1091"/>
      <c r="H431" s="1091">
        <v>62780200</v>
      </c>
      <c r="I431" s="1092">
        <v>104536400</v>
      </c>
      <c r="J431" s="1092">
        <v>57171200</v>
      </c>
      <c r="K431" s="1040" t="s">
        <v>1372</v>
      </c>
      <c r="L431" s="1029" t="s">
        <v>1428</v>
      </c>
      <c r="M431" s="1091">
        <v>38114200</v>
      </c>
      <c r="N431" s="1091">
        <v>38114200</v>
      </c>
      <c r="O431" s="1091"/>
      <c r="P431" s="1091"/>
      <c r="Q431" s="1091"/>
      <c r="R431" s="1267">
        <f>38114200</f>
        <v>38114200</v>
      </c>
      <c r="S431" s="1091"/>
      <c r="T431" s="1091">
        <f t="shared" ref="T431" si="514">+R431+S431</f>
        <v>38114200</v>
      </c>
      <c r="U431" s="1091">
        <f t="shared" ref="U431" si="515">+N431+O431-T431</f>
        <v>0</v>
      </c>
      <c r="V431" s="1091">
        <f t="shared" si="445"/>
        <v>100</v>
      </c>
      <c r="W431" s="1091"/>
      <c r="X431" s="1091">
        <f t="shared" ref="X431" si="516">+T431+Q431</f>
        <v>38114200</v>
      </c>
      <c r="Y431" s="1091">
        <f t="shared" ref="Y431" si="517">+U431-Q431</f>
        <v>0</v>
      </c>
      <c r="Z431" s="1091">
        <f t="shared" ref="Z431" si="518">+T431+Q431+P431</f>
        <v>38114200</v>
      </c>
      <c r="AA431" s="1091">
        <f t="shared" ref="AA431" si="519">+U431-Q431-P431</f>
        <v>0</v>
      </c>
      <c r="AB431" s="1091">
        <f t="shared" ref="AB431" si="520">IFERROR(Z431*100/(N431+O431),0)</f>
        <v>100</v>
      </c>
      <c r="AD431" s="650">
        <f t="shared" si="444"/>
        <v>0</v>
      </c>
      <c r="AI431" s="1277">
        <f>VLOOKUP(K431,'[2]ผลการเบิกจ่ายสะสม พ.ย. 66'!$C:$N,12,0)</f>
        <v>0</v>
      </c>
      <c r="AJ431" s="1274">
        <f t="shared" si="446"/>
        <v>0</v>
      </c>
    </row>
    <row r="432" spans="1:36" x14ac:dyDescent="0.35">
      <c r="A432" s="20" t="s">
        <v>174</v>
      </c>
      <c r="B432" s="21"/>
      <c r="C432" s="21"/>
      <c r="D432" s="1087">
        <f>SUM(D433+D445+D451+D452+D453+D454+D455+D457)</f>
        <v>128178800</v>
      </c>
      <c r="E432" s="1088">
        <f>SUM(E433,E445,E451,E452,E453,E454,E455,E457,E458)</f>
        <v>43748407.700000003</v>
      </c>
      <c r="F432" s="1088"/>
      <c r="G432" s="1088"/>
      <c r="H432" s="1088">
        <f>SUM(H433,H445,H451,H452,H453,H454,H455,H457,H458)</f>
        <v>85347300</v>
      </c>
      <c r="I432" s="1089">
        <v>182170900</v>
      </c>
      <c r="J432" s="1089">
        <f>SUM(J433,J445,J451,J452,J453,J454,J455,J457,J458)</f>
        <v>85056200</v>
      </c>
      <c r="K432" s="1028"/>
      <c r="L432" s="1028"/>
      <c r="M432" s="1088">
        <f t="shared" ref="M432:U432" si="521">SUM(M433,M445,M451,M452,M453,M454,M455,M457,M458)</f>
        <v>31756700</v>
      </c>
      <c r="N432" s="1088">
        <f>SUM(N433,N445,N451,N452,N453,N454,N455,N457,N458)</f>
        <v>54190700</v>
      </c>
      <c r="O432" s="1088">
        <f t="shared" si="521"/>
        <v>0</v>
      </c>
      <c r="P432" s="1088">
        <f t="shared" si="521"/>
        <v>0</v>
      </c>
      <c r="Q432" s="1088">
        <f t="shared" si="521"/>
        <v>99900</v>
      </c>
      <c r="R432" s="1088">
        <f t="shared" si="521"/>
        <v>0</v>
      </c>
      <c r="S432" s="1088">
        <f t="shared" si="521"/>
        <v>3092242.48</v>
      </c>
      <c r="T432" s="1088">
        <f t="shared" si="521"/>
        <v>3092242.48</v>
      </c>
      <c r="U432" s="1088">
        <f t="shared" si="521"/>
        <v>51098457.519999996</v>
      </c>
      <c r="V432" s="1088">
        <f t="shared" si="445"/>
        <v>5.7062235402015471</v>
      </c>
      <c r="W432" s="1088">
        <f t="shared" ref="W432:AB432" si="522">SUM(W433,W445,W451,W452,W453,W454,W455,W457,W458)</f>
        <v>0</v>
      </c>
      <c r="X432" s="1088">
        <f t="shared" si="522"/>
        <v>3092242.48</v>
      </c>
      <c r="Y432" s="1088">
        <f t="shared" si="522"/>
        <v>51098457.519999996</v>
      </c>
      <c r="Z432" s="1088">
        <f t="shared" si="522"/>
        <v>3092242.48</v>
      </c>
      <c r="AA432" s="1088">
        <f t="shared" si="522"/>
        <v>51098457.519999996</v>
      </c>
      <c r="AB432" s="1088">
        <f t="shared" si="522"/>
        <v>43.445606550909872</v>
      </c>
      <c r="AD432" s="650">
        <f t="shared" si="444"/>
        <v>0</v>
      </c>
      <c r="AI432" s="1277">
        <f>VLOOKUP(K432,'[2]ผลการเบิกจ่ายสะสม พ.ย. 66'!$C:$N,12,0)</f>
        <v>0</v>
      </c>
      <c r="AJ432" s="1274">
        <f t="shared" si="446"/>
        <v>-3092242.48</v>
      </c>
    </row>
    <row r="433" spans="1:36" x14ac:dyDescent="0.35">
      <c r="A433" s="134"/>
      <c r="B433" s="72" t="s">
        <v>202</v>
      </c>
      <c r="C433" s="274"/>
      <c r="D433" s="1096">
        <f>SUM(D434:D444)</f>
        <v>46467600</v>
      </c>
      <c r="E433" s="1097">
        <f>82400+E444</f>
        <v>20999807.43</v>
      </c>
      <c r="F433" s="1097"/>
      <c r="G433" s="1097"/>
      <c r="H433" s="1097">
        <f>SUM(H434:H444)</f>
        <v>40314500</v>
      </c>
      <c r="I433" s="1098">
        <v>63794500</v>
      </c>
      <c r="J433" s="1098">
        <f>SUM(J434:J444)</f>
        <v>40314500</v>
      </c>
      <c r="K433" s="1029" t="s">
        <v>1373</v>
      </c>
      <c r="L433" s="1029" t="s">
        <v>1428</v>
      </c>
      <c r="M433" s="1097">
        <f t="shared" ref="M433:P433" si="523">SUM(M434:M444)</f>
        <v>20314500</v>
      </c>
      <c r="N433" s="1097">
        <f>SUM(N434:N444)</f>
        <v>40314500</v>
      </c>
      <c r="O433" s="1097">
        <f t="shared" si="523"/>
        <v>0</v>
      </c>
      <c r="P433" s="1097">
        <f t="shared" si="523"/>
        <v>0</v>
      </c>
      <c r="Q433" s="1105"/>
      <c r="R433" s="1105">
        <f>SUM(R434:R444)</f>
        <v>0</v>
      </c>
      <c r="S433" s="1268">
        <f>700300+1140426.84</f>
        <v>1840726.84</v>
      </c>
      <c r="T433" s="1105">
        <f>SUM(T434:T444)</f>
        <v>1840726.84</v>
      </c>
      <c r="U433" s="1097">
        <f>SUM(U434:U444)</f>
        <v>38473773.159999996</v>
      </c>
      <c r="V433" s="1097">
        <f t="shared" si="445"/>
        <v>4.5659175730816459</v>
      </c>
      <c r="W433" s="1097">
        <f t="shared" ref="W433:AB433" si="524">SUM(W434:W444)</f>
        <v>0</v>
      </c>
      <c r="X433" s="1097">
        <f t="shared" si="524"/>
        <v>1840726.84</v>
      </c>
      <c r="Y433" s="1097">
        <f t="shared" si="524"/>
        <v>38473773.159999996</v>
      </c>
      <c r="Z433" s="1097">
        <f t="shared" si="524"/>
        <v>1840726.84</v>
      </c>
      <c r="AA433" s="1097">
        <f t="shared" si="524"/>
        <v>38473773.159999996</v>
      </c>
      <c r="AB433" s="1097">
        <f t="shared" si="524"/>
        <v>6.0721002820432464</v>
      </c>
      <c r="AD433" s="650">
        <f t="shared" si="444"/>
        <v>0</v>
      </c>
      <c r="AI433" s="1277">
        <f>VLOOKUP(K433,'[2]ผลการเบิกจ่ายสะสม พ.ย. 66'!$C:$N,12,0)</f>
        <v>1840726.84</v>
      </c>
      <c r="AJ433" s="1274">
        <f t="shared" si="446"/>
        <v>0</v>
      </c>
    </row>
    <row r="434" spans="1:36" ht="21" customHeight="1" outlineLevel="1" x14ac:dyDescent="0.35">
      <c r="A434" s="134"/>
      <c r="B434" s="72"/>
      <c r="C434" s="140" t="s">
        <v>115</v>
      </c>
      <c r="D434" s="1096"/>
      <c r="E434" s="1091"/>
      <c r="F434" s="1091"/>
      <c r="G434" s="1091"/>
      <c r="H434" s="1091">
        <v>0</v>
      </c>
      <c r="I434" s="1092">
        <v>6997400</v>
      </c>
      <c r="J434" s="1092">
        <v>0</v>
      </c>
      <c r="K434" s="1032"/>
      <c r="L434" s="1032"/>
      <c r="M434" s="1091"/>
      <c r="N434" s="1091">
        <v>0</v>
      </c>
      <c r="O434" s="1091"/>
      <c r="P434" s="1091"/>
      <c r="Q434" s="1160"/>
      <c r="R434" s="1160"/>
      <c r="S434" s="1160"/>
      <c r="T434" s="1160">
        <f t="shared" ref="T434:T444" si="525">+R434+S434</f>
        <v>0</v>
      </c>
      <c r="U434" s="1091">
        <f t="shared" ref="U434:U439" si="526">+N434+O434-T434</f>
        <v>0</v>
      </c>
      <c r="V434" s="1091">
        <f t="shared" si="445"/>
        <v>0</v>
      </c>
      <c r="W434" s="1091"/>
      <c r="X434" s="1091">
        <f t="shared" ref="X434:X444" si="527">+T434+Q434</f>
        <v>0</v>
      </c>
      <c r="Y434" s="1091">
        <f t="shared" ref="Y434:Y444" si="528">+U434-Q434</f>
        <v>0</v>
      </c>
      <c r="Z434" s="1091">
        <f t="shared" ref="Z434:Z444" si="529">+T434+Q434+P434</f>
        <v>0</v>
      </c>
      <c r="AA434" s="1091">
        <f t="shared" ref="AA434:AA444" si="530">+U434-Q434-P434</f>
        <v>0</v>
      </c>
      <c r="AB434" s="1091">
        <f t="shared" ref="AB434:AB444" si="531">IFERROR(Z434*100/(N434+O434),0)</f>
        <v>0</v>
      </c>
      <c r="AD434" s="650">
        <f t="shared" si="444"/>
        <v>0</v>
      </c>
      <c r="AI434" s="1277">
        <f>VLOOKUP(K434,'[2]ผลการเบิกจ่ายสะสม พ.ย. 66'!$C:$N,12,0)</f>
        <v>0</v>
      </c>
      <c r="AJ434" s="1274">
        <f t="shared" si="446"/>
        <v>0</v>
      </c>
    </row>
    <row r="435" spans="1:36" ht="21" customHeight="1" outlineLevel="1" x14ac:dyDescent="0.35">
      <c r="A435" s="134"/>
      <c r="B435" s="72"/>
      <c r="C435" s="140" t="s">
        <v>69</v>
      </c>
      <c r="D435" s="1096"/>
      <c r="E435" s="1091"/>
      <c r="F435" s="1091"/>
      <c r="G435" s="1091"/>
      <c r="H435" s="1091">
        <v>0</v>
      </c>
      <c r="I435" s="1092">
        <v>408500</v>
      </c>
      <c r="J435" s="1092">
        <v>0</v>
      </c>
      <c r="K435" s="1032"/>
      <c r="L435" s="1032"/>
      <c r="M435" s="1091"/>
      <c r="N435" s="1091">
        <v>0</v>
      </c>
      <c r="O435" s="1091"/>
      <c r="P435" s="1091"/>
      <c r="Q435" s="1160"/>
      <c r="R435" s="1160"/>
      <c r="S435" s="1160"/>
      <c r="T435" s="1160">
        <f t="shared" si="525"/>
        <v>0</v>
      </c>
      <c r="U435" s="1091">
        <f t="shared" si="526"/>
        <v>0</v>
      </c>
      <c r="V435" s="1091">
        <f t="shared" si="445"/>
        <v>0</v>
      </c>
      <c r="W435" s="1091"/>
      <c r="X435" s="1091">
        <f t="shared" si="527"/>
        <v>0</v>
      </c>
      <c r="Y435" s="1091">
        <f t="shared" si="528"/>
        <v>0</v>
      </c>
      <c r="Z435" s="1091">
        <f t="shared" si="529"/>
        <v>0</v>
      </c>
      <c r="AA435" s="1091">
        <f t="shared" si="530"/>
        <v>0</v>
      </c>
      <c r="AB435" s="1091">
        <f t="shared" si="531"/>
        <v>0</v>
      </c>
      <c r="AD435" s="650">
        <f t="shared" si="444"/>
        <v>0</v>
      </c>
      <c r="AI435" s="1277">
        <f>VLOOKUP(K435,'[2]ผลการเบิกจ่ายสะสม พ.ย. 66'!$C:$N,12,0)</f>
        <v>0</v>
      </c>
      <c r="AJ435" s="1274">
        <f t="shared" si="446"/>
        <v>0</v>
      </c>
    </row>
    <row r="436" spans="1:36" ht="21" customHeight="1" outlineLevel="1" x14ac:dyDescent="0.35">
      <c r="A436" s="134"/>
      <c r="B436" s="72"/>
      <c r="C436" s="140" t="s">
        <v>264</v>
      </c>
      <c r="D436" s="1096"/>
      <c r="E436" s="1091"/>
      <c r="F436" s="1091"/>
      <c r="G436" s="1091"/>
      <c r="H436" s="1091">
        <v>0</v>
      </c>
      <c r="I436" s="1092">
        <v>643200</v>
      </c>
      <c r="J436" s="1092">
        <v>0</v>
      </c>
      <c r="K436" s="1032"/>
      <c r="L436" s="1032"/>
      <c r="M436" s="1091"/>
      <c r="N436" s="1091">
        <v>0</v>
      </c>
      <c r="O436" s="1091"/>
      <c r="P436" s="1091"/>
      <c r="Q436" s="1160"/>
      <c r="R436" s="1160"/>
      <c r="S436" s="1160"/>
      <c r="T436" s="1160">
        <f t="shared" si="525"/>
        <v>0</v>
      </c>
      <c r="U436" s="1091">
        <f t="shared" si="526"/>
        <v>0</v>
      </c>
      <c r="V436" s="1091">
        <f t="shared" si="445"/>
        <v>0</v>
      </c>
      <c r="W436" s="1091"/>
      <c r="X436" s="1091">
        <f t="shared" si="527"/>
        <v>0</v>
      </c>
      <c r="Y436" s="1091">
        <f t="shared" si="528"/>
        <v>0</v>
      </c>
      <c r="Z436" s="1091">
        <f t="shared" si="529"/>
        <v>0</v>
      </c>
      <c r="AA436" s="1091">
        <f t="shared" si="530"/>
        <v>0</v>
      </c>
      <c r="AB436" s="1091">
        <f t="shared" si="531"/>
        <v>0</v>
      </c>
      <c r="AD436" s="650">
        <f t="shared" si="444"/>
        <v>0</v>
      </c>
      <c r="AI436" s="1277">
        <f>VLOOKUP(K436,'[2]ผลการเบิกจ่ายสะสม พ.ย. 66'!$C:$N,12,0)</f>
        <v>0</v>
      </c>
      <c r="AJ436" s="1274">
        <f t="shared" si="446"/>
        <v>0</v>
      </c>
    </row>
    <row r="437" spans="1:36" ht="21" customHeight="1" outlineLevel="1" x14ac:dyDescent="0.35">
      <c r="A437" s="134"/>
      <c r="B437" s="72"/>
      <c r="C437" s="140" t="s">
        <v>262</v>
      </c>
      <c r="D437" s="1096"/>
      <c r="E437" s="1160"/>
      <c r="F437" s="1160"/>
      <c r="G437" s="1160"/>
      <c r="H437" s="1160">
        <v>0</v>
      </c>
      <c r="I437" s="1110">
        <v>1450000</v>
      </c>
      <c r="J437" s="1110">
        <v>0</v>
      </c>
      <c r="K437" s="1033"/>
      <c r="L437" s="1033"/>
      <c r="M437" s="1160"/>
      <c r="N437" s="1160">
        <v>0</v>
      </c>
      <c r="O437" s="1160"/>
      <c r="P437" s="1160"/>
      <c r="Q437" s="1160"/>
      <c r="R437" s="1160"/>
      <c r="S437" s="1160"/>
      <c r="T437" s="1160">
        <f t="shared" si="525"/>
        <v>0</v>
      </c>
      <c r="U437" s="1091">
        <f t="shared" si="526"/>
        <v>0</v>
      </c>
      <c r="V437" s="1091">
        <f t="shared" si="445"/>
        <v>0</v>
      </c>
      <c r="W437" s="1091"/>
      <c r="X437" s="1091">
        <f t="shared" si="527"/>
        <v>0</v>
      </c>
      <c r="Y437" s="1091">
        <f t="shared" si="528"/>
        <v>0</v>
      </c>
      <c r="Z437" s="1091">
        <f t="shared" si="529"/>
        <v>0</v>
      </c>
      <c r="AA437" s="1091">
        <f t="shared" si="530"/>
        <v>0</v>
      </c>
      <c r="AB437" s="1091">
        <f t="shared" si="531"/>
        <v>0</v>
      </c>
      <c r="AD437" s="650">
        <f t="shared" si="444"/>
        <v>0</v>
      </c>
      <c r="AI437" s="1277">
        <f>VLOOKUP(K437,'[2]ผลการเบิกจ่ายสะสม พ.ย. 66'!$C:$N,12,0)</f>
        <v>0</v>
      </c>
      <c r="AJ437" s="1274">
        <f t="shared" si="446"/>
        <v>0</v>
      </c>
    </row>
    <row r="438" spans="1:36" ht="21" customHeight="1" outlineLevel="1" x14ac:dyDescent="0.35">
      <c r="A438" s="134"/>
      <c r="B438" s="72"/>
      <c r="C438" s="140" t="s">
        <v>216</v>
      </c>
      <c r="D438" s="1096"/>
      <c r="E438" s="1091"/>
      <c r="F438" s="1091"/>
      <c r="G438" s="1091"/>
      <c r="H438" s="1091">
        <v>0</v>
      </c>
      <c r="I438" s="1092">
        <v>4585600</v>
      </c>
      <c r="J438" s="1092">
        <v>0</v>
      </c>
      <c r="K438" s="1032"/>
      <c r="L438" s="1032"/>
      <c r="M438" s="1091"/>
      <c r="N438" s="1091">
        <v>0</v>
      </c>
      <c r="O438" s="1091"/>
      <c r="P438" s="1091"/>
      <c r="Q438" s="1160"/>
      <c r="R438" s="1160"/>
      <c r="S438" s="1160"/>
      <c r="T438" s="1160">
        <f t="shared" si="525"/>
        <v>0</v>
      </c>
      <c r="U438" s="1091">
        <f t="shared" si="526"/>
        <v>0</v>
      </c>
      <c r="V438" s="1091">
        <f t="shared" si="445"/>
        <v>0</v>
      </c>
      <c r="W438" s="1091"/>
      <c r="X438" s="1091">
        <f t="shared" si="527"/>
        <v>0</v>
      </c>
      <c r="Y438" s="1091">
        <f t="shared" si="528"/>
        <v>0</v>
      </c>
      <c r="Z438" s="1091">
        <f t="shared" si="529"/>
        <v>0</v>
      </c>
      <c r="AA438" s="1091">
        <f t="shared" si="530"/>
        <v>0</v>
      </c>
      <c r="AB438" s="1091">
        <f t="shared" si="531"/>
        <v>0</v>
      </c>
      <c r="AD438" s="650">
        <f t="shared" si="444"/>
        <v>0</v>
      </c>
      <c r="AI438" s="1277">
        <f>VLOOKUP(K438,'[2]ผลการเบิกจ่ายสะสม พ.ย. 66'!$C:$N,12,0)</f>
        <v>0</v>
      </c>
      <c r="AJ438" s="1274">
        <f t="shared" si="446"/>
        <v>0</v>
      </c>
    </row>
    <row r="439" spans="1:36" ht="21" customHeight="1" outlineLevel="1" x14ac:dyDescent="0.35">
      <c r="A439" s="134"/>
      <c r="B439" s="72"/>
      <c r="C439" s="140" t="s">
        <v>70</v>
      </c>
      <c r="D439" s="1096"/>
      <c r="E439" s="1091"/>
      <c r="F439" s="1091"/>
      <c r="G439" s="1091"/>
      <c r="H439" s="1091">
        <v>0</v>
      </c>
      <c r="I439" s="1092">
        <v>2434800</v>
      </c>
      <c r="J439" s="1092">
        <v>0</v>
      </c>
      <c r="K439" s="1032"/>
      <c r="L439" s="1032"/>
      <c r="M439" s="1091"/>
      <c r="N439" s="1091">
        <v>0</v>
      </c>
      <c r="O439" s="1091"/>
      <c r="P439" s="1091"/>
      <c r="Q439" s="1160"/>
      <c r="R439" s="1160"/>
      <c r="S439" s="1160"/>
      <c r="T439" s="1160">
        <f t="shared" si="525"/>
        <v>0</v>
      </c>
      <c r="U439" s="1091">
        <f t="shared" si="526"/>
        <v>0</v>
      </c>
      <c r="V439" s="1091">
        <f t="shared" si="445"/>
        <v>0</v>
      </c>
      <c r="W439" s="1091"/>
      <c r="X439" s="1091">
        <f t="shared" si="527"/>
        <v>0</v>
      </c>
      <c r="Y439" s="1091">
        <f t="shared" si="528"/>
        <v>0</v>
      </c>
      <c r="Z439" s="1091">
        <f t="shared" si="529"/>
        <v>0</v>
      </c>
      <c r="AA439" s="1091">
        <f t="shared" si="530"/>
        <v>0</v>
      </c>
      <c r="AB439" s="1091">
        <f t="shared" si="531"/>
        <v>0</v>
      </c>
      <c r="AD439" s="650">
        <f t="shared" si="444"/>
        <v>0</v>
      </c>
      <c r="AI439" s="1277">
        <f>VLOOKUP(K439,'[2]ผลการเบิกจ่ายสะสม พ.ย. 66'!$C:$N,12,0)</f>
        <v>0</v>
      </c>
      <c r="AJ439" s="1274">
        <f t="shared" si="446"/>
        <v>0</v>
      </c>
    </row>
    <row r="440" spans="1:36" ht="21" customHeight="1" outlineLevel="1" x14ac:dyDescent="0.35">
      <c r="A440" s="134"/>
      <c r="B440" s="139"/>
      <c r="C440" s="27" t="s">
        <v>263</v>
      </c>
      <c r="D440" s="1111">
        <v>25449600</v>
      </c>
      <c r="E440" s="1160"/>
      <c r="F440" s="1160"/>
      <c r="G440" s="1160"/>
      <c r="H440" s="1160">
        <v>0</v>
      </c>
      <c r="I440" s="1110">
        <v>4000000</v>
      </c>
      <c r="J440" s="1110">
        <v>0</v>
      </c>
      <c r="K440" s="1033"/>
      <c r="L440" s="1033"/>
      <c r="M440" s="1160"/>
      <c r="N440" s="1160">
        <v>0</v>
      </c>
      <c r="O440" s="1160"/>
      <c r="P440" s="1160"/>
      <c r="Q440" s="1160"/>
      <c r="R440" s="1160"/>
      <c r="S440" s="1160"/>
      <c r="T440" s="1160">
        <f>+R440+S440</f>
        <v>0</v>
      </c>
      <c r="U440" s="1091">
        <f>+N440+O440-T440</f>
        <v>0</v>
      </c>
      <c r="V440" s="1091">
        <f t="shared" si="445"/>
        <v>0</v>
      </c>
      <c r="W440" s="1091"/>
      <c r="X440" s="1091">
        <f t="shared" si="527"/>
        <v>0</v>
      </c>
      <c r="Y440" s="1091">
        <f t="shared" si="528"/>
        <v>0</v>
      </c>
      <c r="Z440" s="1091">
        <f t="shared" si="529"/>
        <v>0</v>
      </c>
      <c r="AA440" s="1091">
        <f t="shared" si="530"/>
        <v>0</v>
      </c>
      <c r="AB440" s="1091">
        <f t="shared" si="531"/>
        <v>0</v>
      </c>
      <c r="AD440" s="650">
        <f t="shared" si="444"/>
        <v>0</v>
      </c>
      <c r="AI440" s="1277">
        <f>VLOOKUP(K440,'[2]ผลการเบิกจ่ายสะสม พ.ย. 66'!$C:$N,12,0)</f>
        <v>0</v>
      </c>
      <c r="AJ440" s="1274">
        <f t="shared" si="446"/>
        <v>0</v>
      </c>
    </row>
    <row r="441" spans="1:36" ht="21" customHeight="1" outlineLevel="1" x14ac:dyDescent="0.35">
      <c r="A441" s="134"/>
      <c r="B441" s="139"/>
      <c r="C441" s="1242" t="s">
        <v>51</v>
      </c>
      <c r="D441" s="1111"/>
      <c r="E441" s="1109"/>
      <c r="F441" s="1160"/>
      <c r="G441" s="1160"/>
      <c r="H441" s="1160"/>
      <c r="I441" s="1110"/>
      <c r="J441" s="1110"/>
      <c r="K441" s="1033"/>
      <c r="L441" s="1033"/>
      <c r="M441" s="1160"/>
      <c r="N441" s="1160"/>
      <c r="O441" s="1160">
        <f>3504200+6495800-260000-1615500</f>
        <v>8124500</v>
      </c>
      <c r="P441" s="1160"/>
      <c r="Q441" s="1160"/>
      <c r="R441" s="1160"/>
      <c r="S441" s="1160"/>
      <c r="T441" s="1160">
        <f>+R441+S441</f>
        <v>0</v>
      </c>
      <c r="U441" s="1091">
        <f>+N441+O441-T441</f>
        <v>8124500</v>
      </c>
      <c r="V441" s="1091">
        <f t="shared" si="445"/>
        <v>0</v>
      </c>
      <c r="W441" s="1091"/>
      <c r="X441" s="1091">
        <f t="shared" si="527"/>
        <v>0</v>
      </c>
      <c r="Y441" s="1091">
        <f t="shared" si="528"/>
        <v>8124500</v>
      </c>
      <c r="Z441" s="1091">
        <f t="shared" si="529"/>
        <v>0</v>
      </c>
      <c r="AA441" s="1091">
        <f t="shared" si="530"/>
        <v>8124500</v>
      </c>
      <c r="AB441" s="1091">
        <f t="shared" si="531"/>
        <v>0</v>
      </c>
      <c r="AC441" s="3" t="s">
        <v>1451</v>
      </c>
      <c r="AD441" s="650"/>
      <c r="AI441" s="1277">
        <f>VLOOKUP(K441,'[2]ผลการเบิกจ่ายสะสม พ.ย. 66'!$C:$N,12,0)</f>
        <v>0</v>
      </c>
      <c r="AJ441" s="1274">
        <f t="shared" si="446"/>
        <v>0</v>
      </c>
    </row>
    <row r="442" spans="1:36" ht="21" customHeight="1" outlineLevel="1" x14ac:dyDescent="0.35">
      <c r="A442" s="134"/>
      <c r="B442" s="139"/>
      <c r="C442" s="1242" t="s">
        <v>53</v>
      </c>
      <c r="D442" s="1111"/>
      <c r="E442" s="1109"/>
      <c r="F442" s="1160"/>
      <c r="G442" s="1160"/>
      <c r="H442" s="1160"/>
      <c r="I442" s="1110"/>
      <c r="J442" s="1110"/>
      <c r="K442" s="1033"/>
      <c r="L442" s="1033"/>
      <c r="M442" s="1160"/>
      <c r="N442" s="1160"/>
      <c r="O442" s="1160">
        <v>260000</v>
      </c>
      <c r="P442" s="1160"/>
      <c r="Q442" s="1160"/>
      <c r="R442" s="1160"/>
      <c r="S442" s="1160"/>
      <c r="T442" s="1160">
        <f>+R442+S442</f>
        <v>0</v>
      </c>
      <c r="U442" s="1091">
        <f>+N442+O442-T442</f>
        <v>260000</v>
      </c>
      <c r="V442" s="1091">
        <f t="shared" si="445"/>
        <v>0</v>
      </c>
      <c r="W442" s="1091"/>
      <c r="X442" s="1091">
        <f t="shared" si="527"/>
        <v>0</v>
      </c>
      <c r="Y442" s="1091">
        <f t="shared" si="528"/>
        <v>260000</v>
      </c>
      <c r="Z442" s="1091">
        <f t="shared" si="529"/>
        <v>0</v>
      </c>
      <c r="AA442" s="1091">
        <f t="shared" si="530"/>
        <v>260000</v>
      </c>
      <c r="AB442" s="1091">
        <f t="shared" si="531"/>
        <v>0</v>
      </c>
      <c r="AC442" s="3" t="s">
        <v>1449</v>
      </c>
      <c r="AD442" s="650"/>
      <c r="AI442" s="1277">
        <f>VLOOKUP(K442,'[2]ผลการเบิกจ่ายสะสม พ.ย. 66'!$C:$N,12,0)</f>
        <v>0</v>
      </c>
      <c r="AJ442" s="1274">
        <f t="shared" si="446"/>
        <v>0</v>
      </c>
    </row>
    <row r="443" spans="1:36" ht="21" customHeight="1" outlineLevel="1" x14ac:dyDescent="0.35">
      <c r="A443" s="134"/>
      <c r="B443" s="139"/>
      <c r="C443" s="1242" t="s">
        <v>50</v>
      </c>
      <c r="D443" s="1111"/>
      <c r="E443" s="1109"/>
      <c r="F443" s="1160"/>
      <c r="G443" s="1160"/>
      <c r="H443" s="1160"/>
      <c r="I443" s="1110"/>
      <c r="J443" s="1110"/>
      <c r="K443" s="1033"/>
      <c r="L443" s="1033"/>
      <c r="M443" s="1160"/>
      <c r="N443" s="1160"/>
      <c r="O443" s="1160">
        <v>1615500</v>
      </c>
      <c r="P443" s="1160"/>
      <c r="Q443" s="1160"/>
      <c r="R443" s="1160"/>
      <c r="S443" s="1160"/>
      <c r="T443" s="1160">
        <f>+R443+S443</f>
        <v>0</v>
      </c>
      <c r="U443" s="1091">
        <f>+N443+O443-T443</f>
        <v>1615500</v>
      </c>
      <c r="V443" s="1091">
        <f t="shared" si="445"/>
        <v>0</v>
      </c>
      <c r="W443" s="1091"/>
      <c r="X443" s="1091">
        <f t="shared" si="527"/>
        <v>0</v>
      </c>
      <c r="Y443" s="1091">
        <f t="shared" si="528"/>
        <v>1615500</v>
      </c>
      <c r="Z443" s="1091">
        <f t="shared" si="529"/>
        <v>0</v>
      </c>
      <c r="AA443" s="1091">
        <f t="shared" si="530"/>
        <v>1615500</v>
      </c>
      <c r="AB443" s="1091">
        <f t="shared" si="531"/>
        <v>0</v>
      </c>
      <c r="AC443" s="3" t="s">
        <v>1450</v>
      </c>
      <c r="AD443" s="650"/>
      <c r="AI443" s="1277">
        <f>VLOOKUP(K443,'[2]ผลการเบิกจ่ายสะสม พ.ย. 66'!$C:$N,12,0)</f>
        <v>0</v>
      </c>
      <c r="AJ443" s="1274">
        <f t="shared" si="446"/>
        <v>0</v>
      </c>
    </row>
    <row r="444" spans="1:36" ht="21" customHeight="1" outlineLevel="1" x14ac:dyDescent="0.35">
      <c r="A444" s="134"/>
      <c r="B444" s="139"/>
      <c r="C444" s="27" t="s">
        <v>67</v>
      </c>
      <c r="D444" s="1090">
        <v>21018000</v>
      </c>
      <c r="E444" s="1109">
        <v>20917407.43</v>
      </c>
      <c r="F444" s="1160"/>
      <c r="G444" s="1160"/>
      <c r="H444" s="1160">
        <v>40314500</v>
      </c>
      <c r="I444" s="1110">
        <v>43275000</v>
      </c>
      <c r="J444" s="1110">
        <v>40314500</v>
      </c>
      <c r="K444" s="1033"/>
      <c r="L444" s="1033"/>
      <c r="M444" s="1160">
        <v>20314500</v>
      </c>
      <c r="N444" s="1160">
        <v>40314500</v>
      </c>
      <c r="O444" s="1241">
        <f>-3504200-6495800</f>
        <v>-10000000</v>
      </c>
      <c r="P444" s="1160"/>
      <c r="Q444" s="1160"/>
      <c r="R444" s="1160"/>
      <c r="S444" s="1283">
        <f>1840726.84</f>
        <v>1840726.84</v>
      </c>
      <c r="T444" s="1160">
        <f t="shared" si="525"/>
        <v>1840726.84</v>
      </c>
      <c r="U444" s="1091">
        <f>+N444+O444-T444</f>
        <v>28473773.16</v>
      </c>
      <c r="V444" s="1091">
        <f t="shared" si="445"/>
        <v>6.0721002820432464</v>
      </c>
      <c r="W444" s="1091"/>
      <c r="X444" s="1091">
        <f t="shared" si="527"/>
        <v>1840726.84</v>
      </c>
      <c r="Y444" s="1091">
        <f t="shared" si="528"/>
        <v>28473773.16</v>
      </c>
      <c r="Z444" s="1091">
        <f t="shared" si="529"/>
        <v>1840726.84</v>
      </c>
      <c r="AA444" s="1091">
        <f t="shared" si="530"/>
        <v>28473773.16</v>
      </c>
      <c r="AB444" s="1091">
        <f t="shared" si="531"/>
        <v>6.0721002820432464</v>
      </c>
      <c r="AC444" s="3" t="s">
        <v>1447</v>
      </c>
      <c r="AD444" s="650">
        <f t="shared" si="444"/>
        <v>0</v>
      </c>
      <c r="AI444" s="1277">
        <f>VLOOKUP(K444,'[2]ผลการเบิกจ่ายสะสม พ.ย. 66'!$C:$N,12,0)</f>
        <v>0</v>
      </c>
      <c r="AJ444" s="1274">
        <f t="shared" si="446"/>
        <v>-1840726.84</v>
      </c>
    </row>
    <row r="445" spans="1:36" x14ac:dyDescent="0.35">
      <c r="A445" s="134"/>
      <c r="B445" s="188" t="s">
        <v>203</v>
      </c>
      <c r="C445" s="273"/>
      <c r="D445" s="1096">
        <f>SUM(D446:D448)</f>
        <v>24325400</v>
      </c>
      <c r="E445" s="1097">
        <f>SUM(E446:E450)</f>
        <v>18018726.379999999</v>
      </c>
      <c r="F445" s="1097"/>
      <c r="G445" s="1097"/>
      <c r="H445" s="1097">
        <f>SUM(H446:H450)</f>
        <v>11662700</v>
      </c>
      <c r="I445" s="1098">
        <v>54876400</v>
      </c>
      <c r="J445" s="1098">
        <f>SUM(J446:J450)</f>
        <v>11662700</v>
      </c>
      <c r="K445" s="1029" t="s">
        <v>1374</v>
      </c>
      <c r="L445" s="1029" t="s">
        <v>1428</v>
      </c>
      <c r="M445" s="1097">
        <f t="shared" ref="M445:P445" si="532">SUM(M446:M450)</f>
        <v>9200500</v>
      </c>
      <c r="N445" s="1097">
        <f>SUM(N446:N450)</f>
        <v>11634500</v>
      </c>
      <c r="O445" s="1097">
        <f t="shared" si="532"/>
        <v>0</v>
      </c>
      <c r="P445" s="1097">
        <f t="shared" si="532"/>
        <v>0</v>
      </c>
      <c r="Q445" s="1268">
        <f>99900</f>
        <v>99900</v>
      </c>
      <c r="R445" s="1105">
        <f t="shared" ref="R445:U445" si="533">SUM(R446:R450)</f>
        <v>0</v>
      </c>
      <c r="S445" s="1268">
        <f>92400+959533.71</f>
        <v>1051933.71</v>
      </c>
      <c r="T445" s="1105">
        <f t="shared" si="533"/>
        <v>1051933.71</v>
      </c>
      <c r="U445" s="1097">
        <f t="shared" si="533"/>
        <v>10582566.289999999</v>
      </c>
      <c r="V445" s="1097">
        <f t="shared" si="445"/>
        <v>9.0415033735871759</v>
      </c>
      <c r="W445" s="1097">
        <f t="shared" ref="W445:AB445" si="534">SUM(W446:W450)</f>
        <v>0</v>
      </c>
      <c r="X445" s="1097">
        <f t="shared" si="534"/>
        <v>1051933.71</v>
      </c>
      <c r="Y445" s="1097">
        <f t="shared" si="534"/>
        <v>10582566.289999999</v>
      </c>
      <c r="Z445" s="1097">
        <f t="shared" si="534"/>
        <v>1051933.71</v>
      </c>
      <c r="AA445" s="1097">
        <f t="shared" si="534"/>
        <v>10582566.289999999</v>
      </c>
      <c r="AB445" s="1097">
        <f t="shared" si="534"/>
        <v>10.087104665100446</v>
      </c>
      <c r="AD445" s="650">
        <f>+N445+O445-R445-S445-U445</f>
        <v>0</v>
      </c>
      <c r="AI445" s="1277">
        <f>VLOOKUP(K445,'[2]ผลการเบิกจ่ายสะสม พ.ย. 66'!$C:$N,12,0)</f>
        <v>1051933.71</v>
      </c>
      <c r="AJ445" s="1274">
        <f t="shared" si="446"/>
        <v>0</v>
      </c>
    </row>
    <row r="446" spans="1:36" ht="21" customHeight="1" outlineLevel="1" x14ac:dyDescent="0.35">
      <c r="A446" s="134"/>
      <c r="B446" s="140"/>
      <c r="C446" s="140" t="s">
        <v>882</v>
      </c>
      <c r="D446" s="1090">
        <f>20945400</f>
        <v>20945400</v>
      </c>
      <c r="E446" s="1091">
        <v>15172952.1</v>
      </c>
      <c r="F446" s="1091"/>
      <c r="G446" s="1091"/>
      <c r="H446" s="1091">
        <v>10428500</v>
      </c>
      <c r="I446" s="1092">
        <v>49883300</v>
      </c>
      <c r="J446" s="1092">
        <v>10428500</v>
      </c>
      <c r="K446" s="1032"/>
      <c r="L446" s="1032"/>
      <c r="M446" s="1091">
        <v>8016100</v>
      </c>
      <c r="N446" s="1091">
        <v>10428500</v>
      </c>
      <c r="O446" s="1091"/>
      <c r="P446" s="1091"/>
      <c r="Q446" s="1160"/>
      <c r="R446" s="1160"/>
      <c r="S446" s="1283">
        <f>1051933.71</f>
        <v>1051933.71</v>
      </c>
      <c r="T446" s="1160">
        <f t="shared" ref="T446:T458" si="535">+R446+S446</f>
        <v>1051933.71</v>
      </c>
      <c r="U446" s="1091">
        <f t="shared" ref="U446:U458" si="536">+N446+O446-T446</f>
        <v>9376566.2899999991</v>
      </c>
      <c r="V446" s="1091">
        <f t="shared" si="445"/>
        <v>10.087104665100446</v>
      </c>
      <c r="W446" s="1091"/>
      <c r="X446" s="1091">
        <f t="shared" ref="X446:X458" si="537">+T446+Q446</f>
        <v>1051933.71</v>
      </c>
      <c r="Y446" s="1091">
        <f t="shared" ref="Y446:Y458" si="538">+U446-Q446</f>
        <v>9376566.2899999991</v>
      </c>
      <c r="Z446" s="1091">
        <f t="shared" ref="Z446:Z458" si="539">+T446+Q446+P446</f>
        <v>1051933.71</v>
      </c>
      <c r="AA446" s="1091">
        <f t="shared" ref="AA446:AA458" si="540">+U446-Q446-P446</f>
        <v>9376566.2899999991</v>
      </c>
      <c r="AB446" s="1091">
        <f t="shared" ref="AB446:AB458" si="541">IFERROR(Z446*100/(N446+O446),0)</f>
        <v>10.087104665100446</v>
      </c>
      <c r="AD446" s="650">
        <f t="shared" si="444"/>
        <v>0</v>
      </c>
      <c r="AI446" s="1277">
        <f>VLOOKUP(K446,'[2]ผลการเบิกจ่ายสะสม พ.ย. 66'!$C:$N,12,0)</f>
        <v>0</v>
      </c>
      <c r="AJ446" s="1274">
        <f t="shared" si="446"/>
        <v>-1051933.71</v>
      </c>
    </row>
    <row r="447" spans="1:36" ht="21" customHeight="1" outlineLevel="1" x14ac:dyDescent="0.35">
      <c r="A447" s="134"/>
      <c r="B447" s="140"/>
      <c r="C447" s="140" t="s">
        <v>883</v>
      </c>
      <c r="D447" s="1090">
        <f>2000000+1000000</f>
        <v>3000000</v>
      </c>
      <c r="E447" s="1091">
        <f>1843206.28+1000000</f>
        <v>2843206.2800000003</v>
      </c>
      <c r="F447" s="1091"/>
      <c r="G447" s="1091"/>
      <c r="H447" s="1091">
        <v>1071000</v>
      </c>
      <c r="I447" s="1092">
        <v>4662100</v>
      </c>
      <c r="J447" s="1092">
        <v>1071000</v>
      </c>
      <c r="K447" s="1032"/>
      <c r="L447" s="1032"/>
      <c r="M447" s="1091">
        <v>1071000</v>
      </c>
      <c r="N447" s="1091">
        <v>1071000</v>
      </c>
      <c r="O447" s="1091"/>
      <c r="P447" s="1091"/>
      <c r="Q447" s="1160"/>
      <c r="R447" s="1160"/>
      <c r="S447" s="1160"/>
      <c r="T447" s="1160">
        <f t="shared" si="535"/>
        <v>0</v>
      </c>
      <c r="U447" s="1091">
        <f t="shared" si="536"/>
        <v>1071000</v>
      </c>
      <c r="V447" s="1091">
        <f t="shared" si="445"/>
        <v>0</v>
      </c>
      <c r="W447" s="1091"/>
      <c r="X447" s="1091">
        <f t="shared" si="537"/>
        <v>0</v>
      </c>
      <c r="Y447" s="1091">
        <f t="shared" si="538"/>
        <v>1071000</v>
      </c>
      <c r="Z447" s="1091">
        <f t="shared" si="539"/>
        <v>0</v>
      </c>
      <c r="AA447" s="1091">
        <f t="shared" si="540"/>
        <v>1071000</v>
      </c>
      <c r="AB447" s="1091">
        <f t="shared" si="541"/>
        <v>0</v>
      </c>
      <c r="AD447" s="650">
        <f t="shared" si="444"/>
        <v>0</v>
      </c>
      <c r="AI447" s="1277">
        <f>VLOOKUP(K447,'[2]ผลการเบิกจ่ายสะสม พ.ย. 66'!$C:$N,12,0)</f>
        <v>0</v>
      </c>
      <c r="AJ447" s="1274">
        <f t="shared" si="446"/>
        <v>0</v>
      </c>
    </row>
    <row r="448" spans="1:36" ht="21" customHeight="1" outlineLevel="1" x14ac:dyDescent="0.35">
      <c r="A448" s="134"/>
      <c r="B448" s="140"/>
      <c r="C448" s="140" t="s">
        <v>116</v>
      </c>
      <c r="D448" s="1090">
        <v>380000</v>
      </c>
      <c r="E448" s="1091">
        <v>2568</v>
      </c>
      <c r="F448" s="1091"/>
      <c r="G448" s="1091"/>
      <c r="H448" s="1091">
        <v>28200</v>
      </c>
      <c r="I448" s="1092">
        <v>33000</v>
      </c>
      <c r="J448" s="1092">
        <v>28200</v>
      </c>
      <c r="K448" s="1032"/>
      <c r="L448" s="1032"/>
      <c r="M448" s="1091">
        <v>0</v>
      </c>
      <c r="N448" s="1091">
        <v>0</v>
      </c>
      <c r="O448" s="1091"/>
      <c r="P448" s="1091"/>
      <c r="Q448" s="1160"/>
      <c r="R448" s="1160"/>
      <c r="S448" s="1160"/>
      <c r="T448" s="1160">
        <f t="shared" si="535"/>
        <v>0</v>
      </c>
      <c r="U448" s="1091">
        <f t="shared" si="536"/>
        <v>0</v>
      </c>
      <c r="V448" s="1091">
        <f t="shared" si="445"/>
        <v>0</v>
      </c>
      <c r="W448" s="1091"/>
      <c r="X448" s="1091">
        <f t="shared" si="537"/>
        <v>0</v>
      </c>
      <c r="Y448" s="1091">
        <f t="shared" si="538"/>
        <v>0</v>
      </c>
      <c r="Z448" s="1091">
        <f t="shared" si="539"/>
        <v>0</v>
      </c>
      <c r="AA448" s="1091">
        <f t="shared" si="540"/>
        <v>0</v>
      </c>
      <c r="AB448" s="1091">
        <f t="shared" si="541"/>
        <v>0</v>
      </c>
      <c r="AD448" s="650">
        <f t="shared" si="444"/>
        <v>0</v>
      </c>
      <c r="AI448" s="1277">
        <f>VLOOKUP(K448,'[2]ผลการเบิกจ่ายสะสม พ.ย. 66'!$C:$N,12,0)</f>
        <v>0</v>
      </c>
      <c r="AJ448" s="1274">
        <f t="shared" si="446"/>
        <v>0</v>
      </c>
    </row>
    <row r="449" spans="1:36" ht="21" customHeight="1" outlineLevel="1" x14ac:dyDescent="0.35">
      <c r="A449" s="134"/>
      <c r="B449" s="140"/>
      <c r="C449" s="140" t="s">
        <v>216</v>
      </c>
      <c r="D449" s="1090"/>
      <c r="E449" s="1091"/>
      <c r="F449" s="1091"/>
      <c r="G449" s="1091"/>
      <c r="H449" s="1091">
        <v>100000</v>
      </c>
      <c r="I449" s="1092">
        <v>263000</v>
      </c>
      <c r="J449" s="1092">
        <v>100000</v>
      </c>
      <c r="K449" s="1032"/>
      <c r="L449" s="1032"/>
      <c r="M449" s="1091">
        <v>100000</v>
      </c>
      <c r="N449" s="1091">
        <v>100000</v>
      </c>
      <c r="O449" s="1091"/>
      <c r="P449" s="1091"/>
      <c r="Q449" s="1160"/>
      <c r="R449" s="1160"/>
      <c r="S449" s="1160"/>
      <c r="T449" s="1160">
        <f t="shared" si="535"/>
        <v>0</v>
      </c>
      <c r="U449" s="1091">
        <f t="shared" si="536"/>
        <v>100000</v>
      </c>
      <c r="V449" s="1091">
        <f t="shared" si="445"/>
        <v>0</v>
      </c>
      <c r="W449" s="1091"/>
      <c r="X449" s="1091">
        <f t="shared" si="537"/>
        <v>0</v>
      </c>
      <c r="Y449" s="1091">
        <f t="shared" si="538"/>
        <v>100000</v>
      </c>
      <c r="Z449" s="1091">
        <f t="shared" si="539"/>
        <v>0</v>
      </c>
      <c r="AA449" s="1091">
        <f t="shared" si="540"/>
        <v>100000</v>
      </c>
      <c r="AB449" s="1091">
        <f t="shared" si="541"/>
        <v>0</v>
      </c>
      <c r="AD449" s="650">
        <f t="shared" si="444"/>
        <v>0</v>
      </c>
      <c r="AI449" s="1277">
        <f>VLOOKUP(K449,'[2]ผลการเบิกจ่ายสะสม พ.ย. 66'!$C:$N,12,0)</f>
        <v>0</v>
      </c>
      <c r="AJ449" s="1274">
        <f t="shared" si="446"/>
        <v>0</v>
      </c>
    </row>
    <row r="450" spans="1:36" ht="21" customHeight="1" outlineLevel="1" x14ac:dyDescent="0.35">
      <c r="A450" s="134"/>
      <c r="B450" s="140"/>
      <c r="C450" s="140" t="s">
        <v>884</v>
      </c>
      <c r="D450" s="1090"/>
      <c r="E450" s="1091"/>
      <c r="F450" s="1091"/>
      <c r="G450" s="1091"/>
      <c r="H450" s="1091">
        <v>35000</v>
      </c>
      <c r="I450" s="1092">
        <v>35000</v>
      </c>
      <c r="J450" s="1092">
        <v>35000</v>
      </c>
      <c r="K450" s="1032"/>
      <c r="L450" s="1032"/>
      <c r="M450" s="1091">
        <v>13400</v>
      </c>
      <c r="N450" s="1091">
        <v>35000</v>
      </c>
      <c r="O450" s="1091"/>
      <c r="P450" s="1091"/>
      <c r="Q450" s="1160"/>
      <c r="R450" s="1160"/>
      <c r="S450" s="1160"/>
      <c r="T450" s="1160">
        <f t="shared" si="535"/>
        <v>0</v>
      </c>
      <c r="U450" s="1091">
        <f t="shared" si="536"/>
        <v>35000</v>
      </c>
      <c r="V450" s="1091">
        <f t="shared" si="445"/>
        <v>0</v>
      </c>
      <c r="W450" s="1091"/>
      <c r="X450" s="1091">
        <f t="shared" si="537"/>
        <v>0</v>
      </c>
      <c r="Y450" s="1091">
        <f t="shared" si="538"/>
        <v>35000</v>
      </c>
      <c r="Z450" s="1091">
        <f t="shared" si="539"/>
        <v>0</v>
      </c>
      <c r="AA450" s="1091">
        <f t="shared" si="540"/>
        <v>35000</v>
      </c>
      <c r="AB450" s="1091">
        <f t="shared" si="541"/>
        <v>0</v>
      </c>
      <c r="AD450" s="650">
        <f t="shared" si="444"/>
        <v>0</v>
      </c>
      <c r="AI450" s="1277">
        <f>VLOOKUP(K450,'[2]ผลการเบิกจ่ายสะสม พ.ย. 66'!$C:$N,12,0)</f>
        <v>0</v>
      </c>
      <c r="AJ450" s="1274">
        <f t="shared" si="446"/>
        <v>0</v>
      </c>
    </row>
    <row r="451" spans="1:36" s="185" customFormat="1" x14ac:dyDescent="0.35">
      <c r="A451" s="134"/>
      <c r="B451" s="34" t="s">
        <v>204</v>
      </c>
      <c r="C451" s="273"/>
      <c r="D451" s="1096">
        <v>2000000</v>
      </c>
      <c r="E451" s="1097">
        <v>1431572.79</v>
      </c>
      <c r="F451" s="1097"/>
      <c r="G451" s="1097"/>
      <c r="H451" s="1097">
        <v>2000000</v>
      </c>
      <c r="I451" s="1098">
        <v>2000000</v>
      </c>
      <c r="J451" s="1098">
        <v>1431600</v>
      </c>
      <c r="K451" s="1029" t="s">
        <v>1375</v>
      </c>
      <c r="L451" s="1029" t="s">
        <v>1428</v>
      </c>
      <c r="M451" s="1097">
        <v>954400</v>
      </c>
      <c r="N451" s="1097">
        <v>954400</v>
      </c>
      <c r="O451" s="1097"/>
      <c r="P451" s="1097"/>
      <c r="Q451" s="1105"/>
      <c r="R451" s="1105"/>
      <c r="S451" s="1268">
        <f>61840</f>
        <v>61840</v>
      </c>
      <c r="T451" s="1160">
        <f t="shared" si="535"/>
        <v>61840</v>
      </c>
      <c r="U451" s="1091">
        <f t="shared" si="536"/>
        <v>892560</v>
      </c>
      <c r="V451" s="1091">
        <f t="shared" si="445"/>
        <v>6.4794635373009219</v>
      </c>
      <c r="W451" s="1091"/>
      <c r="X451" s="1091">
        <f t="shared" si="537"/>
        <v>61840</v>
      </c>
      <c r="Y451" s="1091">
        <f t="shared" si="538"/>
        <v>892560</v>
      </c>
      <c r="Z451" s="1091">
        <f t="shared" si="539"/>
        <v>61840</v>
      </c>
      <c r="AA451" s="1091">
        <f t="shared" si="540"/>
        <v>892560</v>
      </c>
      <c r="AB451" s="1091">
        <f t="shared" si="541"/>
        <v>6.4794635373009219</v>
      </c>
      <c r="AD451" s="650">
        <f t="shared" si="444"/>
        <v>0</v>
      </c>
      <c r="AI451" s="1277">
        <f>VLOOKUP(K451,'[2]ผลการเบิกจ่ายสะสม พ.ย. 66'!$C:$N,12,0)</f>
        <v>61840</v>
      </c>
      <c r="AJ451" s="1274">
        <f t="shared" si="446"/>
        <v>0</v>
      </c>
    </row>
    <row r="452" spans="1:36" s="5" customFormat="1" x14ac:dyDescent="0.2">
      <c r="A452" s="134"/>
      <c r="B452" s="72" t="s">
        <v>207</v>
      </c>
      <c r="C452" s="922"/>
      <c r="D452" s="1096">
        <v>31000000</v>
      </c>
      <c r="E452" s="1097">
        <v>0</v>
      </c>
      <c r="F452" s="1097"/>
      <c r="G452" s="1097"/>
      <c r="H452" s="1097">
        <v>29487300</v>
      </c>
      <c r="I452" s="1098">
        <v>31000000</v>
      </c>
      <c r="J452" s="1098">
        <v>29487300</v>
      </c>
      <c r="K452" s="1029" t="s">
        <v>1376</v>
      </c>
      <c r="L452" s="1029" t="s">
        <v>1428</v>
      </c>
      <c r="M452" s="1097"/>
      <c r="N452" s="1097">
        <v>0</v>
      </c>
      <c r="O452" s="1097"/>
      <c r="P452" s="1097"/>
      <c r="Q452" s="1105"/>
      <c r="R452" s="1105"/>
      <c r="S452" s="1105"/>
      <c r="T452" s="1160">
        <f t="shared" si="535"/>
        <v>0</v>
      </c>
      <c r="U452" s="1091">
        <f t="shared" si="536"/>
        <v>0</v>
      </c>
      <c r="V452" s="1091">
        <f t="shared" si="445"/>
        <v>0</v>
      </c>
      <c r="W452" s="1091"/>
      <c r="X452" s="1091">
        <f t="shared" si="537"/>
        <v>0</v>
      </c>
      <c r="Y452" s="1091">
        <f t="shared" si="538"/>
        <v>0</v>
      </c>
      <c r="Z452" s="1091">
        <f t="shared" si="539"/>
        <v>0</v>
      </c>
      <c r="AA452" s="1091">
        <f t="shared" si="540"/>
        <v>0</v>
      </c>
      <c r="AB452" s="1091">
        <f t="shared" si="541"/>
        <v>0</v>
      </c>
      <c r="AD452" s="650">
        <f t="shared" si="444"/>
        <v>0</v>
      </c>
      <c r="AI452" s="1277" t="e">
        <f>VLOOKUP(K452,'[2]ผลการเบิกจ่ายสะสม พ.ย. 66'!$C:$N,12,0)</f>
        <v>#N/A</v>
      </c>
      <c r="AJ452" s="1274" t="e">
        <f t="shared" si="446"/>
        <v>#N/A</v>
      </c>
    </row>
    <row r="453" spans="1:36" ht="23.45" customHeight="1" x14ac:dyDescent="0.35">
      <c r="A453" s="33"/>
      <c r="B453" s="34" t="s">
        <v>205</v>
      </c>
      <c r="C453" s="34"/>
      <c r="D453" s="1096">
        <v>10948200</v>
      </c>
      <c r="E453" s="1117">
        <v>277313.09999999998</v>
      </c>
      <c r="F453" s="1117"/>
      <c r="G453" s="1117"/>
      <c r="H453" s="1117">
        <v>0</v>
      </c>
      <c r="I453" s="1098">
        <v>20000000</v>
      </c>
      <c r="J453" s="1098">
        <v>277300</v>
      </c>
      <c r="K453" s="1029" t="s">
        <v>1377</v>
      </c>
      <c r="L453" s="1029" t="s">
        <v>1428</v>
      </c>
      <c r="M453" s="1097">
        <v>277300</v>
      </c>
      <c r="N453" s="1097">
        <v>277300</v>
      </c>
      <c r="O453" s="1097"/>
      <c r="P453" s="1097"/>
      <c r="Q453" s="1105"/>
      <c r="R453" s="1105"/>
      <c r="S453" s="1105"/>
      <c r="T453" s="1160">
        <f t="shared" si="535"/>
        <v>0</v>
      </c>
      <c r="U453" s="1091">
        <f t="shared" si="536"/>
        <v>277300</v>
      </c>
      <c r="V453" s="1091">
        <f t="shared" si="445"/>
        <v>0</v>
      </c>
      <c r="W453" s="1091"/>
      <c r="X453" s="1091">
        <f t="shared" si="537"/>
        <v>0</v>
      </c>
      <c r="Y453" s="1091">
        <f t="shared" si="538"/>
        <v>277300</v>
      </c>
      <c r="Z453" s="1091">
        <f t="shared" si="539"/>
        <v>0</v>
      </c>
      <c r="AA453" s="1091">
        <f t="shared" si="540"/>
        <v>277300</v>
      </c>
      <c r="AB453" s="1091">
        <f t="shared" si="541"/>
        <v>0</v>
      </c>
      <c r="AD453" s="650">
        <f t="shared" si="444"/>
        <v>0</v>
      </c>
      <c r="AI453" s="1277">
        <f>VLOOKUP(K453,'[2]ผลการเบิกจ่ายสะสม พ.ย. 66'!$C:$N,12,0)</f>
        <v>0</v>
      </c>
      <c r="AJ453" s="1274">
        <f t="shared" si="446"/>
        <v>0</v>
      </c>
    </row>
    <row r="454" spans="1:36" x14ac:dyDescent="0.35">
      <c r="A454" s="134"/>
      <c r="B454" s="34" t="s">
        <v>812</v>
      </c>
      <c r="C454" s="273"/>
      <c r="D454" s="1096">
        <v>2000000</v>
      </c>
      <c r="E454" s="1097">
        <v>0</v>
      </c>
      <c r="F454" s="1097"/>
      <c r="G454" s="1097"/>
      <c r="H454" s="1097">
        <v>500000</v>
      </c>
      <c r="I454" s="1098">
        <v>2000000</v>
      </c>
      <c r="J454" s="1098">
        <v>500000</v>
      </c>
      <c r="K454" s="1029" t="s">
        <v>1378</v>
      </c>
      <c r="L454" s="1029" t="s">
        <v>1428</v>
      </c>
      <c r="M454" s="1097">
        <v>198000</v>
      </c>
      <c r="N454" s="1097">
        <v>198000</v>
      </c>
      <c r="O454" s="1097"/>
      <c r="P454" s="1097"/>
      <c r="Q454" s="1105"/>
      <c r="R454" s="1105"/>
      <c r="S454" s="1105"/>
      <c r="T454" s="1160">
        <f t="shared" si="535"/>
        <v>0</v>
      </c>
      <c r="U454" s="1091">
        <f t="shared" si="536"/>
        <v>198000</v>
      </c>
      <c r="V454" s="1091">
        <f t="shared" si="445"/>
        <v>0</v>
      </c>
      <c r="W454" s="1091"/>
      <c r="X454" s="1091">
        <f t="shared" si="537"/>
        <v>0</v>
      </c>
      <c r="Y454" s="1091">
        <f t="shared" si="538"/>
        <v>198000</v>
      </c>
      <c r="Z454" s="1091">
        <f t="shared" si="539"/>
        <v>0</v>
      </c>
      <c r="AA454" s="1091">
        <f t="shared" si="540"/>
        <v>198000</v>
      </c>
      <c r="AB454" s="1091">
        <f t="shared" si="541"/>
        <v>0</v>
      </c>
      <c r="AD454" s="650">
        <f t="shared" si="444"/>
        <v>0</v>
      </c>
      <c r="AI454" s="1277">
        <f>VLOOKUP(K454,'[2]ผลการเบิกจ่ายสะสม พ.ย. 66'!$C:$N,12,0)</f>
        <v>0</v>
      </c>
      <c r="AJ454" s="1274">
        <f t="shared" si="446"/>
        <v>0</v>
      </c>
    </row>
    <row r="455" spans="1:36" x14ac:dyDescent="0.35">
      <c r="A455" s="134"/>
      <c r="B455" s="72" t="s">
        <v>885</v>
      </c>
      <c r="C455" s="922"/>
      <c r="D455" s="1096">
        <v>4437600</v>
      </c>
      <c r="E455" s="1097">
        <v>2054988</v>
      </c>
      <c r="F455" s="1097"/>
      <c r="G455" s="1097"/>
      <c r="H455" s="1097">
        <v>1005300</v>
      </c>
      <c r="I455" s="1098">
        <v>4393000</v>
      </c>
      <c r="J455" s="1098">
        <v>1005300</v>
      </c>
      <c r="K455" s="1029" t="s">
        <v>1379</v>
      </c>
      <c r="L455" s="1029" t="s">
        <v>1428</v>
      </c>
      <c r="M455" s="1097">
        <v>662000</v>
      </c>
      <c r="N455" s="1097">
        <v>662000</v>
      </c>
      <c r="O455" s="1097"/>
      <c r="P455" s="1097"/>
      <c r="Q455" s="1105"/>
      <c r="R455" s="1105"/>
      <c r="S455" s="1268">
        <f>67741.93+70000</f>
        <v>137741.93</v>
      </c>
      <c r="T455" s="1160">
        <f t="shared" si="535"/>
        <v>137741.93</v>
      </c>
      <c r="U455" s="1091">
        <f t="shared" si="536"/>
        <v>524258.07</v>
      </c>
      <c r="V455" s="1091">
        <f t="shared" si="445"/>
        <v>20.806938066465257</v>
      </c>
      <c r="W455" s="1091"/>
      <c r="X455" s="1091">
        <f t="shared" si="537"/>
        <v>137741.93</v>
      </c>
      <c r="Y455" s="1091">
        <f t="shared" si="538"/>
        <v>524258.07</v>
      </c>
      <c r="Z455" s="1091">
        <f t="shared" si="539"/>
        <v>137741.93</v>
      </c>
      <c r="AA455" s="1091">
        <f t="shared" si="540"/>
        <v>524258.07</v>
      </c>
      <c r="AB455" s="1091">
        <f t="shared" si="541"/>
        <v>20.806938066465257</v>
      </c>
      <c r="AD455" s="650">
        <f t="shared" si="444"/>
        <v>0</v>
      </c>
      <c r="AI455" s="1277">
        <f>VLOOKUP(K455,'[2]ผลการเบิกจ่ายสะสม พ.ย. 66'!$C:$N,12,0)</f>
        <v>137741.93</v>
      </c>
      <c r="AJ455" s="1274">
        <f t="shared" si="446"/>
        <v>0</v>
      </c>
    </row>
    <row r="456" spans="1:36" s="112" customFormat="1" x14ac:dyDescent="0.2">
      <c r="A456" s="134"/>
      <c r="B456" s="293" t="s">
        <v>886</v>
      </c>
      <c r="C456" s="922"/>
      <c r="D456" s="1096"/>
      <c r="E456" s="1097"/>
      <c r="F456" s="1097"/>
      <c r="G456" s="1097"/>
      <c r="H456" s="1097"/>
      <c r="I456" s="1098"/>
      <c r="J456" s="1098"/>
      <c r="K456" s="1029"/>
      <c r="L456" s="1029"/>
      <c r="M456" s="1097"/>
      <c r="N456" s="1097"/>
      <c r="O456" s="1097"/>
      <c r="P456" s="1097"/>
      <c r="Q456" s="1105"/>
      <c r="R456" s="1105"/>
      <c r="S456" s="1105"/>
      <c r="T456" s="1160">
        <f t="shared" si="535"/>
        <v>0</v>
      </c>
      <c r="U456" s="1091">
        <f t="shared" si="536"/>
        <v>0</v>
      </c>
      <c r="V456" s="1091">
        <f t="shared" si="445"/>
        <v>0</v>
      </c>
      <c r="W456" s="1091"/>
      <c r="X456" s="1091">
        <f t="shared" si="537"/>
        <v>0</v>
      </c>
      <c r="Y456" s="1091">
        <f t="shared" si="538"/>
        <v>0</v>
      </c>
      <c r="Z456" s="1091">
        <f t="shared" si="539"/>
        <v>0</v>
      </c>
      <c r="AA456" s="1091">
        <f t="shared" si="540"/>
        <v>0</v>
      </c>
      <c r="AB456" s="1091">
        <f t="shared" si="541"/>
        <v>0</v>
      </c>
      <c r="AD456" s="650">
        <f t="shared" si="444"/>
        <v>0</v>
      </c>
      <c r="AI456" s="1277">
        <f>VLOOKUP(K456,'[2]ผลการเบิกจ่ายสะสม พ.ย. 66'!$C:$N,12,0)</f>
        <v>0</v>
      </c>
      <c r="AJ456" s="1274">
        <f t="shared" si="446"/>
        <v>0</v>
      </c>
    </row>
    <row r="457" spans="1:36" s="112" customFormat="1" x14ac:dyDescent="0.2">
      <c r="A457" s="294"/>
      <c r="B457" s="72" t="s">
        <v>814</v>
      </c>
      <c r="C457" s="923"/>
      <c r="D457" s="1096">
        <v>7000000</v>
      </c>
      <c r="E457" s="1117">
        <v>966000</v>
      </c>
      <c r="F457" s="1117"/>
      <c r="G457" s="1117"/>
      <c r="H457" s="1117">
        <v>377500</v>
      </c>
      <c r="I457" s="1098">
        <v>4000000</v>
      </c>
      <c r="J457" s="1098">
        <v>377500</v>
      </c>
      <c r="K457" s="1029" t="s">
        <v>1380</v>
      </c>
      <c r="L457" s="1029" t="s">
        <v>1428</v>
      </c>
      <c r="M457" s="1097">
        <v>150000</v>
      </c>
      <c r="N457" s="1097">
        <v>150000</v>
      </c>
      <c r="O457" s="1097"/>
      <c r="P457" s="1097"/>
      <c r="Q457" s="1097"/>
      <c r="R457" s="1097"/>
      <c r="S457" s="1097"/>
      <c r="T457" s="1091">
        <f t="shared" si="535"/>
        <v>0</v>
      </c>
      <c r="U457" s="1091">
        <f t="shared" si="536"/>
        <v>150000</v>
      </c>
      <c r="V457" s="1091">
        <f t="shared" si="445"/>
        <v>0</v>
      </c>
      <c r="W457" s="1091"/>
      <c r="X457" s="1091">
        <f t="shared" si="537"/>
        <v>0</v>
      </c>
      <c r="Y457" s="1091">
        <f t="shared" si="538"/>
        <v>150000</v>
      </c>
      <c r="Z457" s="1091">
        <f t="shared" si="539"/>
        <v>0</v>
      </c>
      <c r="AA457" s="1091">
        <f t="shared" si="540"/>
        <v>150000</v>
      </c>
      <c r="AB457" s="1091">
        <f t="shared" si="541"/>
        <v>0</v>
      </c>
      <c r="AD457" s="650">
        <f t="shared" si="444"/>
        <v>0</v>
      </c>
      <c r="AI457" s="1277">
        <f>VLOOKUP(K457,'[2]ผลการเบิกจ่ายสะสม พ.ย. 66'!$C:$N,12,0)</f>
        <v>0</v>
      </c>
      <c r="AJ457" s="1274">
        <f t="shared" si="446"/>
        <v>0</v>
      </c>
    </row>
    <row r="458" spans="1:36" s="112" customFormat="1" ht="24" customHeight="1" x14ac:dyDescent="0.2">
      <c r="A458" s="294"/>
      <c r="B458" s="284" t="s">
        <v>887</v>
      </c>
      <c r="C458" s="924"/>
      <c r="D458" s="1096"/>
      <c r="E458" s="1117"/>
      <c r="F458" s="1117"/>
      <c r="G458" s="1117"/>
      <c r="H458" s="1117">
        <v>0</v>
      </c>
      <c r="I458" s="1098">
        <v>107000</v>
      </c>
      <c r="J458" s="1098">
        <v>0</v>
      </c>
      <c r="K458" s="1029"/>
      <c r="L458" s="1029"/>
      <c r="M458" s="1097"/>
      <c r="N458" s="1097">
        <v>0</v>
      </c>
      <c r="O458" s="1097"/>
      <c r="P458" s="1097"/>
      <c r="Q458" s="1097"/>
      <c r="R458" s="1097"/>
      <c r="S458" s="1097"/>
      <c r="T458" s="1091">
        <f t="shared" si="535"/>
        <v>0</v>
      </c>
      <c r="U458" s="1091">
        <f t="shared" si="536"/>
        <v>0</v>
      </c>
      <c r="V458" s="1091">
        <f t="shared" si="445"/>
        <v>0</v>
      </c>
      <c r="W458" s="1091"/>
      <c r="X458" s="1091">
        <f t="shared" si="537"/>
        <v>0</v>
      </c>
      <c r="Y458" s="1091">
        <f t="shared" si="538"/>
        <v>0</v>
      </c>
      <c r="Z458" s="1091">
        <f t="shared" si="539"/>
        <v>0</v>
      </c>
      <c r="AA458" s="1091">
        <f t="shared" si="540"/>
        <v>0</v>
      </c>
      <c r="AB458" s="1091">
        <f t="shared" si="541"/>
        <v>0</v>
      </c>
      <c r="AD458" s="650">
        <f t="shared" si="444"/>
        <v>0</v>
      </c>
      <c r="AI458" s="1277">
        <f>VLOOKUP(K458,'[2]ผลการเบิกจ่ายสะสม พ.ย. 66'!$C:$N,12,0)</f>
        <v>0</v>
      </c>
      <c r="AJ458" s="1274">
        <f t="shared" si="446"/>
        <v>0</v>
      </c>
    </row>
    <row r="459" spans="1:36" s="5" customFormat="1" x14ac:dyDescent="0.2">
      <c r="A459" s="14" t="s">
        <v>137</v>
      </c>
      <c r="B459" s="15"/>
      <c r="C459" s="15"/>
      <c r="D459" s="1084">
        <f>+D460+D481+D711+D715</f>
        <v>1373446800</v>
      </c>
      <c r="E459" s="1145">
        <f>+E460+E481+E711+E715</f>
        <v>1231448261.1400001</v>
      </c>
      <c r="F459" s="1145"/>
      <c r="G459" s="1145"/>
      <c r="H459" s="1145">
        <f>+H460+H481+H711+H715</f>
        <v>1292126700</v>
      </c>
      <c r="I459" s="1086">
        <v>1833935700</v>
      </c>
      <c r="J459" s="1086">
        <f>+J460+J481+J711+J715</f>
        <v>1190709600</v>
      </c>
      <c r="K459" s="1027"/>
      <c r="L459" s="1027" t="s">
        <v>1429</v>
      </c>
      <c r="M459" s="1085">
        <f t="shared" ref="M459:U459" si="542">+M460+M481+M711+M715</f>
        <v>652195900</v>
      </c>
      <c r="N459" s="1085">
        <f>+N460+N481+N711+N715</f>
        <v>796433600</v>
      </c>
      <c r="O459" s="1085">
        <f t="shared" si="542"/>
        <v>0</v>
      </c>
      <c r="P459" s="1085">
        <f t="shared" si="542"/>
        <v>0</v>
      </c>
      <c r="Q459" s="1085">
        <f t="shared" si="542"/>
        <v>0</v>
      </c>
      <c r="R459" s="1085">
        <f t="shared" si="542"/>
        <v>0</v>
      </c>
      <c r="S459" s="1085">
        <f>+S460+S481+S711+S715</f>
        <v>435667888.03000003</v>
      </c>
      <c r="T459" s="1085">
        <f t="shared" si="542"/>
        <v>435667888.03000003</v>
      </c>
      <c r="U459" s="1085">
        <f t="shared" si="542"/>
        <v>360765711.96999997</v>
      </c>
      <c r="V459" s="1085">
        <f t="shared" si="445"/>
        <v>54.702349075930499</v>
      </c>
      <c r="W459" s="1085">
        <f t="shared" ref="W459:AB459" si="543">+W460+W481+W711+W715</f>
        <v>0</v>
      </c>
      <c r="X459" s="1085">
        <f t="shared" si="543"/>
        <v>245044263.92000002</v>
      </c>
      <c r="Y459" s="1085">
        <f t="shared" si="543"/>
        <v>551389336.07999992</v>
      </c>
      <c r="Z459" s="1085">
        <f t="shared" si="543"/>
        <v>245044263.92000002</v>
      </c>
      <c r="AA459" s="1085">
        <f t="shared" si="543"/>
        <v>551389336.07999992</v>
      </c>
      <c r="AB459" s="1085">
        <f t="shared" si="543"/>
        <v>679.70126228978484</v>
      </c>
      <c r="AD459" s="650">
        <f t="shared" si="444"/>
        <v>0</v>
      </c>
      <c r="AI459" s="1277">
        <f>VLOOKUP(K459,'[2]ผลการเบิกจ่ายสะสม พ.ย. 66'!$C:$N,12,0)</f>
        <v>0</v>
      </c>
      <c r="AJ459" s="1274">
        <f t="shared" si="446"/>
        <v>-435667888.03000003</v>
      </c>
    </row>
    <row r="460" spans="1:36" s="5" customFormat="1" x14ac:dyDescent="0.2">
      <c r="A460" s="20" t="s">
        <v>78</v>
      </c>
      <c r="B460" s="21"/>
      <c r="C460" s="21"/>
      <c r="D460" s="1087">
        <f>SUM(D462+D472+D476)</f>
        <v>1017280400</v>
      </c>
      <c r="E460" s="1142">
        <f>SUM(E462+E472+E476)</f>
        <v>1009124338.6600001</v>
      </c>
      <c r="F460" s="1142"/>
      <c r="G460" s="1142"/>
      <c r="H460" s="1142">
        <f>SUM(H462+H472+H476)</f>
        <v>1023810500</v>
      </c>
      <c r="I460" s="1089">
        <v>1334139400</v>
      </c>
      <c r="J460" s="1089">
        <f>SUM(J462+J472+J476)</f>
        <v>948636400</v>
      </c>
      <c r="K460" s="1028"/>
      <c r="L460" s="1028" t="s">
        <v>1429</v>
      </c>
      <c r="M460" s="1088">
        <f t="shared" ref="M460:U460" si="544">SUM(M462+M472+M476)</f>
        <v>620297900</v>
      </c>
      <c r="N460" s="1088">
        <f>SUM(N462+N472+N476)</f>
        <v>715070700</v>
      </c>
      <c r="O460" s="1088">
        <f t="shared" si="544"/>
        <v>0</v>
      </c>
      <c r="P460" s="1088">
        <f t="shared" si="544"/>
        <v>0</v>
      </c>
      <c r="Q460" s="1088">
        <f t="shared" si="544"/>
        <v>0</v>
      </c>
      <c r="R460" s="1088">
        <f t="shared" si="544"/>
        <v>0</v>
      </c>
      <c r="S460" s="1088">
        <f t="shared" si="544"/>
        <v>423672982.08000004</v>
      </c>
      <c r="T460" s="1088">
        <f t="shared" si="544"/>
        <v>423672982.08000004</v>
      </c>
      <c r="U460" s="1088">
        <f t="shared" si="544"/>
        <v>291397717.91999996</v>
      </c>
      <c r="V460" s="1088">
        <f t="shared" si="445"/>
        <v>59.249103910983919</v>
      </c>
      <c r="W460" s="1088">
        <f t="shared" ref="W460:AB460" si="545">SUM(W462+W472+W476)</f>
        <v>0</v>
      </c>
      <c r="X460" s="1088">
        <f t="shared" si="545"/>
        <v>233049357.97000003</v>
      </c>
      <c r="Y460" s="1088">
        <f t="shared" si="545"/>
        <v>482021342.02999997</v>
      </c>
      <c r="Z460" s="1088">
        <f t="shared" si="545"/>
        <v>233049357.97000003</v>
      </c>
      <c r="AA460" s="1088">
        <f t="shared" si="545"/>
        <v>482021342.02999997</v>
      </c>
      <c r="AB460" s="1088">
        <f t="shared" si="545"/>
        <v>545.46558170944741</v>
      </c>
      <c r="AD460" s="650">
        <f t="shared" si="444"/>
        <v>0</v>
      </c>
      <c r="AI460" s="1277">
        <f>VLOOKUP(K460,'[2]ผลการเบิกจ่ายสะสม พ.ย. 66'!$C:$N,12,0)</f>
        <v>0</v>
      </c>
      <c r="AJ460" s="1274">
        <f t="shared" si="446"/>
        <v>-423672982.08000004</v>
      </c>
    </row>
    <row r="461" spans="1:36" s="5" customFormat="1" ht="24" customHeight="1" x14ac:dyDescent="0.2">
      <c r="A461" s="131" t="s">
        <v>114</v>
      </c>
      <c r="B461" s="132"/>
      <c r="C461" s="132"/>
      <c r="D461" s="1161">
        <f>+D462+D472+D476</f>
        <v>1017280400</v>
      </c>
      <c r="E461" s="1162">
        <f>+E462+E472+E476</f>
        <v>1009124338.6600001</v>
      </c>
      <c r="F461" s="1162"/>
      <c r="G461" s="1162"/>
      <c r="H461" s="1162">
        <f>+H462+H472+H476</f>
        <v>1023810500</v>
      </c>
      <c r="I461" s="1163">
        <v>1334139400</v>
      </c>
      <c r="J461" s="1163">
        <f>+J462+J472+J476</f>
        <v>948636400</v>
      </c>
      <c r="K461" s="1044"/>
      <c r="L461" s="1044"/>
      <c r="M461" s="1232">
        <f t="shared" ref="M461:U461" si="546">+M462+M472+M476</f>
        <v>620297900</v>
      </c>
      <c r="N461" s="1232">
        <f>+N462+N472+N476</f>
        <v>715070700</v>
      </c>
      <c r="O461" s="1232">
        <f t="shared" si="546"/>
        <v>0</v>
      </c>
      <c r="P461" s="1232">
        <f t="shared" si="546"/>
        <v>0</v>
      </c>
      <c r="Q461" s="1232">
        <f t="shared" si="546"/>
        <v>0</v>
      </c>
      <c r="R461" s="1232">
        <f t="shared" si="546"/>
        <v>0</v>
      </c>
      <c r="S461" s="1232">
        <f t="shared" si="546"/>
        <v>423672982.08000004</v>
      </c>
      <c r="T461" s="1232">
        <f t="shared" si="546"/>
        <v>423672982.08000004</v>
      </c>
      <c r="U461" s="1232">
        <f t="shared" si="546"/>
        <v>291397717.91999996</v>
      </c>
      <c r="V461" s="1232">
        <f t="shared" si="445"/>
        <v>59.249103910983919</v>
      </c>
      <c r="W461" s="1232">
        <f t="shared" ref="W461:AB461" si="547">+W462+W472+W476</f>
        <v>0</v>
      </c>
      <c r="X461" s="1232">
        <f t="shared" si="547"/>
        <v>233049357.97000003</v>
      </c>
      <c r="Y461" s="1232">
        <f t="shared" si="547"/>
        <v>482021342.02999997</v>
      </c>
      <c r="Z461" s="1232">
        <f t="shared" si="547"/>
        <v>233049357.97000003</v>
      </c>
      <c r="AA461" s="1232">
        <f t="shared" si="547"/>
        <v>482021342.02999997</v>
      </c>
      <c r="AB461" s="1232">
        <f t="shared" si="547"/>
        <v>545.46558170944741</v>
      </c>
      <c r="AD461" s="650">
        <f t="shared" si="444"/>
        <v>0</v>
      </c>
      <c r="AI461" s="1277">
        <f>VLOOKUP(K461,'[2]ผลการเบิกจ่ายสะสม พ.ย. 66'!$C:$N,12,0)</f>
        <v>0</v>
      </c>
      <c r="AJ461" s="1274">
        <f t="shared" si="446"/>
        <v>-423672982.08000004</v>
      </c>
    </row>
    <row r="462" spans="1:36" s="112" customFormat="1" x14ac:dyDescent="0.2">
      <c r="A462" s="33"/>
      <c r="B462" s="34" t="s">
        <v>178</v>
      </c>
      <c r="C462" s="273"/>
      <c r="D462" s="1149">
        <f>SUM(D463:D467,D471)</f>
        <v>790940600</v>
      </c>
      <c r="E462" s="1153">
        <f>SUM(E463:E467,E471)</f>
        <v>769608628.66000009</v>
      </c>
      <c r="F462" s="1153"/>
      <c r="G462" s="1153"/>
      <c r="H462" s="1153">
        <f>SUM(H463:H467,H471)</f>
        <v>817731100</v>
      </c>
      <c r="I462" s="1151">
        <v>1051139400</v>
      </c>
      <c r="J462" s="1151">
        <f>SUM(J463:J467,J471)</f>
        <v>740415500</v>
      </c>
      <c r="K462" s="1040" t="s">
        <v>1371</v>
      </c>
      <c r="L462" s="1065" t="s">
        <v>1429</v>
      </c>
      <c r="M462" s="1153">
        <f t="shared" ref="M462:U462" si="548">SUM(M463:M467,M471)</f>
        <v>477918200</v>
      </c>
      <c r="N462" s="1153">
        <f>SUM(N463:N467,N471)</f>
        <v>534392900</v>
      </c>
      <c r="O462" s="1153">
        <f t="shared" si="548"/>
        <v>0</v>
      </c>
      <c r="P462" s="1153">
        <f t="shared" si="548"/>
        <v>0</v>
      </c>
      <c r="Q462" s="1153">
        <f t="shared" si="548"/>
        <v>0</v>
      </c>
      <c r="R462" s="1153">
        <f t="shared" si="548"/>
        <v>0</v>
      </c>
      <c r="S462" s="1153">
        <f t="shared" si="548"/>
        <v>328152506.45000005</v>
      </c>
      <c r="T462" s="1153">
        <f t="shared" si="548"/>
        <v>328152506.45000005</v>
      </c>
      <c r="U462" s="1153">
        <f t="shared" si="548"/>
        <v>206240393.54999998</v>
      </c>
      <c r="V462" s="1153">
        <f t="shared" si="445"/>
        <v>61.406599236254827</v>
      </c>
      <c r="W462" s="1153">
        <f t="shared" ref="W462:AB462" si="549">SUM(W463:W467,W471)</f>
        <v>0</v>
      </c>
      <c r="X462" s="1153">
        <f t="shared" si="549"/>
        <v>137528882.34</v>
      </c>
      <c r="Y462" s="1153">
        <f t="shared" si="549"/>
        <v>396864017.65999997</v>
      </c>
      <c r="Z462" s="1153">
        <f t="shared" si="549"/>
        <v>137528882.34</v>
      </c>
      <c r="AA462" s="1153">
        <f t="shared" si="549"/>
        <v>396864017.65999997</v>
      </c>
      <c r="AB462" s="1153">
        <f t="shared" si="549"/>
        <v>172.64499513314786</v>
      </c>
      <c r="AD462" s="650">
        <f t="shared" ref="AD462:AD525" si="550">+N462+O462-R462-S462-U462</f>
        <v>0</v>
      </c>
      <c r="AI462" s="1277">
        <f>VLOOKUP(K462,'[2]ผลการเบิกจ่ายสะสม พ.ย. 66'!$C:$N,12,0)</f>
        <v>483919928.55000001</v>
      </c>
      <c r="AJ462" s="1274">
        <f t="shared" si="446"/>
        <v>155767422.09999996</v>
      </c>
    </row>
    <row r="463" spans="1:36" s="112" customFormat="1" ht="21" customHeight="1" outlineLevel="1" x14ac:dyDescent="0.2">
      <c r="A463" s="33"/>
      <c r="B463" s="146"/>
      <c r="C463" s="34" t="s">
        <v>87</v>
      </c>
      <c r="D463" s="1118">
        <v>5000000</v>
      </c>
      <c r="E463" s="1105">
        <f>6091648.23+10721200</f>
        <v>16812848.23</v>
      </c>
      <c r="F463" s="1105"/>
      <c r="G463" s="1105"/>
      <c r="H463" s="1105">
        <v>3598100</v>
      </c>
      <c r="I463" s="1106">
        <v>16600000</v>
      </c>
      <c r="J463" s="1106">
        <v>5733600</v>
      </c>
      <c r="K463" s="1040" t="s">
        <v>1371</v>
      </c>
      <c r="L463" s="1065" t="s">
        <v>1429</v>
      </c>
      <c r="M463" s="1105">
        <v>4300200</v>
      </c>
      <c r="N463" s="1105">
        <v>5733600</v>
      </c>
      <c r="O463" s="1105"/>
      <c r="P463" s="1105"/>
      <c r="Q463" s="1105"/>
      <c r="R463" s="1105"/>
      <c r="S463" s="1105"/>
      <c r="T463" s="1091">
        <f t="shared" ref="T463:T466" si="551">+R463+S463</f>
        <v>0</v>
      </c>
      <c r="U463" s="1091">
        <f t="shared" ref="U463:U466" si="552">+N463+O463-T463</f>
        <v>5733600</v>
      </c>
      <c r="V463" s="1091">
        <f t="shared" si="445"/>
        <v>0</v>
      </c>
      <c r="W463" s="1091"/>
      <c r="X463" s="1091">
        <f t="shared" ref="X463:X466" si="553">+T463+Q463</f>
        <v>0</v>
      </c>
      <c r="Y463" s="1091">
        <f t="shared" ref="Y463:Y466" si="554">+U463-Q463</f>
        <v>5733600</v>
      </c>
      <c r="Z463" s="1091">
        <f t="shared" ref="Z463:Z466" si="555">+T463+Q463+P463</f>
        <v>0</v>
      </c>
      <c r="AA463" s="1091">
        <f t="shared" ref="AA463:AA466" si="556">+U463-Q463-P463</f>
        <v>5733600</v>
      </c>
      <c r="AB463" s="1091">
        <f t="shared" ref="AB463:AB466" si="557">IFERROR(Z463*100/(N463+O463),0)</f>
        <v>0</v>
      </c>
      <c r="AD463" s="650">
        <f t="shared" si="550"/>
        <v>0</v>
      </c>
      <c r="AI463" s="1277">
        <f>VLOOKUP(K463,'[2]ผลการเบิกจ่ายสะสม พ.ย. 66'!$C:$N,12,0)</f>
        <v>483919928.55000001</v>
      </c>
      <c r="AJ463" s="1274">
        <f t="shared" ref="AJ463:AJ526" si="558">+AI463-S463</f>
        <v>483919928.55000001</v>
      </c>
    </row>
    <row r="464" spans="1:36" s="112" customFormat="1" ht="21" customHeight="1" outlineLevel="1" x14ac:dyDescent="0.2">
      <c r="A464" s="33"/>
      <c r="B464" s="146"/>
      <c r="C464" s="34" t="s">
        <v>89</v>
      </c>
      <c r="D464" s="1118">
        <v>80000000</v>
      </c>
      <c r="E464" s="1105">
        <f>80000000+6103100</f>
        <v>86103100</v>
      </c>
      <c r="F464" s="1105"/>
      <c r="G464" s="1105"/>
      <c r="H464" s="1105">
        <v>88572900</v>
      </c>
      <c r="I464" s="1106">
        <v>112000000</v>
      </c>
      <c r="J464" s="1106">
        <v>58123000</v>
      </c>
      <c r="K464" s="1040" t="s">
        <v>1371</v>
      </c>
      <c r="L464" s="1065" t="s">
        <v>1429</v>
      </c>
      <c r="M464" s="1105">
        <v>43592200</v>
      </c>
      <c r="N464" s="1105">
        <v>58123000</v>
      </c>
      <c r="O464" s="1105"/>
      <c r="P464" s="1105"/>
      <c r="Q464" s="1105"/>
      <c r="R464" s="1105"/>
      <c r="S464" s="1268">
        <v>11657909.59</v>
      </c>
      <c r="T464" s="1091">
        <f t="shared" si="551"/>
        <v>11657909.59</v>
      </c>
      <c r="U464" s="1091">
        <f t="shared" si="552"/>
        <v>46465090.409999996</v>
      </c>
      <c r="V464" s="1091">
        <f t="shared" si="445"/>
        <v>20.057308793420848</v>
      </c>
      <c r="W464" s="1091"/>
      <c r="X464" s="1091">
        <f t="shared" si="553"/>
        <v>11657909.59</v>
      </c>
      <c r="Y464" s="1091">
        <f t="shared" si="554"/>
        <v>46465090.409999996</v>
      </c>
      <c r="Z464" s="1091">
        <f t="shared" si="555"/>
        <v>11657909.59</v>
      </c>
      <c r="AA464" s="1091">
        <f t="shared" si="556"/>
        <v>46465090.409999996</v>
      </c>
      <c r="AB464" s="1091">
        <f t="shared" si="557"/>
        <v>20.057308793420848</v>
      </c>
      <c r="AD464" s="650">
        <f t="shared" si="550"/>
        <v>0</v>
      </c>
      <c r="AI464" s="1277">
        <f>VLOOKUP(K464,'[2]ผลการเบิกจ่ายสะสม พ.ย. 66'!$C:$N,12,0)</f>
        <v>483919928.55000001</v>
      </c>
      <c r="AJ464" s="1274">
        <f t="shared" si="558"/>
        <v>472262018.96000004</v>
      </c>
    </row>
    <row r="465" spans="1:36" s="112" customFormat="1" ht="21" customHeight="1" outlineLevel="1" x14ac:dyDescent="0.2">
      <c r="A465" s="33"/>
      <c r="B465" s="146"/>
      <c r="C465" s="34" t="s">
        <v>91</v>
      </c>
      <c r="D465" s="1118">
        <v>140000000</v>
      </c>
      <c r="E465" s="1105">
        <f>138908351.77+1388900</f>
        <v>140297251.77000001</v>
      </c>
      <c r="F465" s="1105"/>
      <c r="G465" s="1105"/>
      <c r="H465" s="1105">
        <v>124895700</v>
      </c>
      <c r="I465" s="1106">
        <v>176000000</v>
      </c>
      <c r="J465" s="1106">
        <v>102260100</v>
      </c>
      <c r="K465" s="1040" t="s">
        <v>1371</v>
      </c>
      <c r="L465" s="1065" t="s">
        <v>1429</v>
      </c>
      <c r="M465" s="1105">
        <v>76695100</v>
      </c>
      <c r="N465" s="1105">
        <v>102260100</v>
      </c>
      <c r="O465" s="1105"/>
      <c r="P465" s="1105"/>
      <c r="Q465" s="1105"/>
      <c r="R465" s="1105"/>
      <c r="S465" s="1268">
        <v>41346489</v>
      </c>
      <c r="T465" s="1091">
        <f t="shared" si="551"/>
        <v>41346489</v>
      </c>
      <c r="U465" s="1091">
        <f t="shared" si="552"/>
        <v>60913611</v>
      </c>
      <c r="V465" s="1091">
        <f t="shared" si="445"/>
        <v>40.43267022034987</v>
      </c>
      <c r="W465" s="1091"/>
      <c r="X465" s="1091">
        <f t="shared" si="553"/>
        <v>41346489</v>
      </c>
      <c r="Y465" s="1091">
        <f t="shared" si="554"/>
        <v>60913611</v>
      </c>
      <c r="Z465" s="1091">
        <f t="shared" si="555"/>
        <v>41346489</v>
      </c>
      <c r="AA465" s="1091">
        <f t="shared" si="556"/>
        <v>60913611</v>
      </c>
      <c r="AB465" s="1091">
        <f t="shared" si="557"/>
        <v>40.43267022034987</v>
      </c>
      <c r="AD465" s="650">
        <f t="shared" si="550"/>
        <v>0</v>
      </c>
      <c r="AI465" s="1277">
        <f>VLOOKUP(K465,'[2]ผลการเบิกจ่ายสะสม พ.ย. 66'!$C:$N,12,0)</f>
        <v>483919928.55000001</v>
      </c>
      <c r="AJ465" s="1274">
        <f t="shared" si="558"/>
        <v>442573439.55000001</v>
      </c>
    </row>
    <row r="466" spans="1:36" s="5" customFormat="1" ht="21" customHeight="1" outlineLevel="1" x14ac:dyDescent="0.2">
      <c r="A466" s="33"/>
      <c r="B466" s="146"/>
      <c r="C466" s="34" t="s">
        <v>94</v>
      </c>
      <c r="D466" s="1118">
        <f>38476600-50000</f>
        <v>38426600</v>
      </c>
      <c r="E466" s="1105">
        <v>38426600</v>
      </c>
      <c r="F466" s="1105"/>
      <c r="G466" s="1105"/>
      <c r="H466" s="1105">
        <v>30067800</v>
      </c>
      <c r="I466" s="1106">
        <v>40476000</v>
      </c>
      <c r="J466" s="1106">
        <v>30067800</v>
      </c>
      <c r="K466" s="1040" t="s">
        <v>1371</v>
      </c>
      <c r="L466" s="1065" t="s">
        <v>1429</v>
      </c>
      <c r="M466" s="1105">
        <v>22550800</v>
      </c>
      <c r="N466" s="1105">
        <v>30067800</v>
      </c>
      <c r="O466" s="1105"/>
      <c r="P466" s="1105"/>
      <c r="Q466" s="1105"/>
      <c r="R466" s="1105"/>
      <c r="S466" s="1268">
        <v>5732058</v>
      </c>
      <c r="T466" s="1091">
        <f t="shared" si="551"/>
        <v>5732058</v>
      </c>
      <c r="U466" s="1091">
        <f t="shared" si="552"/>
        <v>24335742</v>
      </c>
      <c r="V466" s="1091">
        <f t="shared" ref="V466:V529" si="559">IFERROR(T466*100/(N466+O466),0)</f>
        <v>19.063775866541615</v>
      </c>
      <c r="W466" s="1091"/>
      <c r="X466" s="1091">
        <f t="shared" si="553"/>
        <v>5732058</v>
      </c>
      <c r="Y466" s="1091">
        <f t="shared" si="554"/>
        <v>24335742</v>
      </c>
      <c r="Z466" s="1091">
        <f t="shared" si="555"/>
        <v>5732058</v>
      </c>
      <c r="AA466" s="1091">
        <f t="shared" si="556"/>
        <v>24335742</v>
      </c>
      <c r="AB466" s="1091">
        <f t="shared" si="557"/>
        <v>19.063775866541615</v>
      </c>
      <c r="AD466" s="650">
        <f t="shared" si="550"/>
        <v>0</v>
      </c>
      <c r="AI466" s="1277">
        <f>VLOOKUP(K466,'[2]ผลการเบิกจ่ายสะสม พ.ย. 66'!$C:$N,12,0)</f>
        <v>483919928.55000001</v>
      </c>
      <c r="AJ466" s="1274">
        <f t="shared" si="558"/>
        <v>478187870.55000001</v>
      </c>
    </row>
    <row r="467" spans="1:36" s="5" customFormat="1" ht="21" customHeight="1" outlineLevel="1" x14ac:dyDescent="0.2">
      <c r="A467" s="33"/>
      <c r="B467" s="170"/>
      <c r="C467" s="72" t="s">
        <v>335</v>
      </c>
      <c r="D467" s="1118">
        <f>SUM(D468:D470)</f>
        <v>422514000</v>
      </c>
      <c r="E467" s="1105">
        <f>SUM(E468:E470)</f>
        <v>383096367.16000003</v>
      </c>
      <c r="F467" s="1105"/>
      <c r="G467" s="1105"/>
      <c r="H467" s="1105">
        <f>SUM(H468:H470)</f>
        <v>480653000</v>
      </c>
      <c r="I467" s="1106">
        <v>521063400</v>
      </c>
      <c r="J467" s="1106">
        <f>SUM(J468:J470)</f>
        <v>459591000</v>
      </c>
      <c r="K467" s="1040" t="s">
        <v>1371</v>
      </c>
      <c r="L467" s="1065" t="s">
        <v>1429</v>
      </c>
      <c r="M467" s="1105">
        <f t="shared" ref="M467:R467" si="560">SUM(M468:M470)</f>
        <v>246139900</v>
      </c>
      <c r="N467" s="1105">
        <f>SUM(N468:N470)</f>
        <v>253568400</v>
      </c>
      <c r="O467" s="1105">
        <f t="shared" si="560"/>
        <v>0</v>
      </c>
      <c r="P467" s="1105">
        <f t="shared" si="560"/>
        <v>0</v>
      </c>
      <c r="Q467" s="1105">
        <f t="shared" si="560"/>
        <v>0</v>
      </c>
      <c r="R467" s="1105">
        <f t="shared" si="560"/>
        <v>0</v>
      </c>
      <c r="S467" s="1291">
        <f>190623624.11</f>
        <v>190623624.11000001</v>
      </c>
      <c r="T467" s="1091">
        <f>+R467+S467</f>
        <v>190623624.11000001</v>
      </c>
      <c r="U467" s="1097">
        <f>+N467+O467-T467</f>
        <v>62944775.889999986</v>
      </c>
      <c r="V467" s="1105">
        <f t="shared" si="559"/>
        <v>75.176411615169712</v>
      </c>
      <c r="W467" s="1105">
        <f t="shared" ref="W467:AB467" si="561">SUM(W468:W470)</f>
        <v>0</v>
      </c>
      <c r="X467" s="1105">
        <f t="shared" si="561"/>
        <v>0</v>
      </c>
      <c r="Y467" s="1105">
        <f t="shared" si="561"/>
        <v>253568400</v>
      </c>
      <c r="Z467" s="1105">
        <f t="shared" si="561"/>
        <v>0</v>
      </c>
      <c r="AA467" s="1105">
        <f t="shared" si="561"/>
        <v>253568400</v>
      </c>
      <c r="AB467" s="1105">
        <f t="shared" si="561"/>
        <v>0</v>
      </c>
      <c r="AD467" s="650">
        <f t="shared" si="550"/>
        <v>0</v>
      </c>
      <c r="AI467" s="1277">
        <f>VLOOKUP(K467,'[2]ผลการเบิกจ่ายสะสม พ.ย. 66'!$C:$N,12,0)</f>
        <v>483919928.55000001</v>
      </c>
      <c r="AJ467" s="1274">
        <f t="shared" si="558"/>
        <v>293296304.44</v>
      </c>
    </row>
    <row r="468" spans="1:36" s="5" customFormat="1" ht="21" customHeight="1" outlineLevel="1" x14ac:dyDescent="0.2">
      <c r="A468" s="33"/>
      <c r="B468" s="126"/>
      <c r="C468" s="275" t="s">
        <v>10</v>
      </c>
      <c r="D468" s="1111">
        <v>257882700</v>
      </c>
      <c r="E468" s="1160">
        <v>257882700</v>
      </c>
      <c r="F468" s="1160"/>
      <c r="G468" s="1160"/>
      <c r="H468" s="1160">
        <v>320557300</v>
      </c>
      <c r="I468" s="1110">
        <v>299574000</v>
      </c>
      <c r="J468" s="1110">
        <v>261691600</v>
      </c>
      <c r="K468" s="1033"/>
      <c r="L468" s="1033"/>
      <c r="M468" s="1160">
        <v>162064800</v>
      </c>
      <c r="N468" s="1160">
        <v>169493300</v>
      </c>
      <c r="O468" s="1160"/>
      <c r="P468" s="1160"/>
      <c r="Q468" s="1160"/>
      <c r="R468" s="1160"/>
      <c r="S468" s="1160"/>
      <c r="T468" s="1091">
        <f t="shared" ref="T468:T471" si="562">+R468+S468</f>
        <v>0</v>
      </c>
      <c r="U468" s="1091">
        <f t="shared" ref="U468:U471" si="563">+N468+O468-T468</f>
        <v>169493300</v>
      </c>
      <c r="V468" s="1091">
        <f t="shared" si="559"/>
        <v>0</v>
      </c>
      <c r="W468" s="1091"/>
      <c r="X468" s="1091">
        <f t="shared" ref="X468:X471" si="564">+T468+Q468</f>
        <v>0</v>
      </c>
      <c r="Y468" s="1091">
        <f t="shared" ref="Y468:Y471" si="565">+U468-Q468</f>
        <v>169493300</v>
      </c>
      <c r="Z468" s="1091">
        <f t="shared" ref="Z468:Z471" si="566">+T468+Q468+P468</f>
        <v>0</v>
      </c>
      <c r="AA468" s="1091">
        <f t="shared" ref="AA468:AA471" si="567">+U468-Q468-P468</f>
        <v>169493300</v>
      </c>
      <c r="AB468" s="1091">
        <f t="shared" ref="AB468:AB471" si="568">IFERROR(Z468*100/(N468+O468),0)</f>
        <v>0</v>
      </c>
      <c r="AD468" s="650">
        <f t="shared" si="550"/>
        <v>0</v>
      </c>
      <c r="AI468" s="1277">
        <f>VLOOKUP(K468,'[2]ผลการเบิกจ่ายสะสม พ.ย. 66'!$C:$N,12,0)</f>
        <v>0</v>
      </c>
      <c r="AJ468" s="1274">
        <f t="shared" si="558"/>
        <v>0</v>
      </c>
    </row>
    <row r="469" spans="1:36" s="5" customFormat="1" ht="21" customHeight="1" outlineLevel="1" x14ac:dyDescent="0.2">
      <c r="A469" s="33"/>
      <c r="B469" s="126"/>
      <c r="C469" s="275" t="s">
        <v>33</v>
      </c>
      <c r="D469" s="1111">
        <v>124472600</v>
      </c>
      <c r="E469" s="1160">
        <v>124472600</v>
      </c>
      <c r="F469" s="1160"/>
      <c r="G469" s="1160"/>
      <c r="H469" s="1160">
        <v>133074100</v>
      </c>
      <c r="I469" s="1110">
        <v>106889800</v>
      </c>
      <c r="J469" s="1110">
        <v>95886400</v>
      </c>
      <c r="K469" s="1033"/>
      <c r="L469" s="1033"/>
      <c r="M469" s="1160">
        <v>84075100</v>
      </c>
      <c r="N469" s="1160">
        <v>84075100</v>
      </c>
      <c r="O469" s="1160"/>
      <c r="P469" s="1160"/>
      <c r="Q469" s="1160"/>
      <c r="R469" s="1160"/>
      <c r="S469" s="1160"/>
      <c r="T469" s="1091">
        <f t="shared" si="562"/>
        <v>0</v>
      </c>
      <c r="U469" s="1091">
        <f t="shared" si="563"/>
        <v>84075100</v>
      </c>
      <c r="V469" s="1091">
        <f t="shared" si="559"/>
        <v>0</v>
      </c>
      <c r="W469" s="1091"/>
      <c r="X469" s="1091">
        <f t="shared" si="564"/>
        <v>0</v>
      </c>
      <c r="Y469" s="1091">
        <f t="shared" si="565"/>
        <v>84075100</v>
      </c>
      <c r="Z469" s="1091">
        <f t="shared" si="566"/>
        <v>0</v>
      </c>
      <c r="AA469" s="1091">
        <f t="shared" si="567"/>
        <v>84075100</v>
      </c>
      <c r="AB469" s="1091">
        <f t="shared" si="568"/>
        <v>0</v>
      </c>
      <c r="AD469" s="650">
        <f t="shared" si="550"/>
        <v>0</v>
      </c>
      <c r="AI469" s="1277">
        <f>VLOOKUP(K469,'[2]ผลการเบิกจ่ายสะสม พ.ย. 66'!$C:$N,12,0)</f>
        <v>0</v>
      </c>
      <c r="AJ469" s="1274">
        <f t="shared" si="558"/>
        <v>0</v>
      </c>
    </row>
    <row r="470" spans="1:36" s="5" customFormat="1" ht="21" customHeight="1" outlineLevel="1" x14ac:dyDescent="0.2">
      <c r="A470" s="33"/>
      <c r="B470" s="126"/>
      <c r="C470" s="275" t="s">
        <v>34</v>
      </c>
      <c r="D470" s="1111">
        <v>40158700</v>
      </c>
      <c r="E470" s="1160">
        <v>741067.16</v>
      </c>
      <c r="F470" s="1160"/>
      <c r="G470" s="1160"/>
      <c r="H470" s="1160">
        <v>27021600</v>
      </c>
      <c r="I470" s="1110">
        <v>114599600</v>
      </c>
      <c r="J470" s="1110">
        <v>102013000</v>
      </c>
      <c r="K470" s="1033"/>
      <c r="L470" s="1033"/>
      <c r="M470" s="1160">
        <v>0</v>
      </c>
      <c r="N470" s="1160">
        <v>0</v>
      </c>
      <c r="O470" s="1160"/>
      <c r="P470" s="1160"/>
      <c r="Q470" s="1160"/>
      <c r="R470" s="1160"/>
      <c r="S470" s="1160"/>
      <c r="T470" s="1091">
        <f t="shared" si="562"/>
        <v>0</v>
      </c>
      <c r="U470" s="1091">
        <f t="shared" si="563"/>
        <v>0</v>
      </c>
      <c r="V470" s="1091">
        <f t="shared" si="559"/>
        <v>0</v>
      </c>
      <c r="W470" s="1091"/>
      <c r="X470" s="1091">
        <f t="shared" si="564"/>
        <v>0</v>
      </c>
      <c r="Y470" s="1091">
        <f t="shared" si="565"/>
        <v>0</v>
      </c>
      <c r="Z470" s="1091">
        <f t="shared" si="566"/>
        <v>0</v>
      </c>
      <c r="AA470" s="1091">
        <f t="shared" si="567"/>
        <v>0</v>
      </c>
      <c r="AB470" s="1091">
        <f t="shared" si="568"/>
        <v>0</v>
      </c>
      <c r="AD470" s="650">
        <f t="shared" si="550"/>
        <v>0</v>
      </c>
      <c r="AI470" s="1277">
        <f>VLOOKUP(K470,'[2]ผลการเบิกจ่ายสะสม พ.ย. 66'!$C:$N,12,0)</f>
        <v>0</v>
      </c>
      <c r="AJ470" s="1274">
        <f t="shared" si="558"/>
        <v>0</v>
      </c>
    </row>
    <row r="471" spans="1:36" s="5" customFormat="1" ht="21" customHeight="1" outlineLevel="1" x14ac:dyDescent="0.2">
      <c r="A471" s="33"/>
      <c r="B471" s="72" t="s">
        <v>155</v>
      </c>
      <c r="C471" s="274"/>
      <c r="D471" s="1118">
        <v>105000000</v>
      </c>
      <c r="E471" s="1105">
        <v>104872461.49999999</v>
      </c>
      <c r="F471" s="1105"/>
      <c r="G471" s="1105"/>
      <c r="H471" s="1105">
        <v>89943600</v>
      </c>
      <c r="I471" s="1106">
        <v>185000000</v>
      </c>
      <c r="J471" s="1106">
        <v>84640000</v>
      </c>
      <c r="K471" s="1040"/>
      <c r="L471" s="1065"/>
      <c r="M471" s="1105">
        <v>84640000</v>
      </c>
      <c r="N471" s="1105">
        <v>84640000</v>
      </c>
      <c r="O471" s="1105"/>
      <c r="P471" s="1105"/>
      <c r="Q471" s="1105"/>
      <c r="R471" s="1105"/>
      <c r="S471" s="1268">
        <f>78792425.75</f>
        <v>78792425.75</v>
      </c>
      <c r="T471" s="1091">
        <f t="shared" si="562"/>
        <v>78792425.75</v>
      </c>
      <c r="U471" s="1091">
        <f t="shared" si="563"/>
        <v>5847574.25</v>
      </c>
      <c r="V471" s="1091">
        <f t="shared" si="559"/>
        <v>93.091240252835533</v>
      </c>
      <c r="W471" s="1091"/>
      <c r="X471" s="1091">
        <f t="shared" si="564"/>
        <v>78792425.75</v>
      </c>
      <c r="Y471" s="1091">
        <f t="shared" si="565"/>
        <v>5847574.25</v>
      </c>
      <c r="Z471" s="1091">
        <f t="shared" si="566"/>
        <v>78792425.75</v>
      </c>
      <c r="AA471" s="1091">
        <f t="shared" si="567"/>
        <v>5847574.25</v>
      </c>
      <c r="AB471" s="1091">
        <f t="shared" si="568"/>
        <v>93.091240252835533</v>
      </c>
      <c r="AD471" s="650">
        <f t="shared" si="550"/>
        <v>0</v>
      </c>
      <c r="AI471" s="1277">
        <f>VLOOKUP(K471,'[2]ผลการเบิกจ่ายสะสม พ.ย. 66'!$C:$N,12,0)</f>
        <v>0</v>
      </c>
      <c r="AJ471" s="1274">
        <f t="shared" si="558"/>
        <v>-78792425.75</v>
      </c>
    </row>
    <row r="472" spans="1:36" s="112" customFormat="1" x14ac:dyDescent="0.2">
      <c r="A472" s="33"/>
      <c r="B472" s="34" t="s">
        <v>179</v>
      </c>
      <c r="C472" s="273"/>
      <c r="D472" s="1118">
        <f>SUM(D473:D475)</f>
        <v>61331700</v>
      </c>
      <c r="E472" s="1105">
        <f>SUM(E473:E475)</f>
        <v>69028700</v>
      </c>
      <c r="F472" s="1105"/>
      <c r="G472" s="1105"/>
      <c r="H472" s="1105">
        <f>SUM(H473:H475)</f>
        <v>54760600</v>
      </c>
      <c r="I472" s="1106">
        <v>77000000</v>
      </c>
      <c r="J472" s="1106">
        <f>SUM(J473:J475)</f>
        <v>55029000</v>
      </c>
      <c r="K472" s="1040" t="s">
        <v>1371</v>
      </c>
      <c r="L472" s="1065" t="s">
        <v>1429</v>
      </c>
      <c r="M472" s="1105">
        <f t="shared" ref="M472:Q472" si="569">SUM(M473:M475)</f>
        <v>27485900</v>
      </c>
      <c r="N472" s="1105">
        <f>SUM(N473:N475)</f>
        <v>27485900</v>
      </c>
      <c r="O472" s="1105">
        <f t="shared" si="569"/>
        <v>0</v>
      </c>
      <c r="P472" s="1105">
        <f t="shared" si="569"/>
        <v>0</v>
      </c>
      <c r="Q472" s="1105">
        <f t="shared" si="569"/>
        <v>0</v>
      </c>
      <c r="R472" s="1105">
        <f t="shared" ref="R472:U472" si="570">SUM(R473:R475)</f>
        <v>0</v>
      </c>
      <c r="S472" s="1291">
        <f t="shared" si="570"/>
        <v>18703996.77</v>
      </c>
      <c r="T472" s="1105">
        <f t="shared" si="570"/>
        <v>18703996.77</v>
      </c>
      <c r="U472" s="1105">
        <f t="shared" si="570"/>
        <v>8781903.2300000004</v>
      </c>
      <c r="V472" s="1105">
        <f t="shared" si="559"/>
        <v>68.049424504927984</v>
      </c>
      <c r="W472" s="1105">
        <f t="shared" ref="W472:AB472" si="571">SUM(W473:W475)</f>
        <v>0</v>
      </c>
      <c r="X472" s="1105">
        <f t="shared" si="571"/>
        <v>18703996.77</v>
      </c>
      <c r="Y472" s="1105">
        <f t="shared" si="571"/>
        <v>8781903.2300000004</v>
      </c>
      <c r="Z472" s="1105">
        <f t="shared" si="571"/>
        <v>18703996.77</v>
      </c>
      <c r="AA472" s="1105">
        <f t="shared" si="571"/>
        <v>8781903.2300000004</v>
      </c>
      <c r="AB472" s="1105">
        <f t="shared" si="571"/>
        <v>203.93599810190827</v>
      </c>
      <c r="AD472" s="650">
        <f t="shared" si="550"/>
        <v>0</v>
      </c>
      <c r="AI472" s="1277">
        <f>VLOOKUP(K472,'[2]ผลการเบิกจ่ายสะสม พ.ย. 66'!$C:$N,12,0)</f>
        <v>483919928.55000001</v>
      </c>
      <c r="AJ472" s="1274">
        <f t="shared" si="558"/>
        <v>465215931.78000003</v>
      </c>
    </row>
    <row r="473" spans="1:36" s="112" customFormat="1" ht="21" customHeight="1" outlineLevel="1" x14ac:dyDescent="0.2">
      <c r="A473" s="33"/>
      <c r="B473" s="146"/>
      <c r="C473" s="140" t="s">
        <v>98</v>
      </c>
      <c r="D473" s="1111">
        <v>20000000</v>
      </c>
      <c r="E473" s="1160">
        <f>20000000+6157800</f>
        <v>26157800</v>
      </c>
      <c r="F473" s="1160"/>
      <c r="G473" s="1160"/>
      <c r="H473" s="1160">
        <v>16483700</v>
      </c>
      <c r="I473" s="1110">
        <v>25000000</v>
      </c>
      <c r="J473" s="1110">
        <v>17039100</v>
      </c>
      <c r="K473" s="1033"/>
      <c r="L473" s="1033"/>
      <c r="M473" s="1160">
        <v>8519500</v>
      </c>
      <c r="N473" s="1160">
        <v>8519500</v>
      </c>
      <c r="O473" s="1160"/>
      <c r="P473" s="1160"/>
      <c r="Q473" s="1160"/>
      <c r="R473" s="1160"/>
      <c r="S473" s="1289">
        <f>5096000</f>
        <v>5096000</v>
      </c>
      <c r="T473" s="1091">
        <f t="shared" ref="T473:T475" si="572">+R473+S473</f>
        <v>5096000</v>
      </c>
      <c r="U473" s="1091">
        <f t="shared" ref="U473:U475" si="573">+N473+O473-T473</f>
        <v>3423500</v>
      </c>
      <c r="V473" s="1091">
        <f t="shared" si="559"/>
        <v>59.815716884793709</v>
      </c>
      <c r="W473" s="1091"/>
      <c r="X473" s="1091">
        <f t="shared" ref="X473:X475" si="574">+T473+Q473</f>
        <v>5096000</v>
      </c>
      <c r="Y473" s="1091">
        <f t="shared" ref="Y473:Y475" si="575">+U473-Q473</f>
        <v>3423500</v>
      </c>
      <c r="Z473" s="1091">
        <f t="shared" ref="Z473:Z475" si="576">+T473+Q473+P473</f>
        <v>5096000</v>
      </c>
      <c r="AA473" s="1091">
        <f t="shared" ref="AA473:AA475" si="577">+U473-Q473-P473</f>
        <v>3423500</v>
      </c>
      <c r="AB473" s="1091">
        <f t="shared" ref="AB473:AB475" si="578">IFERROR(Z473*100/(N473+O473),0)</f>
        <v>59.815716884793709</v>
      </c>
      <c r="AD473" s="650">
        <f t="shared" si="550"/>
        <v>0</v>
      </c>
      <c r="AI473" s="1277">
        <f>VLOOKUP(K473,'[2]ผลการเบิกจ่ายสะสม พ.ย. 66'!$C:$N,12,0)</f>
        <v>0</v>
      </c>
      <c r="AJ473" s="1274">
        <f t="shared" si="558"/>
        <v>-5096000</v>
      </c>
    </row>
    <row r="474" spans="1:36" s="112" customFormat="1" ht="21" customHeight="1" outlineLevel="1" x14ac:dyDescent="0.2">
      <c r="A474" s="33"/>
      <c r="B474" s="146"/>
      <c r="C474" s="140" t="s">
        <v>99</v>
      </c>
      <c r="D474" s="1111">
        <v>17000000</v>
      </c>
      <c r="E474" s="1160">
        <f>17000000+136700</f>
        <v>17136700</v>
      </c>
      <c r="F474" s="1160"/>
      <c r="G474" s="1160"/>
      <c r="H474" s="1160">
        <v>14941500</v>
      </c>
      <c r="I474" s="1110">
        <v>22000000</v>
      </c>
      <c r="J474" s="1110">
        <v>14822100</v>
      </c>
      <c r="K474" s="1033"/>
      <c r="L474" s="1033"/>
      <c r="M474" s="1160">
        <v>7411100</v>
      </c>
      <c r="N474" s="1160">
        <v>7411100</v>
      </c>
      <c r="O474" s="1160"/>
      <c r="P474" s="1160"/>
      <c r="Q474" s="1160"/>
      <c r="R474" s="1160"/>
      <c r="S474" s="1289">
        <f>5446348.55</f>
        <v>5446348.5499999998</v>
      </c>
      <c r="T474" s="1091">
        <f t="shared" si="572"/>
        <v>5446348.5499999998</v>
      </c>
      <c r="U474" s="1091">
        <f t="shared" si="573"/>
        <v>1964751.4500000002</v>
      </c>
      <c r="V474" s="1091">
        <f t="shared" si="559"/>
        <v>73.489071123045164</v>
      </c>
      <c r="W474" s="1091"/>
      <c r="X474" s="1091">
        <f t="shared" si="574"/>
        <v>5446348.5499999998</v>
      </c>
      <c r="Y474" s="1091">
        <f t="shared" si="575"/>
        <v>1964751.4500000002</v>
      </c>
      <c r="Z474" s="1091">
        <f t="shared" si="576"/>
        <v>5446348.5499999998</v>
      </c>
      <c r="AA474" s="1091">
        <f t="shared" si="577"/>
        <v>1964751.4500000002</v>
      </c>
      <c r="AB474" s="1091">
        <f t="shared" si="578"/>
        <v>73.489071123045164</v>
      </c>
      <c r="AD474" s="650">
        <f t="shared" si="550"/>
        <v>0</v>
      </c>
      <c r="AI474" s="1277">
        <f>VLOOKUP(K474,'[2]ผลการเบิกจ่ายสะสม พ.ย. 66'!$C:$N,12,0)</f>
        <v>0</v>
      </c>
      <c r="AJ474" s="1274">
        <f t="shared" si="558"/>
        <v>-5446348.5499999998</v>
      </c>
    </row>
    <row r="475" spans="1:36" s="112" customFormat="1" ht="24" customHeight="1" outlineLevel="1" x14ac:dyDescent="0.2">
      <c r="A475" s="104"/>
      <c r="B475" s="925"/>
      <c r="C475" s="410" t="s">
        <v>100</v>
      </c>
      <c r="D475" s="1146">
        <f>24156000+175700</f>
        <v>24331700</v>
      </c>
      <c r="E475" s="1164">
        <f>24331700+1402500</f>
        <v>25734200</v>
      </c>
      <c r="F475" s="1164"/>
      <c r="G475" s="1164"/>
      <c r="H475" s="1164">
        <v>23335400</v>
      </c>
      <c r="I475" s="1152">
        <v>30000000</v>
      </c>
      <c r="J475" s="1152">
        <v>23167800</v>
      </c>
      <c r="K475" s="1043"/>
      <c r="L475" s="1043"/>
      <c r="M475" s="1164">
        <v>11555300</v>
      </c>
      <c r="N475" s="1164">
        <v>11555300</v>
      </c>
      <c r="O475" s="1164"/>
      <c r="P475" s="1164"/>
      <c r="Q475" s="1164"/>
      <c r="R475" s="1164"/>
      <c r="S475" s="1290">
        <f>8161648.22</f>
        <v>8161648.2199999997</v>
      </c>
      <c r="T475" s="1091">
        <f t="shared" si="572"/>
        <v>8161648.2199999997</v>
      </c>
      <c r="U475" s="1091">
        <f t="shared" si="573"/>
        <v>3393651.7800000003</v>
      </c>
      <c r="V475" s="1091">
        <f t="shared" si="559"/>
        <v>70.631210094069388</v>
      </c>
      <c r="W475" s="1091"/>
      <c r="X475" s="1091">
        <f t="shared" si="574"/>
        <v>8161648.2199999997</v>
      </c>
      <c r="Y475" s="1091">
        <f t="shared" si="575"/>
        <v>3393651.7800000003</v>
      </c>
      <c r="Z475" s="1091">
        <f t="shared" si="576"/>
        <v>8161648.2199999997</v>
      </c>
      <c r="AA475" s="1091">
        <f t="shared" si="577"/>
        <v>3393651.7800000003</v>
      </c>
      <c r="AB475" s="1091">
        <f t="shared" si="578"/>
        <v>70.631210094069388</v>
      </c>
      <c r="AD475" s="650">
        <f t="shared" si="550"/>
        <v>0</v>
      </c>
      <c r="AI475" s="1277">
        <f>VLOOKUP(K475,'[2]ผลการเบิกจ่ายสะสม พ.ย. 66'!$C:$N,12,0)</f>
        <v>0</v>
      </c>
      <c r="AJ475" s="1274">
        <f t="shared" si="558"/>
        <v>-8161648.2199999997</v>
      </c>
    </row>
    <row r="476" spans="1:36" s="112" customFormat="1" x14ac:dyDescent="0.2">
      <c r="A476" s="101"/>
      <c r="B476" s="287" t="s">
        <v>180</v>
      </c>
      <c r="C476" s="1245"/>
      <c r="D476" s="1256">
        <f>SUM(D477:D480)</f>
        <v>165008100</v>
      </c>
      <c r="E476" s="1257">
        <f>SUM(E477:E480)</f>
        <v>170487010</v>
      </c>
      <c r="F476" s="1257"/>
      <c r="G476" s="1257"/>
      <c r="H476" s="1257">
        <f>SUM(H477:H480)</f>
        <v>151318800</v>
      </c>
      <c r="I476" s="1258">
        <v>206000000</v>
      </c>
      <c r="J476" s="1258">
        <f>SUM(J477:J480)</f>
        <v>153191900</v>
      </c>
      <c r="K476" s="1259" t="s">
        <v>1371</v>
      </c>
      <c r="L476" s="1260" t="s">
        <v>1429</v>
      </c>
      <c r="M476" s="1257">
        <f t="shared" ref="M476:U476" si="579">SUM(M477:M480)</f>
        <v>114893800</v>
      </c>
      <c r="N476" s="1257">
        <f>SUM(N477:N480)</f>
        <v>153191900</v>
      </c>
      <c r="O476" s="1257">
        <f t="shared" si="579"/>
        <v>0</v>
      </c>
      <c r="P476" s="1257">
        <f t="shared" si="579"/>
        <v>0</v>
      </c>
      <c r="Q476" s="1257">
        <f t="shared" si="579"/>
        <v>0</v>
      </c>
      <c r="R476" s="1257">
        <f t="shared" si="579"/>
        <v>0</v>
      </c>
      <c r="S476" s="1257">
        <f t="shared" si="579"/>
        <v>76816478.859999999</v>
      </c>
      <c r="T476" s="1257">
        <f t="shared" si="579"/>
        <v>76816478.859999999</v>
      </c>
      <c r="U476" s="1257">
        <f t="shared" si="579"/>
        <v>76375421.140000001</v>
      </c>
      <c r="V476" s="1257">
        <f t="shared" si="559"/>
        <v>50.143955953284738</v>
      </c>
      <c r="W476" s="1153">
        <f t="shared" ref="W476:AB476" si="580">SUM(W477:W480)</f>
        <v>0</v>
      </c>
      <c r="X476" s="1153">
        <f t="shared" si="580"/>
        <v>76816478.859999999</v>
      </c>
      <c r="Y476" s="1153">
        <f t="shared" si="580"/>
        <v>76375421.140000001</v>
      </c>
      <c r="Z476" s="1153">
        <f t="shared" si="580"/>
        <v>76816478.859999999</v>
      </c>
      <c r="AA476" s="1153">
        <f t="shared" si="580"/>
        <v>76375421.140000001</v>
      </c>
      <c r="AB476" s="1153">
        <f t="shared" si="580"/>
        <v>168.88458847439131</v>
      </c>
      <c r="AD476" s="650">
        <f t="shared" si="550"/>
        <v>0</v>
      </c>
      <c r="AI476" s="1277">
        <f>VLOOKUP(K476,'[2]ผลการเบิกจ่ายสะสม พ.ย. 66'!$C:$N,12,0)</f>
        <v>483919928.55000001</v>
      </c>
      <c r="AJ476" s="1274">
        <f t="shared" si="558"/>
        <v>407103449.69</v>
      </c>
    </row>
    <row r="477" spans="1:36" s="112" customFormat="1" ht="21" customHeight="1" outlineLevel="1" x14ac:dyDescent="0.2">
      <c r="A477" s="96"/>
      <c r="B477" s="271"/>
      <c r="C477" s="908" t="s">
        <v>105</v>
      </c>
      <c r="D477" s="1253">
        <v>80200000</v>
      </c>
      <c r="E477" s="1252">
        <f>80200000+3672700</f>
        <v>83872700</v>
      </c>
      <c r="F477" s="1252"/>
      <c r="G477" s="1252"/>
      <c r="H477" s="1252">
        <v>67002300</v>
      </c>
      <c r="I477" s="1254">
        <v>100000000</v>
      </c>
      <c r="J477" s="1254">
        <v>73771400</v>
      </c>
      <c r="K477" s="1255"/>
      <c r="L477" s="1255"/>
      <c r="M477" s="1252">
        <v>55328500</v>
      </c>
      <c r="N477" s="1252">
        <v>73771400</v>
      </c>
      <c r="O477" s="1252"/>
      <c r="P477" s="1252"/>
      <c r="Q477" s="1252"/>
      <c r="R477" s="1252"/>
      <c r="S477" s="1293">
        <v>47564646.859999999</v>
      </c>
      <c r="T477" s="1228">
        <f t="shared" ref="T477:T480" si="581">+R477+S477</f>
        <v>47564646.859999999</v>
      </c>
      <c r="U477" s="1228">
        <f t="shared" ref="U477:U480" si="582">+N477+O477-T477</f>
        <v>26206753.140000001</v>
      </c>
      <c r="V477" s="1228">
        <f t="shared" si="559"/>
        <v>64.475727531265505</v>
      </c>
      <c r="W477" s="1091"/>
      <c r="X477" s="1091">
        <f t="shared" ref="X477:X480" si="583">+T477+Q477</f>
        <v>47564646.859999999</v>
      </c>
      <c r="Y477" s="1091">
        <f t="shared" ref="Y477:Y480" si="584">+U477-Q477</f>
        <v>26206753.140000001</v>
      </c>
      <c r="Z477" s="1091">
        <f t="shared" ref="Z477:Z480" si="585">+T477+Q477+P477</f>
        <v>47564646.859999999</v>
      </c>
      <c r="AA477" s="1091">
        <f t="shared" ref="AA477:AA480" si="586">+U477-Q477-P477</f>
        <v>26206753.140000001</v>
      </c>
      <c r="AB477" s="1091">
        <f t="shared" ref="AB477:AB480" si="587">IFERROR(Z477*100/(N477+O477),0)</f>
        <v>64.475727531265505</v>
      </c>
      <c r="AD477" s="650">
        <f t="shared" si="550"/>
        <v>0</v>
      </c>
      <c r="AI477" s="1277">
        <f>VLOOKUP(K477,'[2]ผลการเบิกจ่ายสะสม พ.ย. 66'!$C:$N,12,0)</f>
        <v>0</v>
      </c>
      <c r="AJ477" s="1274">
        <f t="shared" si="558"/>
        <v>-47564646.859999999</v>
      </c>
    </row>
    <row r="478" spans="1:36" s="112" customFormat="1" ht="21" customHeight="1" outlineLevel="1" x14ac:dyDescent="0.2">
      <c r="A478" s="33"/>
      <c r="B478" s="146"/>
      <c r="C478" s="140" t="s">
        <v>181</v>
      </c>
      <c r="D478" s="1111">
        <v>16330000</v>
      </c>
      <c r="E478" s="1160">
        <f>16330000+102400</f>
        <v>16432400</v>
      </c>
      <c r="F478" s="1160"/>
      <c r="G478" s="1160"/>
      <c r="H478" s="1160">
        <v>15318900</v>
      </c>
      <c r="I478" s="1110">
        <v>21000000</v>
      </c>
      <c r="J478" s="1110">
        <v>15318900</v>
      </c>
      <c r="K478" s="1033"/>
      <c r="L478" s="1033"/>
      <c r="M478" s="1160">
        <v>11489200</v>
      </c>
      <c r="N478" s="1160">
        <v>15318900</v>
      </c>
      <c r="O478" s="1160"/>
      <c r="P478" s="1160"/>
      <c r="Q478" s="1160"/>
      <c r="R478" s="1160"/>
      <c r="S478" s="1267">
        <v>5072850</v>
      </c>
      <c r="T478" s="1091">
        <f t="shared" si="581"/>
        <v>5072850</v>
      </c>
      <c r="U478" s="1091">
        <f t="shared" si="582"/>
        <v>10246050</v>
      </c>
      <c r="V478" s="1091">
        <f t="shared" si="559"/>
        <v>33.114975618353796</v>
      </c>
      <c r="W478" s="1091"/>
      <c r="X478" s="1091">
        <f t="shared" si="583"/>
        <v>5072850</v>
      </c>
      <c r="Y478" s="1091">
        <f t="shared" si="584"/>
        <v>10246050</v>
      </c>
      <c r="Z478" s="1091">
        <f t="shared" si="585"/>
        <v>5072850</v>
      </c>
      <c r="AA478" s="1091">
        <f t="shared" si="586"/>
        <v>10246050</v>
      </c>
      <c r="AB478" s="1091">
        <f t="shared" si="587"/>
        <v>33.114975618353796</v>
      </c>
      <c r="AD478" s="650">
        <f t="shared" si="550"/>
        <v>0</v>
      </c>
      <c r="AI478" s="1277">
        <f>VLOOKUP(K478,'[2]ผลการเบิกจ่ายสะสม พ.ย. 66'!$C:$N,12,0)</f>
        <v>0</v>
      </c>
      <c r="AJ478" s="1274">
        <f t="shared" si="558"/>
        <v>-5072850</v>
      </c>
    </row>
    <row r="479" spans="1:36" s="112" customFormat="1" ht="21" customHeight="1" outlineLevel="1" x14ac:dyDescent="0.2">
      <c r="A479" s="33"/>
      <c r="B479" s="146"/>
      <c r="C479" s="140" t="s">
        <v>107</v>
      </c>
      <c r="D479" s="1111">
        <v>43925300</v>
      </c>
      <c r="E479" s="1160">
        <f>44228110+720200</f>
        <v>44948310</v>
      </c>
      <c r="F479" s="1160"/>
      <c r="G479" s="1160"/>
      <c r="H479" s="1160">
        <v>42332300</v>
      </c>
      <c r="I479" s="1110">
        <v>54000000</v>
      </c>
      <c r="J479" s="1110">
        <v>42810600</v>
      </c>
      <c r="K479" s="1033"/>
      <c r="L479" s="1033"/>
      <c r="M479" s="1160">
        <v>32107900</v>
      </c>
      <c r="N479" s="1160">
        <v>42810600</v>
      </c>
      <c r="O479" s="1160"/>
      <c r="P479" s="1160"/>
      <c r="Q479" s="1160"/>
      <c r="R479" s="1160"/>
      <c r="S479" s="1267">
        <v>17903998</v>
      </c>
      <c r="T479" s="1091">
        <f t="shared" si="581"/>
        <v>17903998</v>
      </c>
      <c r="U479" s="1091">
        <f t="shared" si="582"/>
        <v>24906602</v>
      </c>
      <c r="V479" s="1091">
        <f t="shared" si="559"/>
        <v>41.821413388273001</v>
      </c>
      <c r="W479" s="1091"/>
      <c r="X479" s="1091">
        <f t="shared" si="583"/>
        <v>17903998</v>
      </c>
      <c r="Y479" s="1091">
        <f t="shared" si="584"/>
        <v>24906602</v>
      </c>
      <c r="Z479" s="1091">
        <f t="shared" si="585"/>
        <v>17903998</v>
      </c>
      <c r="AA479" s="1091">
        <f t="shared" si="586"/>
        <v>24906602</v>
      </c>
      <c r="AB479" s="1091">
        <f t="shared" si="587"/>
        <v>41.821413388273001</v>
      </c>
      <c r="AD479" s="650">
        <f t="shared" si="550"/>
        <v>0</v>
      </c>
      <c r="AI479" s="1277">
        <f>VLOOKUP(K479,'[2]ผลการเบิกจ่ายสะสม พ.ย. 66'!$C:$N,12,0)</f>
        <v>0</v>
      </c>
      <c r="AJ479" s="1274">
        <f t="shared" si="558"/>
        <v>-17903998</v>
      </c>
    </row>
    <row r="480" spans="1:36" s="5" customFormat="1" ht="21" customHeight="1" outlineLevel="1" x14ac:dyDescent="0.2">
      <c r="A480" s="33"/>
      <c r="B480" s="146"/>
      <c r="C480" s="140" t="s">
        <v>182</v>
      </c>
      <c r="D480" s="1111">
        <v>24552800</v>
      </c>
      <c r="E480" s="1160">
        <f>24552800+680800</f>
        <v>25233600</v>
      </c>
      <c r="F480" s="1160"/>
      <c r="G480" s="1160"/>
      <c r="H480" s="1160">
        <v>26665300</v>
      </c>
      <c r="I480" s="1110">
        <v>31000000</v>
      </c>
      <c r="J480" s="1110">
        <v>21291000</v>
      </c>
      <c r="K480" s="1033"/>
      <c r="L480" s="1033"/>
      <c r="M480" s="1160">
        <v>15968200</v>
      </c>
      <c r="N480" s="1160">
        <v>21291000</v>
      </c>
      <c r="O480" s="1160"/>
      <c r="P480" s="1160"/>
      <c r="Q480" s="1160"/>
      <c r="R480" s="1160"/>
      <c r="S480" s="1267">
        <v>6274984</v>
      </c>
      <c r="T480" s="1091">
        <f t="shared" si="581"/>
        <v>6274984</v>
      </c>
      <c r="U480" s="1091">
        <f t="shared" si="582"/>
        <v>15016016</v>
      </c>
      <c r="V480" s="1091">
        <f t="shared" si="559"/>
        <v>29.472471936498991</v>
      </c>
      <c r="W480" s="1091"/>
      <c r="X480" s="1091">
        <f t="shared" si="583"/>
        <v>6274984</v>
      </c>
      <c r="Y480" s="1091">
        <f t="shared" si="584"/>
        <v>15016016</v>
      </c>
      <c r="Z480" s="1091">
        <f t="shared" si="585"/>
        <v>6274984</v>
      </c>
      <c r="AA480" s="1091">
        <f t="shared" si="586"/>
        <v>15016016</v>
      </c>
      <c r="AB480" s="1091">
        <f t="shared" si="587"/>
        <v>29.472471936498991</v>
      </c>
      <c r="AD480" s="650">
        <f t="shared" si="550"/>
        <v>0</v>
      </c>
      <c r="AI480" s="1277">
        <f>VLOOKUP(K480,'[2]ผลการเบิกจ่ายสะสม พ.ย. 66'!$C:$N,12,0)</f>
        <v>0</v>
      </c>
      <c r="AJ480" s="1274">
        <f t="shared" si="558"/>
        <v>-6274984</v>
      </c>
    </row>
    <row r="481" spans="1:36" s="5" customFormat="1" x14ac:dyDescent="0.2">
      <c r="A481" s="20" t="s">
        <v>110</v>
      </c>
      <c r="B481" s="21"/>
      <c r="C481" s="21"/>
      <c r="D481" s="1087">
        <v>275292200</v>
      </c>
      <c r="E481" s="1142">
        <f>SUM(E482)</f>
        <v>156838930.18000001</v>
      </c>
      <c r="F481" s="1142"/>
      <c r="G481" s="1142"/>
      <c r="H481" s="1142">
        <f>SUM(H482)</f>
        <v>220354600</v>
      </c>
      <c r="I481" s="1089">
        <v>393018500</v>
      </c>
      <c r="J481" s="1089">
        <f>SUM(J482)</f>
        <v>194111600</v>
      </c>
      <c r="K481" s="1028"/>
      <c r="L481" s="1028"/>
      <c r="M481" s="1088">
        <f t="shared" ref="M481:AB481" si="588">SUM(M482)</f>
        <v>0</v>
      </c>
      <c r="N481" s="1088">
        <f>SUM(N482)</f>
        <v>46062000</v>
      </c>
      <c r="O481" s="1088">
        <f t="shared" si="588"/>
        <v>0</v>
      </c>
      <c r="P481" s="1088">
        <f t="shared" si="588"/>
        <v>0</v>
      </c>
      <c r="Q481" s="1088">
        <f t="shared" si="588"/>
        <v>0</v>
      </c>
      <c r="R481" s="1088">
        <f t="shared" si="588"/>
        <v>0</v>
      </c>
      <c r="S481" s="1088">
        <f t="shared" si="588"/>
        <v>0</v>
      </c>
      <c r="T481" s="1088">
        <f t="shared" si="588"/>
        <v>0</v>
      </c>
      <c r="U481" s="1088">
        <f t="shared" si="588"/>
        <v>46062000</v>
      </c>
      <c r="V481" s="1088">
        <f t="shared" si="559"/>
        <v>0</v>
      </c>
      <c r="W481" s="1088">
        <f t="shared" si="588"/>
        <v>0</v>
      </c>
      <c r="X481" s="1088">
        <f t="shared" si="588"/>
        <v>0</v>
      </c>
      <c r="Y481" s="1088">
        <f t="shared" si="588"/>
        <v>46062000</v>
      </c>
      <c r="Z481" s="1088">
        <f t="shared" si="588"/>
        <v>0</v>
      </c>
      <c r="AA481" s="1088">
        <f t="shared" si="588"/>
        <v>46062000</v>
      </c>
      <c r="AB481" s="1088">
        <f t="shared" si="588"/>
        <v>0</v>
      </c>
      <c r="AD481" s="650">
        <f t="shared" si="550"/>
        <v>0</v>
      </c>
      <c r="AI481" s="1277">
        <f>VLOOKUP(K481,'[2]ผลการเบิกจ่ายสะสม พ.ย. 66'!$C:$N,12,0)</f>
        <v>0</v>
      </c>
      <c r="AJ481" s="1274">
        <f t="shared" si="558"/>
        <v>0</v>
      </c>
    </row>
    <row r="482" spans="1:36" s="5" customFormat="1" ht="24" customHeight="1" x14ac:dyDescent="0.2">
      <c r="A482" s="131" t="s">
        <v>114</v>
      </c>
      <c r="B482" s="132"/>
      <c r="C482" s="132"/>
      <c r="D482" s="1161">
        <v>275292200</v>
      </c>
      <c r="E482" s="1162">
        <f>+E483+E663</f>
        <v>156838930.18000001</v>
      </c>
      <c r="F482" s="1162"/>
      <c r="G482" s="1162"/>
      <c r="H482" s="1162">
        <f>+H483+H663</f>
        <v>220354600</v>
      </c>
      <c r="I482" s="1163">
        <v>393018500</v>
      </c>
      <c r="J482" s="1163">
        <f>+J483+J663</f>
        <v>194111600</v>
      </c>
      <c r="K482" s="1044"/>
      <c r="L482" s="1044"/>
      <c r="M482" s="1232">
        <f t="shared" ref="M482:U482" si="589">+M483+M663</f>
        <v>0</v>
      </c>
      <c r="N482" s="1232">
        <f>+N483+N663</f>
        <v>46062000</v>
      </c>
      <c r="O482" s="1232">
        <f t="shared" si="589"/>
        <v>0</v>
      </c>
      <c r="P482" s="1232">
        <f t="shared" si="589"/>
        <v>0</v>
      </c>
      <c r="Q482" s="1232">
        <f t="shared" si="589"/>
        <v>0</v>
      </c>
      <c r="R482" s="1232">
        <f t="shared" si="589"/>
        <v>0</v>
      </c>
      <c r="S482" s="1232">
        <f t="shared" si="589"/>
        <v>0</v>
      </c>
      <c r="T482" s="1232">
        <f t="shared" si="589"/>
        <v>0</v>
      </c>
      <c r="U482" s="1232">
        <f t="shared" si="589"/>
        <v>46062000</v>
      </c>
      <c r="V482" s="1232">
        <f t="shared" si="559"/>
        <v>0</v>
      </c>
      <c r="W482" s="1232">
        <f t="shared" ref="W482:AB482" si="590">+W483+W663</f>
        <v>0</v>
      </c>
      <c r="X482" s="1232">
        <f t="shared" si="590"/>
        <v>0</v>
      </c>
      <c r="Y482" s="1232">
        <f t="shared" si="590"/>
        <v>46062000</v>
      </c>
      <c r="Z482" s="1232">
        <f t="shared" si="590"/>
        <v>0</v>
      </c>
      <c r="AA482" s="1232">
        <f t="shared" si="590"/>
        <v>46062000</v>
      </c>
      <c r="AB482" s="1232">
        <f t="shared" si="590"/>
        <v>0</v>
      </c>
      <c r="AD482" s="650">
        <f t="shared" si="550"/>
        <v>0</v>
      </c>
      <c r="AI482" s="1277">
        <f>VLOOKUP(K482,'[2]ผลการเบิกจ่ายสะสม พ.ย. 66'!$C:$N,12,0)</f>
        <v>0</v>
      </c>
      <c r="AJ482" s="1274">
        <f t="shared" si="558"/>
        <v>0</v>
      </c>
    </row>
    <row r="483" spans="1:36" ht="24" customHeight="1" x14ac:dyDescent="0.35">
      <c r="A483" s="926"/>
      <c r="B483" s="927" t="s">
        <v>14</v>
      </c>
      <c r="C483" s="928"/>
      <c r="D483" s="1165">
        <v>31629200</v>
      </c>
      <c r="E483" s="1166">
        <v>30377759.809999999</v>
      </c>
      <c r="F483" s="1166"/>
      <c r="G483" s="1166"/>
      <c r="H483" s="1166">
        <v>56300800</v>
      </c>
      <c r="I483" s="1167">
        <v>40136700</v>
      </c>
      <c r="J483" s="1167">
        <f>+J484+J536+J617+J641+J650+J655+J657+J659</f>
        <v>22352800</v>
      </c>
      <c r="K483" s="1045"/>
      <c r="L483" s="1045"/>
      <c r="M483" s="1233">
        <f t="shared" ref="M483:U483" si="591">+M484+M536+M617+M641+M650+M655+M657+M659</f>
        <v>0</v>
      </c>
      <c r="N483" s="1233">
        <f>+N484+N536+N617+N641+N650+N655+N657+N659</f>
        <v>0</v>
      </c>
      <c r="O483" s="1233">
        <f t="shared" si="591"/>
        <v>0</v>
      </c>
      <c r="P483" s="1233">
        <f t="shared" si="591"/>
        <v>0</v>
      </c>
      <c r="Q483" s="1233">
        <f t="shared" si="591"/>
        <v>0</v>
      </c>
      <c r="R483" s="1233">
        <f t="shared" si="591"/>
        <v>0</v>
      </c>
      <c r="S483" s="1233">
        <f t="shared" si="591"/>
        <v>0</v>
      </c>
      <c r="T483" s="1233">
        <f t="shared" si="591"/>
        <v>0</v>
      </c>
      <c r="U483" s="1233">
        <f t="shared" si="591"/>
        <v>0</v>
      </c>
      <c r="V483" s="1233">
        <f t="shared" si="559"/>
        <v>0</v>
      </c>
      <c r="W483" s="1233">
        <f t="shared" ref="W483:AB483" si="592">+W484+W536+W617+W641+W650+W655+W657+W659</f>
        <v>0</v>
      </c>
      <c r="X483" s="1233">
        <f t="shared" si="592"/>
        <v>0</v>
      </c>
      <c r="Y483" s="1233">
        <f t="shared" si="592"/>
        <v>0</v>
      </c>
      <c r="Z483" s="1233">
        <f t="shared" si="592"/>
        <v>0</v>
      </c>
      <c r="AA483" s="1233">
        <f t="shared" si="592"/>
        <v>0</v>
      </c>
      <c r="AB483" s="1233">
        <f t="shared" si="592"/>
        <v>0</v>
      </c>
      <c r="AD483" s="650">
        <f t="shared" si="550"/>
        <v>0</v>
      </c>
      <c r="AI483" s="1277">
        <f>VLOOKUP(K483,'[2]ผลการเบิกจ่ายสะสม พ.ย. 66'!$C:$N,12,0)</f>
        <v>0</v>
      </c>
      <c r="AJ483" s="1274">
        <f t="shared" si="558"/>
        <v>0</v>
      </c>
    </row>
    <row r="484" spans="1:36" ht="21" customHeight="1" outlineLevel="1" x14ac:dyDescent="0.35">
      <c r="A484" s="313"/>
      <c r="B484" s="72" t="s">
        <v>451</v>
      </c>
      <c r="C484" s="274"/>
      <c r="D484" s="1168"/>
      <c r="E484" s="1169" t="e">
        <f>+E485</f>
        <v>#REF!</v>
      </c>
      <c r="F484" s="1169"/>
      <c r="G484" s="1169"/>
      <c r="H484" s="1169"/>
      <c r="I484" s="1170">
        <v>7061300</v>
      </c>
      <c r="J484" s="1170">
        <v>2853700</v>
      </c>
      <c r="K484" s="1046"/>
      <c r="L484" s="1046"/>
      <c r="M484" s="1169">
        <f t="shared" ref="M484:AB484" si="593">+M485</f>
        <v>0</v>
      </c>
      <c r="N484" s="1169">
        <f>+N485</f>
        <v>0</v>
      </c>
      <c r="O484" s="1169">
        <f t="shared" si="593"/>
        <v>0</v>
      </c>
      <c r="P484" s="1169">
        <f t="shared" si="593"/>
        <v>0</v>
      </c>
      <c r="Q484" s="1169">
        <f t="shared" si="593"/>
        <v>0</v>
      </c>
      <c r="R484" s="1169">
        <f t="shared" si="593"/>
        <v>0</v>
      </c>
      <c r="S484" s="1169">
        <f t="shared" si="593"/>
        <v>0</v>
      </c>
      <c r="T484" s="1169">
        <f t="shared" si="593"/>
        <v>0</v>
      </c>
      <c r="U484" s="1169">
        <f t="shared" si="593"/>
        <v>0</v>
      </c>
      <c r="V484" s="1169">
        <f t="shared" si="559"/>
        <v>0</v>
      </c>
      <c r="W484" s="1169">
        <f t="shared" si="593"/>
        <v>0</v>
      </c>
      <c r="X484" s="1169">
        <f t="shared" si="593"/>
        <v>0</v>
      </c>
      <c r="Y484" s="1169">
        <f t="shared" si="593"/>
        <v>0</v>
      </c>
      <c r="Z484" s="1169">
        <f t="shared" si="593"/>
        <v>0</v>
      </c>
      <c r="AA484" s="1169">
        <f t="shared" si="593"/>
        <v>0</v>
      </c>
      <c r="AB484" s="1169">
        <f t="shared" si="593"/>
        <v>0</v>
      </c>
      <c r="AD484" s="650">
        <f t="shared" si="550"/>
        <v>0</v>
      </c>
      <c r="AI484" s="1277">
        <f>VLOOKUP(K484,'[2]ผลการเบิกจ่ายสะสม พ.ย. 66'!$C:$N,12,0)</f>
        <v>0</v>
      </c>
      <c r="AJ484" s="1274">
        <f t="shared" si="558"/>
        <v>0</v>
      </c>
    </row>
    <row r="485" spans="1:36" ht="21" customHeight="1" outlineLevel="1" x14ac:dyDescent="0.35">
      <c r="A485" s="313"/>
      <c r="B485" s="293" t="s">
        <v>1106</v>
      </c>
      <c r="C485" s="274"/>
      <c r="D485" s="1168"/>
      <c r="E485" s="1171" t="e">
        <f>SUM(#REF!)</f>
        <v>#REF!</v>
      </c>
      <c r="F485" s="1171"/>
      <c r="G485" s="1171"/>
      <c r="H485" s="1171"/>
      <c r="I485" s="1172">
        <v>0</v>
      </c>
      <c r="J485" s="1172"/>
      <c r="K485" s="1033" t="s">
        <v>1381</v>
      </c>
      <c r="L485" s="1066" t="s">
        <v>1429</v>
      </c>
      <c r="M485" s="1171">
        <f t="shared" ref="M485:O485" si="594">SUM(M486:M535)</f>
        <v>0</v>
      </c>
      <c r="N485" s="1171">
        <f>SUM(N486:N535)</f>
        <v>0</v>
      </c>
      <c r="O485" s="1171">
        <f t="shared" si="594"/>
        <v>0</v>
      </c>
      <c r="P485" s="1171">
        <f t="shared" ref="P485:U485" si="595">SUM(P486:P535)</f>
        <v>0</v>
      </c>
      <c r="Q485" s="1171">
        <f t="shared" si="595"/>
        <v>0</v>
      </c>
      <c r="R485" s="1171">
        <f t="shared" si="595"/>
        <v>0</v>
      </c>
      <c r="S485" s="1171">
        <f t="shared" si="595"/>
        <v>0</v>
      </c>
      <c r="T485" s="1171">
        <f t="shared" si="595"/>
        <v>0</v>
      </c>
      <c r="U485" s="1171">
        <f t="shared" si="595"/>
        <v>0</v>
      </c>
      <c r="V485" s="1171">
        <f t="shared" si="559"/>
        <v>0</v>
      </c>
      <c r="W485" s="1171">
        <f t="shared" ref="W485:AB485" si="596">SUM(W486:W535)</f>
        <v>0</v>
      </c>
      <c r="X485" s="1171">
        <f t="shared" si="596"/>
        <v>0</v>
      </c>
      <c r="Y485" s="1171">
        <f t="shared" si="596"/>
        <v>0</v>
      </c>
      <c r="Z485" s="1171">
        <f t="shared" si="596"/>
        <v>0</v>
      </c>
      <c r="AA485" s="1171">
        <f t="shared" si="596"/>
        <v>0</v>
      </c>
      <c r="AB485" s="1171">
        <f t="shared" si="596"/>
        <v>0</v>
      </c>
      <c r="AD485" s="650">
        <f t="shared" si="550"/>
        <v>0</v>
      </c>
      <c r="AI485" s="1277" t="e">
        <f>VLOOKUP(K485,'[2]ผลการเบิกจ่ายสะสม พ.ย. 66'!$C:$N,12,0)</f>
        <v>#N/A</v>
      </c>
      <c r="AJ485" s="1274" t="e">
        <f t="shared" si="558"/>
        <v>#N/A</v>
      </c>
    </row>
    <row r="486" spans="1:36" ht="21" customHeight="1" outlineLevel="1" x14ac:dyDescent="0.35">
      <c r="A486" s="313"/>
      <c r="B486" s="293"/>
      <c r="C486" s="996" t="s">
        <v>1056</v>
      </c>
      <c r="D486" s="1168"/>
      <c r="E486" s="1171"/>
      <c r="F486" s="1171"/>
      <c r="G486" s="1171"/>
      <c r="H486" s="1171"/>
      <c r="I486" s="1172"/>
      <c r="J486" s="1172"/>
      <c r="K486" s="1047"/>
      <c r="L486" s="1047"/>
      <c r="M486" s="1171"/>
      <c r="N486" s="1171"/>
      <c r="O486" s="1171"/>
      <c r="P486" s="1171"/>
      <c r="Q486" s="1171"/>
      <c r="R486" s="1171"/>
      <c r="S486" s="1171"/>
      <c r="T486" s="1091">
        <f t="shared" ref="T486:T535" si="597">+R486+S486</f>
        <v>0</v>
      </c>
      <c r="U486" s="1091">
        <f t="shared" ref="U486:U535" si="598">+N486+O486-T486</f>
        <v>0</v>
      </c>
      <c r="V486" s="1091">
        <f t="shared" si="559"/>
        <v>0</v>
      </c>
      <c r="W486" s="1091"/>
      <c r="X486" s="1091">
        <f t="shared" ref="X486:X535" si="599">+T486+Q486</f>
        <v>0</v>
      </c>
      <c r="Y486" s="1091">
        <f t="shared" ref="Y486:Y535" si="600">+U486-Q486</f>
        <v>0</v>
      </c>
      <c r="Z486" s="1091">
        <f t="shared" ref="Z486:Z535" si="601">+T486+Q486+P486</f>
        <v>0</v>
      </c>
      <c r="AA486" s="1091">
        <f t="shared" ref="AA486:AA535" si="602">+U486-Q486-P486</f>
        <v>0</v>
      </c>
      <c r="AB486" s="1091">
        <f t="shared" ref="AB486:AB535" si="603">IFERROR(Z486*100/(N486+O486),0)</f>
        <v>0</v>
      </c>
      <c r="AD486" s="650">
        <f t="shared" si="550"/>
        <v>0</v>
      </c>
      <c r="AI486" s="1277">
        <f>VLOOKUP(K486,'[2]ผลการเบิกจ่ายสะสม พ.ย. 66'!$C:$N,12,0)</f>
        <v>0</v>
      </c>
      <c r="AJ486" s="1274">
        <f t="shared" si="558"/>
        <v>0</v>
      </c>
    </row>
    <row r="487" spans="1:36" ht="21" customHeight="1" outlineLevel="1" x14ac:dyDescent="0.35">
      <c r="A487" s="313"/>
      <c r="B487" s="293"/>
      <c r="C487" s="997" t="s">
        <v>1057</v>
      </c>
      <c r="D487" s="1168"/>
      <c r="E487" s="1171"/>
      <c r="F487" s="1171"/>
      <c r="G487" s="1171"/>
      <c r="H487" s="1171"/>
      <c r="I487" s="1172"/>
      <c r="J487" s="1172"/>
      <c r="K487" s="1047"/>
      <c r="L487" s="1047"/>
      <c r="M487" s="1171"/>
      <c r="N487" s="1171"/>
      <c r="O487" s="1171"/>
      <c r="P487" s="1171"/>
      <c r="Q487" s="1171"/>
      <c r="R487" s="1171"/>
      <c r="S487" s="1171"/>
      <c r="T487" s="1091">
        <f t="shared" si="597"/>
        <v>0</v>
      </c>
      <c r="U487" s="1091">
        <f t="shared" si="598"/>
        <v>0</v>
      </c>
      <c r="V487" s="1091">
        <f t="shared" si="559"/>
        <v>0</v>
      </c>
      <c r="W487" s="1091"/>
      <c r="X487" s="1091">
        <f t="shared" si="599"/>
        <v>0</v>
      </c>
      <c r="Y487" s="1091">
        <f t="shared" si="600"/>
        <v>0</v>
      </c>
      <c r="Z487" s="1091">
        <f t="shared" si="601"/>
        <v>0</v>
      </c>
      <c r="AA487" s="1091">
        <f t="shared" si="602"/>
        <v>0</v>
      </c>
      <c r="AB487" s="1091">
        <f t="shared" si="603"/>
        <v>0</v>
      </c>
      <c r="AD487" s="650">
        <f t="shared" si="550"/>
        <v>0</v>
      </c>
      <c r="AI487" s="1277">
        <f>VLOOKUP(K487,'[2]ผลการเบิกจ่ายสะสม พ.ย. 66'!$C:$N,12,0)</f>
        <v>0</v>
      </c>
      <c r="AJ487" s="1274">
        <f t="shared" si="558"/>
        <v>0</v>
      </c>
    </row>
    <row r="488" spans="1:36" ht="21" customHeight="1" outlineLevel="1" x14ac:dyDescent="0.35">
      <c r="A488" s="313"/>
      <c r="B488" s="293"/>
      <c r="C488" s="997" t="s">
        <v>1058</v>
      </c>
      <c r="D488" s="1168"/>
      <c r="E488" s="1171"/>
      <c r="F488" s="1171"/>
      <c r="G488" s="1171"/>
      <c r="H488" s="1171"/>
      <c r="I488" s="1172"/>
      <c r="J488" s="1172"/>
      <c r="K488" s="1047"/>
      <c r="L488" s="1047"/>
      <c r="M488" s="1171"/>
      <c r="N488" s="1171"/>
      <c r="O488" s="1171"/>
      <c r="P488" s="1171"/>
      <c r="Q488" s="1171"/>
      <c r="R488" s="1171"/>
      <c r="S488" s="1171"/>
      <c r="T488" s="1091">
        <f t="shared" si="597"/>
        <v>0</v>
      </c>
      <c r="U488" s="1091">
        <f t="shared" si="598"/>
        <v>0</v>
      </c>
      <c r="V488" s="1091">
        <f t="shared" si="559"/>
        <v>0</v>
      </c>
      <c r="W488" s="1091"/>
      <c r="X488" s="1091">
        <f t="shared" si="599"/>
        <v>0</v>
      </c>
      <c r="Y488" s="1091">
        <f t="shared" si="600"/>
        <v>0</v>
      </c>
      <c r="Z488" s="1091">
        <f t="shared" si="601"/>
        <v>0</v>
      </c>
      <c r="AA488" s="1091">
        <f t="shared" si="602"/>
        <v>0</v>
      </c>
      <c r="AB488" s="1091">
        <f t="shared" si="603"/>
        <v>0</v>
      </c>
      <c r="AD488" s="650">
        <f t="shared" si="550"/>
        <v>0</v>
      </c>
      <c r="AI488" s="1277">
        <f>VLOOKUP(K488,'[2]ผลการเบิกจ่ายสะสม พ.ย. 66'!$C:$N,12,0)</f>
        <v>0</v>
      </c>
      <c r="AJ488" s="1274">
        <f t="shared" si="558"/>
        <v>0</v>
      </c>
    </row>
    <row r="489" spans="1:36" ht="21" customHeight="1" outlineLevel="1" x14ac:dyDescent="0.35">
      <c r="A489" s="313"/>
      <c r="B489" s="293"/>
      <c r="C489" s="997" t="s">
        <v>1059</v>
      </c>
      <c r="D489" s="1168"/>
      <c r="E489" s="1171"/>
      <c r="F489" s="1171"/>
      <c r="G489" s="1171"/>
      <c r="H489" s="1171"/>
      <c r="I489" s="1172"/>
      <c r="J489" s="1172"/>
      <c r="K489" s="1047"/>
      <c r="L489" s="1047"/>
      <c r="M489" s="1171"/>
      <c r="N489" s="1171"/>
      <c r="O489" s="1171"/>
      <c r="P489" s="1171"/>
      <c r="Q489" s="1171"/>
      <c r="R489" s="1171"/>
      <c r="S489" s="1171"/>
      <c r="T489" s="1091">
        <f t="shared" si="597"/>
        <v>0</v>
      </c>
      <c r="U489" s="1091">
        <f t="shared" si="598"/>
        <v>0</v>
      </c>
      <c r="V489" s="1091">
        <f t="shared" si="559"/>
        <v>0</v>
      </c>
      <c r="W489" s="1091"/>
      <c r="X489" s="1091">
        <f t="shared" si="599"/>
        <v>0</v>
      </c>
      <c r="Y489" s="1091">
        <f t="shared" si="600"/>
        <v>0</v>
      </c>
      <c r="Z489" s="1091">
        <f t="shared" si="601"/>
        <v>0</v>
      </c>
      <c r="AA489" s="1091">
        <f t="shared" si="602"/>
        <v>0</v>
      </c>
      <c r="AB489" s="1091">
        <f t="shared" si="603"/>
        <v>0</v>
      </c>
      <c r="AD489" s="650">
        <f t="shared" si="550"/>
        <v>0</v>
      </c>
      <c r="AI489" s="1277">
        <f>VLOOKUP(K489,'[2]ผลการเบิกจ่ายสะสม พ.ย. 66'!$C:$N,12,0)</f>
        <v>0</v>
      </c>
      <c r="AJ489" s="1274">
        <f t="shared" si="558"/>
        <v>0</v>
      </c>
    </row>
    <row r="490" spans="1:36" ht="21" customHeight="1" outlineLevel="1" x14ac:dyDescent="0.35">
      <c r="A490" s="313"/>
      <c r="B490" s="293"/>
      <c r="C490" s="997" t="s">
        <v>1060</v>
      </c>
      <c r="D490" s="1168"/>
      <c r="E490" s="1171"/>
      <c r="F490" s="1171"/>
      <c r="G490" s="1171"/>
      <c r="H490" s="1171"/>
      <c r="I490" s="1172"/>
      <c r="J490" s="1172"/>
      <c r="K490" s="1047"/>
      <c r="L490" s="1047"/>
      <c r="M490" s="1171"/>
      <c r="N490" s="1171"/>
      <c r="O490" s="1171"/>
      <c r="P490" s="1171"/>
      <c r="Q490" s="1171"/>
      <c r="R490" s="1171"/>
      <c r="S490" s="1171"/>
      <c r="T490" s="1091">
        <f t="shared" si="597"/>
        <v>0</v>
      </c>
      <c r="U490" s="1091">
        <f t="shared" si="598"/>
        <v>0</v>
      </c>
      <c r="V490" s="1091">
        <f t="shared" si="559"/>
        <v>0</v>
      </c>
      <c r="W490" s="1091"/>
      <c r="X490" s="1091">
        <f t="shared" si="599"/>
        <v>0</v>
      </c>
      <c r="Y490" s="1091">
        <f t="shared" si="600"/>
        <v>0</v>
      </c>
      <c r="Z490" s="1091">
        <f t="shared" si="601"/>
        <v>0</v>
      </c>
      <c r="AA490" s="1091">
        <f t="shared" si="602"/>
        <v>0</v>
      </c>
      <c r="AB490" s="1091">
        <f t="shared" si="603"/>
        <v>0</v>
      </c>
      <c r="AD490" s="650">
        <f t="shared" si="550"/>
        <v>0</v>
      </c>
      <c r="AI490" s="1277">
        <f>VLOOKUP(K490,'[2]ผลการเบิกจ่ายสะสม พ.ย. 66'!$C:$N,12,0)</f>
        <v>0</v>
      </c>
      <c r="AJ490" s="1274">
        <f t="shared" si="558"/>
        <v>0</v>
      </c>
    </row>
    <row r="491" spans="1:36" ht="21" customHeight="1" outlineLevel="1" x14ac:dyDescent="0.35">
      <c r="A491" s="313"/>
      <c r="B491" s="293"/>
      <c r="C491" s="997" t="s">
        <v>1061</v>
      </c>
      <c r="D491" s="1168"/>
      <c r="E491" s="1171"/>
      <c r="F491" s="1171"/>
      <c r="G491" s="1171"/>
      <c r="H491" s="1171"/>
      <c r="I491" s="1172"/>
      <c r="J491" s="1172"/>
      <c r="K491" s="1047"/>
      <c r="L491" s="1047"/>
      <c r="M491" s="1171"/>
      <c r="N491" s="1171"/>
      <c r="O491" s="1171"/>
      <c r="P491" s="1171"/>
      <c r="Q491" s="1171"/>
      <c r="R491" s="1171"/>
      <c r="S491" s="1171"/>
      <c r="T491" s="1091">
        <f t="shared" si="597"/>
        <v>0</v>
      </c>
      <c r="U491" s="1091">
        <f t="shared" si="598"/>
        <v>0</v>
      </c>
      <c r="V491" s="1091">
        <f t="shared" si="559"/>
        <v>0</v>
      </c>
      <c r="W491" s="1091"/>
      <c r="X491" s="1091">
        <f t="shared" si="599"/>
        <v>0</v>
      </c>
      <c r="Y491" s="1091">
        <f t="shared" si="600"/>
        <v>0</v>
      </c>
      <c r="Z491" s="1091">
        <f t="shared" si="601"/>
        <v>0</v>
      </c>
      <c r="AA491" s="1091">
        <f t="shared" si="602"/>
        <v>0</v>
      </c>
      <c r="AB491" s="1091">
        <f t="shared" si="603"/>
        <v>0</v>
      </c>
      <c r="AD491" s="650">
        <f t="shared" si="550"/>
        <v>0</v>
      </c>
      <c r="AI491" s="1277">
        <f>VLOOKUP(K491,'[2]ผลการเบิกจ่ายสะสม พ.ย. 66'!$C:$N,12,0)</f>
        <v>0</v>
      </c>
      <c r="AJ491" s="1274">
        <f t="shared" si="558"/>
        <v>0</v>
      </c>
    </row>
    <row r="492" spans="1:36" ht="21" customHeight="1" outlineLevel="1" x14ac:dyDescent="0.35">
      <c r="A492" s="313"/>
      <c r="B492" s="293"/>
      <c r="C492" s="997" t="s">
        <v>1062</v>
      </c>
      <c r="D492" s="1168"/>
      <c r="E492" s="1171"/>
      <c r="F492" s="1171"/>
      <c r="G492" s="1171"/>
      <c r="H492" s="1171"/>
      <c r="I492" s="1172"/>
      <c r="J492" s="1172"/>
      <c r="K492" s="1047"/>
      <c r="L492" s="1047"/>
      <c r="M492" s="1171"/>
      <c r="N492" s="1171"/>
      <c r="O492" s="1171"/>
      <c r="P492" s="1171"/>
      <c r="Q492" s="1171"/>
      <c r="R492" s="1171"/>
      <c r="S492" s="1171"/>
      <c r="T492" s="1091">
        <f t="shared" si="597"/>
        <v>0</v>
      </c>
      <c r="U492" s="1091">
        <f t="shared" si="598"/>
        <v>0</v>
      </c>
      <c r="V492" s="1091">
        <f t="shared" si="559"/>
        <v>0</v>
      </c>
      <c r="W492" s="1091"/>
      <c r="X492" s="1091">
        <f t="shared" si="599"/>
        <v>0</v>
      </c>
      <c r="Y492" s="1091">
        <f t="shared" si="600"/>
        <v>0</v>
      </c>
      <c r="Z492" s="1091">
        <f t="shared" si="601"/>
        <v>0</v>
      </c>
      <c r="AA492" s="1091">
        <f t="shared" si="602"/>
        <v>0</v>
      </c>
      <c r="AB492" s="1091">
        <f t="shared" si="603"/>
        <v>0</v>
      </c>
      <c r="AD492" s="650">
        <f t="shared" si="550"/>
        <v>0</v>
      </c>
      <c r="AI492" s="1277">
        <f>VLOOKUP(K492,'[2]ผลการเบิกจ่ายสะสม พ.ย. 66'!$C:$N,12,0)</f>
        <v>0</v>
      </c>
      <c r="AJ492" s="1274">
        <f t="shared" si="558"/>
        <v>0</v>
      </c>
    </row>
    <row r="493" spans="1:36" ht="21" customHeight="1" outlineLevel="1" x14ac:dyDescent="0.35">
      <c r="A493" s="313"/>
      <c r="B493" s="293"/>
      <c r="C493" s="997" t="s">
        <v>1063</v>
      </c>
      <c r="D493" s="1168"/>
      <c r="E493" s="1171"/>
      <c r="F493" s="1171"/>
      <c r="G493" s="1171"/>
      <c r="H493" s="1171"/>
      <c r="I493" s="1172"/>
      <c r="J493" s="1172"/>
      <c r="K493" s="1047"/>
      <c r="L493" s="1047"/>
      <c r="M493" s="1171"/>
      <c r="N493" s="1171"/>
      <c r="O493" s="1171"/>
      <c r="P493" s="1171"/>
      <c r="Q493" s="1171"/>
      <c r="R493" s="1171"/>
      <c r="S493" s="1171"/>
      <c r="T493" s="1091">
        <f t="shared" si="597"/>
        <v>0</v>
      </c>
      <c r="U493" s="1091">
        <f t="shared" si="598"/>
        <v>0</v>
      </c>
      <c r="V493" s="1091">
        <f t="shared" si="559"/>
        <v>0</v>
      </c>
      <c r="W493" s="1091"/>
      <c r="X493" s="1091">
        <f t="shared" si="599"/>
        <v>0</v>
      </c>
      <c r="Y493" s="1091">
        <f t="shared" si="600"/>
        <v>0</v>
      </c>
      <c r="Z493" s="1091">
        <f t="shared" si="601"/>
        <v>0</v>
      </c>
      <c r="AA493" s="1091">
        <f t="shared" si="602"/>
        <v>0</v>
      </c>
      <c r="AB493" s="1091">
        <f t="shared" si="603"/>
        <v>0</v>
      </c>
      <c r="AD493" s="650">
        <f t="shared" si="550"/>
        <v>0</v>
      </c>
      <c r="AI493" s="1277">
        <f>VLOOKUP(K493,'[2]ผลการเบิกจ่ายสะสม พ.ย. 66'!$C:$N,12,0)</f>
        <v>0</v>
      </c>
      <c r="AJ493" s="1274">
        <f t="shared" si="558"/>
        <v>0</v>
      </c>
    </row>
    <row r="494" spans="1:36" ht="21" customHeight="1" outlineLevel="1" x14ac:dyDescent="0.35">
      <c r="A494" s="313"/>
      <c r="B494" s="293"/>
      <c r="C494" s="997" t="s">
        <v>1064</v>
      </c>
      <c r="D494" s="1168"/>
      <c r="E494" s="1171"/>
      <c r="F494" s="1171"/>
      <c r="G494" s="1171"/>
      <c r="H494" s="1171"/>
      <c r="I494" s="1172"/>
      <c r="J494" s="1172"/>
      <c r="K494" s="1047"/>
      <c r="L494" s="1047"/>
      <c r="M494" s="1171"/>
      <c r="N494" s="1171"/>
      <c r="O494" s="1171"/>
      <c r="P494" s="1171"/>
      <c r="Q494" s="1171"/>
      <c r="R494" s="1171"/>
      <c r="S494" s="1171"/>
      <c r="T494" s="1091">
        <f t="shared" si="597"/>
        <v>0</v>
      </c>
      <c r="U494" s="1091">
        <f t="shared" si="598"/>
        <v>0</v>
      </c>
      <c r="V494" s="1091">
        <f t="shared" si="559"/>
        <v>0</v>
      </c>
      <c r="W494" s="1091"/>
      <c r="X494" s="1091">
        <f t="shared" si="599"/>
        <v>0</v>
      </c>
      <c r="Y494" s="1091">
        <f t="shared" si="600"/>
        <v>0</v>
      </c>
      <c r="Z494" s="1091">
        <f t="shared" si="601"/>
        <v>0</v>
      </c>
      <c r="AA494" s="1091">
        <f t="shared" si="602"/>
        <v>0</v>
      </c>
      <c r="AB494" s="1091">
        <f t="shared" si="603"/>
        <v>0</v>
      </c>
      <c r="AD494" s="650">
        <f t="shared" si="550"/>
        <v>0</v>
      </c>
      <c r="AI494" s="1277">
        <f>VLOOKUP(K494,'[2]ผลการเบิกจ่ายสะสม พ.ย. 66'!$C:$N,12,0)</f>
        <v>0</v>
      </c>
      <c r="AJ494" s="1274">
        <f t="shared" si="558"/>
        <v>0</v>
      </c>
    </row>
    <row r="495" spans="1:36" ht="42" customHeight="1" outlineLevel="1" x14ac:dyDescent="0.35">
      <c r="A495" s="313"/>
      <c r="B495" s="293"/>
      <c r="C495" s="997" t="s">
        <v>1105</v>
      </c>
      <c r="D495" s="1168"/>
      <c r="E495" s="1171"/>
      <c r="F495" s="1171"/>
      <c r="G495" s="1171"/>
      <c r="H495" s="1171"/>
      <c r="I495" s="1172"/>
      <c r="J495" s="1172"/>
      <c r="K495" s="1047"/>
      <c r="L495" s="1047"/>
      <c r="M495" s="1171"/>
      <c r="N495" s="1171"/>
      <c r="O495" s="1171"/>
      <c r="P495" s="1171"/>
      <c r="Q495" s="1171"/>
      <c r="R495" s="1171"/>
      <c r="S495" s="1171"/>
      <c r="T495" s="1091">
        <f t="shared" si="597"/>
        <v>0</v>
      </c>
      <c r="U495" s="1091">
        <f t="shared" si="598"/>
        <v>0</v>
      </c>
      <c r="V495" s="1091">
        <f t="shared" si="559"/>
        <v>0</v>
      </c>
      <c r="W495" s="1091"/>
      <c r="X495" s="1091">
        <f t="shared" si="599"/>
        <v>0</v>
      </c>
      <c r="Y495" s="1091">
        <f t="shared" si="600"/>
        <v>0</v>
      </c>
      <c r="Z495" s="1091">
        <f t="shared" si="601"/>
        <v>0</v>
      </c>
      <c r="AA495" s="1091">
        <f t="shared" si="602"/>
        <v>0</v>
      </c>
      <c r="AB495" s="1091">
        <f t="shared" si="603"/>
        <v>0</v>
      </c>
      <c r="AD495" s="650">
        <f t="shared" si="550"/>
        <v>0</v>
      </c>
      <c r="AI495" s="1277">
        <f>VLOOKUP(K495,'[2]ผลการเบิกจ่ายสะสม พ.ย. 66'!$C:$N,12,0)</f>
        <v>0</v>
      </c>
      <c r="AJ495" s="1274">
        <f t="shared" si="558"/>
        <v>0</v>
      </c>
    </row>
    <row r="496" spans="1:36" ht="21" customHeight="1" outlineLevel="1" x14ac:dyDescent="0.35">
      <c r="A496" s="313"/>
      <c r="B496" s="293"/>
      <c r="C496" s="997" t="s">
        <v>1065</v>
      </c>
      <c r="D496" s="1168"/>
      <c r="E496" s="1171"/>
      <c r="F496" s="1171"/>
      <c r="G496" s="1171"/>
      <c r="H496" s="1171"/>
      <c r="I496" s="1172"/>
      <c r="J496" s="1172"/>
      <c r="K496" s="1047"/>
      <c r="L496" s="1047"/>
      <c r="M496" s="1171"/>
      <c r="N496" s="1171"/>
      <c r="O496" s="1171"/>
      <c r="P496" s="1171"/>
      <c r="Q496" s="1171"/>
      <c r="R496" s="1171"/>
      <c r="S496" s="1171"/>
      <c r="T496" s="1091">
        <f t="shared" si="597"/>
        <v>0</v>
      </c>
      <c r="U496" s="1091">
        <f t="shared" si="598"/>
        <v>0</v>
      </c>
      <c r="V496" s="1091">
        <f t="shared" si="559"/>
        <v>0</v>
      </c>
      <c r="W496" s="1091"/>
      <c r="X496" s="1091">
        <f t="shared" si="599"/>
        <v>0</v>
      </c>
      <c r="Y496" s="1091">
        <f t="shared" si="600"/>
        <v>0</v>
      </c>
      <c r="Z496" s="1091">
        <f t="shared" si="601"/>
        <v>0</v>
      </c>
      <c r="AA496" s="1091">
        <f t="shared" si="602"/>
        <v>0</v>
      </c>
      <c r="AB496" s="1091">
        <f t="shared" si="603"/>
        <v>0</v>
      </c>
      <c r="AD496" s="650">
        <f t="shared" si="550"/>
        <v>0</v>
      </c>
      <c r="AI496" s="1277">
        <f>VLOOKUP(K496,'[2]ผลการเบิกจ่ายสะสม พ.ย. 66'!$C:$N,12,0)</f>
        <v>0</v>
      </c>
      <c r="AJ496" s="1274">
        <f t="shared" si="558"/>
        <v>0</v>
      </c>
    </row>
    <row r="497" spans="1:36" ht="21" customHeight="1" outlineLevel="1" x14ac:dyDescent="0.35">
      <c r="A497" s="313"/>
      <c r="B497" s="293"/>
      <c r="C497" s="997" t="s">
        <v>1066</v>
      </c>
      <c r="D497" s="1168"/>
      <c r="E497" s="1171"/>
      <c r="F497" s="1171"/>
      <c r="G497" s="1171"/>
      <c r="H497" s="1171"/>
      <c r="I497" s="1172"/>
      <c r="J497" s="1172"/>
      <c r="K497" s="1047"/>
      <c r="L497" s="1047"/>
      <c r="M497" s="1171"/>
      <c r="N497" s="1171"/>
      <c r="O497" s="1171"/>
      <c r="P497" s="1171"/>
      <c r="Q497" s="1171"/>
      <c r="R497" s="1171"/>
      <c r="S497" s="1171"/>
      <c r="T497" s="1091">
        <f t="shared" si="597"/>
        <v>0</v>
      </c>
      <c r="U497" s="1091">
        <f t="shared" si="598"/>
        <v>0</v>
      </c>
      <c r="V497" s="1091">
        <f t="shared" si="559"/>
        <v>0</v>
      </c>
      <c r="W497" s="1091"/>
      <c r="X497" s="1091">
        <f t="shared" si="599"/>
        <v>0</v>
      </c>
      <c r="Y497" s="1091">
        <f t="shared" si="600"/>
        <v>0</v>
      </c>
      <c r="Z497" s="1091">
        <f t="shared" si="601"/>
        <v>0</v>
      </c>
      <c r="AA497" s="1091">
        <f t="shared" si="602"/>
        <v>0</v>
      </c>
      <c r="AB497" s="1091">
        <f t="shared" si="603"/>
        <v>0</v>
      </c>
      <c r="AD497" s="650">
        <f t="shared" si="550"/>
        <v>0</v>
      </c>
      <c r="AI497" s="1277">
        <f>VLOOKUP(K497,'[2]ผลการเบิกจ่ายสะสม พ.ย. 66'!$C:$N,12,0)</f>
        <v>0</v>
      </c>
      <c r="AJ497" s="1274">
        <f t="shared" si="558"/>
        <v>0</v>
      </c>
    </row>
    <row r="498" spans="1:36" ht="21" customHeight="1" outlineLevel="1" x14ac:dyDescent="0.35">
      <c r="A498" s="313"/>
      <c r="B498" s="293"/>
      <c r="C498" s="997" t="s">
        <v>1067</v>
      </c>
      <c r="D498" s="1168"/>
      <c r="E498" s="1171"/>
      <c r="F498" s="1171"/>
      <c r="G498" s="1171"/>
      <c r="H498" s="1171"/>
      <c r="I498" s="1172"/>
      <c r="J498" s="1172"/>
      <c r="K498" s="1047"/>
      <c r="L498" s="1047"/>
      <c r="M498" s="1171"/>
      <c r="N498" s="1171"/>
      <c r="O498" s="1171"/>
      <c r="P498" s="1171"/>
      <c r="Q498" s="1171"/>
      <c r="R498" s="1171"/>
      <c r="S498" s="1171"/>
      <c r="T498" s="1091">
        <f t="shared" si="597"/>
        <v>0</v>
      </c>
      <c r="U498" s="1091">
        <f t="shared" si="598"/>
        <v>0</v>
      </c>
      <c r="V498" s="1091">
        <f t="shared" si="559"/>
        <v>0</v>
      </c>
      <c r="W498" s="1091"/>
      <c r="X498" s="1091">
        <f t="shared" si="599"/>
        <v>0</v>
      </c>
      <c r="Y498" s="1091">
        <f t="shared" si="600"/>
        <v>0</v>
      </c>
      <c r="Z498" s="1091">
        <f t="shared" si="601"/>
        <v>0</v>
      </c>
      <c r="AA498" s="1091">
        <f t="shared" si="602"/>
        <v>0</v>
      </c>
      <c r="AB498" s="1091">
        <f t="shared" si="603"/>
        <v>0</v>
      </c>
      <c r="AD498" s="650">
        <f t="shared" si="550"/>
        <v>0</v>
      </c>
      <c r="AI498" s="1277">
        <f>VLOOKUP(K498,'[2]ผลการเบิกจ่ายสะสม พ.ย. 66'!$C:$N,12,0)</f>
        <v>0</v>
      </c>
      <c r="AJ498" s="1274">
        <f t="shared" si="558"/>
        <v>0</v>
      </c>
    </row>
    <row r="499" spans="1:36" ht="21" customHeight="1" outlineLevel="1" x14ac:dyDescent="0.35">
      <c r="A499" s="313"/>
      <c r="B499" s="293"/>
      <c r="C499" s="997" t="s">
        <v>1068</v>
      </c>
      <c r="D499" s="1168"/>
      <c r="E499" s="1171"/>
      <c r="F499" s="1171"/>
      <c r="G499" s="1171"/>
      <c r="H499" s="1171"/>
      <c r="I499" s="1172"/>
      <c r="J499" s="1172"/>
      <c r="K499" s="1047"/>
      <c r="L499" s="1047"/>
      <c r="M499" s="1171"/>
      <c r="N499" s="1171"/>
      <c r="O499" s="1171"/>
      <c r="P499" s="1171"/>
      <c r="Q499" s="1171"/>
      <c r="R499" s="1171"/>
      <c r="S499" s="1171"/>
      <c r="T499" s="1091">
        <f t="shared" si="597"/>
        <v>0</v>
      </c>
      <c r="U499" s="1091">
        <f t="shared" si="598"/>
        <v>0</v>
      </c>
      <c r="V499" s="1091">
        <f t="shared" si="559"/>
        <v>0</v>
      </c>
      <c r="W499" s="1091"/>
      <c r="X499" s="1091">
        <f t="shared" si="599"/>
        <v>0</v>
      </c>
      <c r="Y499" s="1091">
        <f t="shared" si="600"/>
        <v>0</v>
      </c>
      <c r="Z499" s="1091">
        <f t="shared" si="601"/>
        <v>0</v>
      </c>
      <c r="AA499" s="1091">
        <f t="shared" si="602"/>
        <v>0</v>
      </c>
      <c r="AB499" s="1091">
        <f t="shared" si="603"/>
        <v>0</v>
      </c>
      <c r="AD499" s="650">
        <f t="shared" si="550"/>
        <v>0</v>
      </c>
      <c r="AI499" s="1277">
        <f>VLOOKUP(K499,'[2]ผลการเบิกจ่ายสะสม พ.ย. 66'!$C:$N,12,0)</f>
        <v>0</v>
      </c>
      <c r="AJ499" s="1274">
        <f t="shared" si="558"/>
        <v>0</v>
      </c>
    </row>
    <row r="500" spans="1:36" ht="21" customHeight="1" outlineLevel="1" x14ac:dyDescent="0.35">
      <c r="A500" s="313"/>
      <c r="B500" s="293"/>
      <c r="C500" s="997" t="s">
        <v>1069</v>
      </c>
      <c r="D500" s="1168"/>
      <c r="E500" s="1171"/>
      <c r="F500" s="1171"/>
      <c r="G500" s="1171"/>
      <c r="H500" s="1171"/>
      <c r="I500" s="1172"/>
      <c r="J500" s="1172"/>
      <c r="K500" s="1047"/>
      <c r="L500" s="1047"/>
      <c r="M500" s="1171"/>
      <c r="N500" s="1171"/>
      <c r="O500" s="1171"/>
      <c r="P500" s="1171"/>
      <c r="Q500" s="1171"/>
      <c r="R500" s="1171"/>
      <c r="S500" s="1171"/>
      <c r="T500" s="1091">
        <f t="shared" si="597"/>
        <v>0</v>
      </c>
      <c r="U500" s="1091">
        <f t="shared" si="598"/>
        <v>0</v>
      </c>
      <c r="V500" s="1091">
        <f t="shared" si="559"/>
        <v>0</v>
      </c>
      <c r="W500" s="1091"/>
      <c r="X500" s="1091">
        <f t="shared" si="599"/>
        <v>0</v>
      </c>
      <c r="Y500" s="1091">
        <f t="shared" si="600"/>
        <v>0</v>
      </c>
      <c r="Z500" s="1091">
        <f t="shared" si="601"/>
        <v>0</v>
      </c>
      <c r="AA500" s="1091">
        <f t="shared" si="602"/>
        <v>0</v>
      </c>
      <c r="AB500" s="1091">
        <f t="shared" si="603"/>
        <v>0</v>
      </c>
      <c r="AD500" s="650">
        <f t="shared" si="550"/>
        <v>0</v>
      </c>
      <c r="AI500" s="1277">
        <f>VLOOKUP(K500,'[2]ผลการเบิกจ่ายสะสม พ.ย. 66'!$C:$N,12,0)</f>
        <v>0</v>
      </c>
      <c r="AJ500" s="1274">
        <f t="shared" si="558"/>
        <v>0</v>
      </c>
    </row>
    <row r="501" spans="1:36" ht="21" customHeight="1" outlineLevel="1" x14ac:dyDescent="0.35">
      <c r="A501" s="313"/>
      <c r="B501" s="293"/>
      <c r="C501" s="997" t="s">
        <v>1070</v>
      </c>
      <c r="D501" s="1168"/>
      <c r="E501" s="1171"/>
      <c r="F501" s="1171"/>
      <c r="G501" s="1171"/>
      <c r="H501" s="1171"/>
      <c r="I501" s="1172"/>
      <c r="J501" s="1172"/>
      <c r="K501" s="1047"/>
      <c r="L501" s="1047"/>
      <c r="M501" s="1171"/>
      <c r="N501" s="1171"/>
      <c r="O501" s="1171"/>
      <c r="P501" s="1171"/>
      <c r="Q501" s="1171"/>
      <c r="R501" s="1171"/>
      <c r="S501" s="1171"/>
      <c r="T501" s="1091">
        <f t="shared" si="597"/>
        <v>0</v>
      </c>
      <c r="U501" s="1091">
        <f t="shared" si="598"/>
        <v>0</v>
      </c>
      <c r="V501" s="1091">
        <f t="shared" si="559"/>
        <v>0</v>
      </c>
      <c r="W501" s="1091"/>
      <c r="X501" s="1091">
        <f t="shared" si="599"/>
        <v>0</v>
      </c>
      <c r="Y501" s="1091">
        <f t="shared" si="600"/>
        <v>0</v>
      </c>
      <c r="Z501" s="1091">
        <f t="shared" si="601"/>
        <v>0</v>
      </c>
      <c r="AA501" s="1091">
        <f t="shared" si="602"/>
        <v>0</v>
      </c>
      <c r="AB501" s="1091">
        <f t="shared" si="603"/>
        <v>0</v>
      </c>
      <c r="AD501" s="650">
        <f t="shared" si="550"/>
        <v>0</v>
      </c>
      <c r="AI501" s="1277">
        <f>VLOOKUP(K501,'[2]ผลการเบิกจ่ายสะสม พ.ย. 66'!$C:$N,12,0)</f>
        <v>0</v>
      </c>
      <c r="AJ501" s="1274">
        <f t="shared" si="558"/>
        <v>0</v>
      </c>
    </row>
    <row r="502" spans="1:36" ht="21" customHeight="1" outlineLevel="1" x14ac:dyDescent="0.35">
      <c r="A502" s="313"/>
      <c r="B502" s="293"/>
      <c r="C502" s="997" t="s">
        <v>1071</v>
      </c>
      <c r="D502" s="1168"/>
      <c r="E502" s="1171"/>
      <c r="F502" s="1171"/>
      <c r="G502" s="1171"/>
      <c r="H502" s="1171"/>
      <c r="I502" s="1172"/>
      <c r="J502" s="1172"/>
      <c r="K502" s="1047"/>
      <c r="L502" s="1047"/>
      <c r="M502" s="1171"/>
      <c r="N502" s="1171"/>
      <c r="O502" s="1171"/>
      <c r="P502" s="1171"/>
      <c r="Q502" s="1171"/>
      <c r="R502" s="1171"/>
      <c r="S502" s="1171"/>
      <c r="T502" s="1091">
        <f t="shared" si="597"/>
        <v>0</v>
      </c>
      <c r="U502" s="1091">
        <f t="shared" si="598"/>
        <v>0</v>
      </c>
      <c r="V502" s="1091">
        <f t="shared" si="559"/>
        <v>0</v>
      </c>
      <c r="W502" s="1091"/>
      <c r="X502" s="1091">
        <f t="shared" si="599"/>
        <v>0</v>
      </c>
      <c r="Y502" s="1091">
        <f t="shared" si="600"/>
        <v>0</v>
      </c>
      <c r="Z502" s="1091">
        <f t="shared" si="601"/>
        <v>0</v>
      </c>
      <c r="AA502" s="1091">
        <f t="shared" si="602"/>
        <v>0</v>
      </c>
      <c r="AB502" s="1091">
        <f t="shared" si="603"/>
        <v>0</v>
      </c>
      <c r="AD502" s="650">
        <f t="shared" si="550"/>
        <v>0</v>
      </c>
      <c r="AI502" s="1277">
        <f>VLOOKUP(K502,'[2]ผลการเบิกจ่ายสะสม พ.ย. 66'!$C:$N,12,0)</f>
        <v>0</v>
      </c>
      <c r="AJ502" s="1274">
        <f t="shared" si="558"/>
        <v>0</v>
      </c>
    </row>
    <row r="503" spans="1:36" ht="21" customHeight="1" outlineLevel="1" x14ac:dyDescent="0.35">
      <c r="A503" s="313"/>
      <c r="B503" s="293"/>
      <c r="C503" s="997" t="s">
        <v>1072</v>
      </c>
      <c r="D503" s="1168"/>
      <c r="E503" s="1171"/>
      <c r="F503" s="1171"/>
      <c r="G503" s="1171"/>
      <c r="H503" s="1171"/>
      <c r="I503" s="1172"/>
      <c r="J503" s="1172"/>
      <c r="K503" s="1047"/>
      <c r="L503" s="1047"/>
      <c r="M503" s="1171"/>
      <c r="N503" s="1171"/>
      <c r="O503" s="1171"/>
      <c r="P503" s="1171"/>
      <c r="Q503" s="1171"/>
      <c r="R503" s="1171"/>
      <c r="S503" s="1171"/>
      <c r="T503" s="1091">
        <f t="shared" si="597"/>
        <v>0</v>
      </c>
      <c r="U503" s="1091">
        <f t="shared" si="598"/>
        <v>0</v>
      </c>
      <c r="V503" s="1091">
        <f t="shared" si="559"/>
        <v>0</v>
      </c>
      <c r="W503" s="1091"/>
      <c r="X503" s="1091">
        <f t="shared" si="599"/>
        <v>0</v>
      </c>
      <c r="Y503" s="1091">
        <f t="shared" si="600"/>
        <v>0</v>
      </c>
      <c r="Z503" s="1091">
        <f t="shared" si="601"/>
        <v>0</v>
      </c>
      <c r="AA503" s="1091">
        <f t="shared" si="602"/>
        <v>0</v>
      </c>
      <c r="AB503" s="1091">
        <f t="shared" si="603"/>
        <v>0</v>
      </c>
      <c r="AD503" s="650">
        <f t="shared" si="550"/>
        <v>0</v>
      </c>
      <c r="AI503" s="1277">
        <f>VLOOKUP(K503,'[2]ผลการเบิกจ่ายสะสม พ.ย. 66'!$C:$N,12,0)</f>
        <v>0</v>
      </c>
      <c r="AJ503" s="1274">
        <f t="shared" si="558"/>
        <v>0</v>
      </c>
    </row>
    <row r="504" spans="1:36" ht="21" customHeight="1" outlineLevel="1" x14ac:dyDescent="0.35">
      <c r="A504" s="313"/>
      <c r="B504" s="293"/>
      <c r="C504" s="997" t="s">
        <v>1073</v>
      </c>
      <c r="D504" s="1168"/>
      <c r="E504" s="1171"/>
      <c r="F504" s="1171"/>
      <c r="G504" s="1171"/>
      <c r="H504" s="1171"/>
      <c r="I504" s="1172"/>
      <c r="J504" s="1172"/>
      <c r="K504" s="1047"/>
      <c r="L504" s="1047"/>
      <c r="M504" s="1171"/>
      <c r="N504" s="1171"/>
      <c r="O504" s="1171"/>
      <c r="P504" s="1171"/>
      <c r="Q504" s="1171"/>
      <c r="R504" s="1171"/>
      <c r="S504" s="1171"/>
      <c r="T504" s="1091">
        <f t="shared" si="597"/>
        <v>0</v>
      </c>
      <c r="U504" s="1091">
        <f t="shared" si="598"/>
        <v>0</v>
      </c>
      <c r="V504" s="1091">
        <f t="shared" si="559"/>
        <v>0</v>
      </c>
      <c r="W504" s="1091"/>
      <c r="X504" s="1091">
        <f t="shared" si="599"/>
        <v>0</v>
      </c>
      <c r="Y504" s="1091">
        <f t="shared" si="600"/>
        <v>0</v>
      </c>
      <c r="Z504" s="1091">
        <f t="shared" si="601"/>
        <v>0</v>
      </c>
      <c r="AA504" s="1091">
        <f t="shared" si="602"/>
        <v>0</v>
      </c>
      <c r="AB504" s="1091">
        <f t="shared" si="603"/>
        <v>0</v>
      </c>
      <c r="AD504" s="650">
        <f t="shared" si="550"/>
        <v>0</v>
      </c>
      <c r="AI504" s="1277">
        <f>VLOOKUP(K504,'[2]ผลการเบิกจ่ายสะสม พ.ย. 66'!$C:$N,12,0)</f>
        <v>0</v>
      </c>
      <c r="AJ504" s="1274">
        <f t="shared" si="558"/>
        <v>0</v>
      </c>
    </row>
    <row r="505" spans="1:36" ht="21" customHeight="1" outlineLevel="1" x14ac:dyDescent="0.35">
      <c r="A505" s="313"/>
      <c r="B505" s="293"/>
      <c r="C505" s="997" t="s">
        <v>1074</v>
      </c>
      <c r="D505" s="1168"/>
      <c r="E505" s="1171"/>
      <c r="F505" s="1171"/>
      <c r="G505" s="1171"/>
      <c r="H505" s="1171"/>
      <c r="I505" s="1172"/>
      <c r="J505" s="1172"/>
      <c r="K505" s="1047"/>
      <c r="L505" s="1047"/>
      <c r="M505" s="1171"/>
      <c r="N505" s="1171"/>
      <c r="O505" s="1171"/>
      <c r="P505" s="1171"/>
      <c r="Q505" s="1171"/>
      <c r="R505" s="1171"/>
      <c r="S505" s="1171"/>
      <c r="T505" s="1091">
        <f t="shared" si="597"/>
        <v>0</v>
      </c>
      <c r="U505" s="1091">
        <f t="shared" si="598"/>
        <v>0</v>
      </c>
      <c r="V505" s="1091">
        <f t="shared" si="559"/>
        <v>0</v>
      </c>
      <c r="W505" s="1091"/>
      <c r="X505" s="1091">
        <f t="shared" si="599"/>
        <v>0</v>
      </c>
      <c r="Y505" s="1091">
        <f t="shared" si="600"/>
        <v>0</v>
      </c>
      <c r="Z505" s="1091">
        <f t="shared" si="601"/>
        <v>0</v>
      </c>
      <c r="AA505" s="1091">
        <f t="shared" si="602"/>
        <v>0</v>
      </c>
      <c r="AB505" s="1091">
        <f t="shared" si="603"/>
        <v>0</v>
      </c>
      <c r="AD505" s="650">
        <f t="shared" si="550"/>
        <v>0</v>
      </c>
      <c r="AI505" s="1277">
        <f>VLOOKUP(K505,'[2]ผลการเบิกจ่ายสะสม พ.ย. 66'!$C:$N,12,0)</f>
        <v>0</v>
      </c>
      <c r="AJ505" s="1274">
        <f t="shared" si="558"/>
        <v>0</v>
      </c>
    </row>
    <row r="506" spans="1:36" ht="21" customHeight="1" outlineLevel="1" x14ac:dyDescent="0.35">
      <c r="A506" s="313"/>
      <c r="B506" s="293"/>
      <c r="C506" s="997" t="s">
        <v>1075</v>
      </c>
      <c r="D506" s="1168"/>
      <c r="E506" s="1171"/>
      <c r="F506" s="1171"/>
      <c r="G506" s="1171"/>
      <c r="H506" s="1171"/>
      <c r="I506" s="1172"/>
      <c r="J506" s="1172"/>
      <c r="K506" s="1047"/>
      <c r="L506" s="1047"/>
      <c r="M506" s="1171"/>
      <c r="N506" s="1171"/>
      <c r="O506" s="1171"/>
      <c r="P506" s="1171"/>
      <c r="Q506" s="1171"/>
      <c r="R506" s="1171"/>
      <c r="S506" s="1171"/>
      <c r="T506" s="1091">
        <f t="shared" si="597"/>
        <v>0</v>
      </c>
      <c r="U506" s="1091">
        <f t="shared" si="598"/>
        <v>0</v>
      </c>
      <c r="V506" s="1091">
        <f t="shared" si="559"/>
        <v>0</v>
      </c>
      <c r="W506" s="1091"/>
      <c r="X506" s="1091">
        <f t="shared" si="599"/>
        <v>0</v>
      </c>
      <c r="Y506" s="1091">
        <f t="shared" si="600"/>
        <v>0</v>
      </c>
      <c r="Z506" s="1091">
        <f t="shared" si="601"/>
        <v>0</v>
      </c>
      <c r="AA506" s="1091">
        <f t="shared" si="602"/>
        <v>0</v>
      </c>
      <c r="AB506" s="1091">
        <f t="shared" si="603"/>
        <v>0</v>
      </c>
      <c r="AD506" s="650">
        <f t="shared" si="550"/>
        <v>0</v>
      </c>
      <c r="AI506" s="1277">
        <f>VLOOKUP(K506,'[2]ผลการเบิกจ่ายสะสม พ.ย. 66'!$C:$N,12,0)</f>
        <v>0</v>
      </c>
      <c r="AJ506" s="1274">
        <f t="shared" si="558"/>
        <v>0</v>
      </c>
    </row>
    <row r="507" spans="1:36" ht="21" customHeight="1" outlineLevel="1" x14ac:dyDescent="0.35">
      <c r="A507" s="313"/>
      <c r="B507" s="293"/>
      <c r="C507" s="997" t="s">
        <v>1076</v>
      </c>
      <c r="D507" s="1168"/>
      <c r="E507" s="1171"/>
      <c r="F507" s="1171"/>
      <c r="G507" s="1171"/>
      <c r="H507" s="1171"/>
      <c r="I507" s="1172"/>
      <c r="J507" s="1172"/>
      <c r="K507" s="1047"/>
      <c r="L507" s="1047"/>
      <c r="M507" s="1171"/>
      <c r="N507" s="1171"/>
      <c r="O507" s="1171"/>
      <c r="P507" s="1171"/>
      <c r="Q507" s="1171"/>
      <c r="R507" s="1171"/>
      <c r="S507" s="1171"/>
      <c r="T507" s="1091">
        <f t="shared" si="597"/>
        <v>0</v>
      </c>
      <c r="U507" s="1091">
        <f t="shared" si="598"/>
        <v>0</v>
      </c>
      <c r="V507" s="1091">
        <f t="shared" si="559"/>
        <v>0</v>
      </c>
      <c r="W507" s="1091"/>
      <c r="X507" s="1091">
        <f t="shared" si="599"/>
        <v>0</v>
      </c>
      <c r="Y507" s="1091">
        <f t="shared" si="600"/>
        <v>0</v>
      </c>
      <c r="Z507" s="1091">
        <f t="shared" si="601"/>
        <v>0</v>
      </c>
      <c r="AA507" s="1091">
        <f t="shared" si="602"/>
        <v>0</v>
      </c>
      <c r="AB507" s="1091">
        <f t="shared" si="603"/>
        <v>0</v>
      </c>
      <c r="AD507" s="650">
        <f t="shared" si="550"/>
        <v>0</v>
      </c>
      <c r="AI507" s="1277">
        <f>VLOOKUP(K507,'[2]ผลการเบิกจ่ายสะสม พ.ย. 66'!$C:$N,12,0)</f>
        <v>0</v>
      </c>
      <c r="AJ507" s="1274">
        <f t="shared" si="558"/>
        <v>0</v>
      </c>
    </row>
    <row r="508" spans="1:36" ht="21" customHeight="1" outlineLevel="1" x14ac:dyDescent="0.35">
      <c r="A508" s="313"/>
      <c r="B508" s="293"/>
      <c r="C508" s="997" t="s">
        <v>1077</v>
      </c>
      <c r="D508" s="1168"/>
      <c r="E508" s="1171"/>
      <c r="F508" s="1171"/>
      <c r="G508" s="1171"/>
      <c r="H508" s="1171"/>
      <c r="I508" s="1172"/>
      <c r="J508" s="1172"/>
      <c r="K508" s="1047"/>
      <c r="L508" s="1047"/>
      <c r="M508" s="1171"/>
      <c r="N508" s="1171"/>
      <c r="O508" s="1171"/>
      <c r="P508" s="1171"/>
      <c r="Q508" s="1171"/>
      <c r="R508" s="1171"/>
      <c r="S508" s="1171"/>
      <c r="T508" s="1091">
        <f t="shared" si="597"/>
        <v>0</v>
      </c>
      <c r="U508" s="1091">
        <f t="shared" si="598"/>
        <v>0</v>
      </c>
      <c r="V508" s="1091">
        <f t="shared" si="559"/>
        <v>0</v>
      </c>
      <c r="W508" s="1091"/>
      <c r="X508" s="1091">
        <f t="shared" si="599"/>
        <v>0</v>
      </c>
      <c r="Y508" s="1091">
        <f t="shared" si="600"/>
        <v>0</v>
      </c>
      <c r="Z508" s="1091">
        <f t="shared" si="601"/>
        <v>0</v>
      </c>
      <c r="AA508" s="1091">
        <f t="shared" si="602"/>
        <v>0</v>
      </c>
      <c r="AB508" s="1091">
        <f t="shared" si="603"/>
        <v>0</v>
      </c>
      <c r="AD508" s="650">
        <f t="shared" si="550"/>
        <v>0</v>
      </c>
      <c r="AI508" s="1277">
        <f>VLOOKUP(K508,'[2]ผลการเบิกจ่ายสะสม พ.ย. 66'!$C:$N,12,0)</f>
        <v>0</v>
      </c>
      <c r="AJ508" s="1274">
        <f t="shared" si="558"/>
        <v>0</v>
      </c>
    </row>
    <row r="509" spans="1:36" ht="21" customHeight="1" outlineLevel="1" x14ac:dyDescent="0.35">
      <c r="A509" s="313"/>
      <c r="B509" s="293"/>
      <c r="C509" s="997" t="s">
        <v>1078</v>
      </c>
      <c r="D509" s="1168"/>
      <c r="E509" s="1171"/>
      <c r="F509" s="1171"/>
      <c r="G509" s="1171"/>
      <c r="H509" s="1171"/>
      <c r="I509" s="1172"/>
      <c r="J509" s="1172"/>
      <c r="K509" s="1047"/>
      <c r="L509" s="1047"/>
      <c r="M509" s="1171"/>
      <c r="N509" s="1171"/>
      <c r="O509" s="1171"/>
      <c r="P509" s="1171"/>
      <c r="Q509" s="1171"/>
      <c r="R509" s="1171"/>
      <c r="S509" s="1171"/>
      <c r="T509" s="1091">
        <f t="shared" si="597"/>
        <v>0</v>
      </c>
      <c r="U509" s="1091">
        <f t="shared" si="598"/>
        <v>0</v>
      </c>
      <c r="V509" s="1091">
        <f t="shared" si="559"/>
        <v>0</v>
      </c>
      <c r="W509" s="1091"/>
      <c r="X509" s="1091">
        <f t="shared" si="599"/>
        <v>0</v>
      </c>
      <c r="Y509" s="1091">
        <f t="shared" si="600"/>
        <v>0</v>
      </c>
      <c r="Z509" s="1091">
        <f t="shared" si="601"/>
        <v>0</v>
      </c>
      <c r="AA509" s="1091">
        <f t="shared" si="602"/>
        <v>0</v>
      </c>
      <c r="AB509" s="1091">
        <f t="shared" si="603"/>
        <v>0</v>
      </c>
      <c r="AD509" s="650">
        <f t="shared" si="550"/>
        <v>0</v>
      </c>
      <c r="AI509" s="1277">
        <f>VLOOKUP(K509,'[2]ผลการเบิกจ่ายสะสม พ.ย. 66'!$C:$N,12,0)</f>
        <v>0</v>
      </c>
      <c r="AJ509" s="1274">
        <f t="shared" si="558"/>
        <v>0</v>
      </c>
    </row>
    <row r="510" spans="1:36" ht="21" customHeight="1" outlineLevel="1" x14ac:dyDescent="0.35">
      <c r="A510" s="313"/>
      <c r="B510" s="293"/>
      <c r="C510" s="997" t="s">
        <v>1079</v>
      </c>
      <c r="D510" s="1168"/>
      <c r="E510" s="1171"/>
      <c r="F510" s="1171"/>
      <c r="G510" s="1171"/>
      <c r="H510" s="1171"/>
      <c r="I510" s="1172"/>
      <c r="J510" s="1172"/>
      <c r="K510" s="1047"/>
      <c r="L510" s="1047"/>
      <c r="M510" s="1171"/>
      <c r="N510" s="1171"/>
      <c r="O510" s="1171"/>
      <c r="P510" s="1171"/>
      <c r="Q510" s="1171"/>
      <c r="R510" s="1171"/>
      <c r="S510" s="1171"/>
      <c r="T510" s="1091">
        <f t="shared" si="597"/>
        <v>0</v>
      </c>
      <c r="U510" s="1091">
        <f t="shared" si="598"/>
        <v>0</v>
      </c>
      <c r="V510" s="1091">
        <f t="shared" si="559"/>
        <v>0</v>
      </c>
      <c r="W510" s="1091"/>
      <c r="X510" s="1091">
        <f t="shared" si="599"/>
        <v>0</v>
      </c>
      <c r="Y510" s="1091">
        <f t="shared" si="600"/>
        <v>0</v>
      </c>
      <c r="Z510" s="1091">
        <f t="shared" si="601"/>
        <v>0</v>
      </c>
      <c r="AA510" s="1091">
        <f t="shared" si="602"/>
        <v>0</v>
      </c>
      <c r="AB510" s="1091">
        <f t="shared" si="603"/>
        <v>0</v>
      </c>
      <c r="AD510" s="650">
        <f t="shared" si="550"/>
        <v>0</v>
      </c>
      <c r="AI510" s="1277">
        <f>VLOOKUP(K510,'[2]ผลการเบิกจ่ายสะสม พ.ย. 66'!$C:$N,12,0)</f>
        <v>0</v>
      </c>
      <c r="AJ510" s="1274">
        <f t="shared" si="558"/>
        <v>0</v>
      </c>
    </row>
    <row r="511" spans="1:36" ht="21" customHeight="1" outlineLevel="1" x14ac:dyDescent="0.35">
      <c r="A511" s="313"/>
      <c r="B511" s="293"/>
      <c r="C511" s="997" t="s">
        <v>1080</v>
      </c>
      <c r="D511" s="1168"/>
      <c r="E511" s="1171"/>
      <c r="F511" s="1171"/>
      <c r="G511" s="1171"/>
      <c r="H511" s="1171"/>
      <c r="I511" s="1172"/>
      <c r="J511" s="1172"/>
      <c r="K511" s="1047"/>
      <c r="L511" s="1047"/>
      <c r="M511" s="1171"/>
      <c r="N511" s="1171"/>
      <c r="O511" s="1171"/>
      <c r="P511" s="1171"/>
      <c r="Q511" s="1171"/>
      <c r="R511" s="1171"/>
      <c r="S511" s="1171"/>
      <c r="T511" s="1091">
        <f t="shared" si="597"/>
        <v>0</v>
      </c>
      <c r="U511" s="1091">
        <f t="shared" si="598"/>
        <v>0</v>
      </c>
      <c r="V511" s="1091">
        <f t="shared" si="559"/>
        <v>0</v>
      </c>
      <c r="W511" s="1091"/>
      <c r="X511" s="1091">
        <f t="shared" si="599"/>
        <v>0</v>
      </c>
      <c r="Y511" s="1091">
        <f t="shared" si="600"/>
        <v>0</v>
      </c>
      <c r="Z511" s="1091">
        <f t="shared" si="601"/>
        <v>0</v>
      </c>
      <c r="AA511" s="1091">
        <f t="shared" si="602"/>
        <v>0</v>
      </c>
      <c r="AB511" s="1091">
        <f t="shared" si="603"/>
        <v>0</v>
      </c>
      <c r="AD511" s="650">
        <f t="shared" si="550"/>
        <v>0</v>
      </c>
      <c r="AI511" s="1277">
        <f>VLOOKUP(K511,'[2]ผลการเบิกจ่ายสะสม พ.ย. 66'!$C:$N,12,0)</f>
        <v>0</v>
      </c>
      <c r="AJ511" s="1274">
        <f t="shared" si="558"/>
        <v>0</v>
      </c>
    </row>
    <row r="512" spans="1:36" ht="21" customHeight="1" outlineLevel="1" x14ac:dyDescent="0.35">
      <c r="A512" s="313"/>
      <c r="B512" s="293"/>
      <c r="C512" s="997" t="s">
        <v>1081</v>
      </c>
      <c r="D512" s="1168"/>
      <c r="E512" s="1171"/>
      <c r="F512" s="1171"/>
      <c r="G512" s="1171"/>
      <c r="H512" s="1171"/>
      <c r="I512" s="1172"/>
      <c r="J512" s="1172"/>
      <c r="K512" s="1047"/>
      <c r="L512" s="1047"/>
      <c r="M512" s="1171"/>
      <c r="N512" s="1171"/>
      <c r="O512" s="1171"/>
      <c r="P512" s="1171"/>
      <c r="Q512" s="1171"/>
      <c r="R512" s="1171"/>
      <c r="S512" s="1171"/>
      <c r="T512" s="1091">
        <f t="shared" si="597"/>
        <v>0</v>
      </c>
      <c r="U512" s="1091">
        <f t="shared" si="598"/>
        <v>0</v>
      </c>
      <c r="V512" s="1091">
        <f t="shared" si="559"/>
        <v>0</v>
      </c>
      <c r="W512" s="1091"/>
      <c r="X512" s="1091">
        <f t="shared" si="599"/>
        <v>0</v>
      </c>
      <c r="Y512" s="1091">
        <f t="shared" si="600"/>
        <v>0</v>
      </c>
      <c r="Z512" s="1091">
        <f t="shared" si="601"/>
        <v>0</v>
      </c>
      <c r="AA512" s="1091">
        <f t="shared" si="602"/>
        <v>0</v>
      </c>
      <c r="AB512" s="1091">
        <f t="shared" si="603"/>
        <v>0</v>
      </c>
      <c r="AD512" s="650">
        <f t="shared" si="550"/>
        <v>0</v>
      </c>
      <c r="AI512" s="1277">
        <f>VLOOKUP(K512,'[2]ผลการเบิกจ่ายสะสม พ.ย. 66'!$C:$N,12,0)</f>
        <v>0</v>
      </c>
      <c r="AJ512" s="1274">
        <f t="shared" si="558"/>
        <v>0</v>
      </c>
    </row>
    <row r="513" spans="1:36" ht="21" customHeight="1" outlineLevel="1" x14ac:dyDescent="0.35">
      <c r="A513" s="313"/>
      <c r="B513" s="293"/>
      <c r="C513" s="997" t="s">
        <v>1082</v>
      </c>
      <c r="D513" s="1168"/>
      <c r="E513" s="1171"/>
      <c r="F513" s="1171"/>
      <c r="G513" s="1171"/>
      <c r="H513" s="1171"/>
      <c r="I513" s="1172"/>
      <c r="J513" s="1172"/>
      <c r="K513" s="1047"/>
      <c r="L513" s="1047"/>
      <c r="M513" s="1171"/>
      <c r="N513" s="1171"/>
      <c r="O513" s="1171"/>
      <c r="P513" s="1171"/>
      <c r="Q513" s="1171"/>
      <c r="R513" s="1171"/>
      <c r="S513" s="1171"/>
      <c r="T513" s="1091">
        <f t="shared" si="597"/>
        <v>0</v>
      </c>
      <c r="U513" s="1091">
        <f t="shared" si="598"/>
        <v>0</v>
      </c>
      <c r="V513" s="1091">
        <f t="shared" si="559"/>
        <v>0</v>
      </c>
      <c r="W513" s="1091"/>
      <c r="X513" s="1091">
        <f t="shared" si="599"/>
        <v>0</v>
      </c>
      <c r="Y513" s="1091">
        <f t="shared" si="600"/>
        <v>0</v>
      </c>
      <c r="Z513" s="1091">
        <f t="shared" si="601"/>
        <v>0</v>
      </c>
      <c r="AA513" s="1091">
        <f t="shared" si="602"/>
        <v>0</v>
      </c>
      <c r="AB513" s="1091">
        <f t="shared" si="603"/>
        <v>0</v>
      </c>
      <c r="AD513" s="650">
        <f t="shared" si="550"/>
        <v>0</v>
      </c>
      <c r="AI513" s="1277">
        <f>VLOOKUP(K513,'[2]ผลการเบิกจ่ายสะสม พ.ย. 66'!$C:$N,12,0)</f>
        <v>0</v>
      </c>
      <c r="AJ513" s="1274">
        <f t="shared" si="558"/>
        <v>0</v>
      </c>
    </row>
    <row r="514" spans="1:36" ht="21" customHeight="1" outlineLevel="1" x14ac:dyDescent="0.35">
      <c r="A514" s="313"/>
      <c r="B514" s="293"/>
      <c r="C514" s="997" t="s">
        <v>1083</v>
      </c>
      <c r="D514" s="1168"/>
      <c r="E514" s="1171"/>
      <c r="F514" s="1171"/>
      <c r="G514" s="1171"/>
      <c r="H514" s="1171"/>
      <c r="I514" s="1172"/>
      <c r="J514" s="1172"/>
      <c r="K514" s="1047"/>
      <c r="L514" s="1047"/>
      <c r="M514" s="1171"/>
      <c r="N514" s="1171"/>
      <c r="O514" s="1171"/>
      <c r="P514" s="1171"/>
      <c r="Q514" s="1171"/>
      <c r="R514" s="1171"/>
      <c r="S514" s="1171"/>
      <c r="T514" s="1091">
        <f t="shared" si="597"/>
        <v>0</v>
      </c>
      <c r="U514" s="1091">
        <f t="shared" si="598"/>
        <v>0</v>
      </c>
      <c r="V514" s="1091">
        <f t="shared" si="559"/>
        <v>0</v>
      </c>
      <c r="W514" s="1091"/>
      <c r="X514" s="1091">
        <f t="shared" si="599"/>
        <v>0</v>
      </c>
      <c r="Y514" s="1091">
        <f t="shared" si="600"/>
        <v>0</v>
      </c>
      <c r="Z514" s="1091">
        <f t="shared" si="601"/>
        <v>0</v>
      </c>
      <c r="AA514" s="1091">
        <f t="shared" si="602"/>
        <v>0</v>
      </c>
      <c r="AB514" s="1091">
        <f t="shared" si="603"/>
        <v>0</v>
      </c>
      <c r="AD514" s="650">
        <f t="shared" si="550"/>
        <v>0</v>
      </c>
      <c r="AI514" s="1277">
        <f>VLOOKUP(K514,'[2]ผลการเบิกจ่ายสะสม พ.ย. 66'!$C:$N,12,0)</f>
        <v>0</v>
      </c>
      <c r="AJ514" s="1274">
        <f t="shared" si="558"/>
        <v>0</v>
      </c>
    </row>
    <row r="515" spans="1:36" ht="21" customHeight="1" outlineLevel="1" x14ac:dyDescent="0.35">
      <c r="A515" s="313"/>
      <c r="B515" s="293"/>
      <c r="C515" s="997" t="s">
        <v>1084</v>
      </c>
      <c r="D515" s="1168"/>
      <c r="E515" s="1171"/>
      <c r="F515" s="1171"/>
      <c r="G515" s="1171"/>
      <c r="H515" s="1171"/>
      <c r="I515" s="1172"/>
      <c r="J515" s="1172"/>
      <c r="K515" s="1047"/>
      <c r="L515" s="1047"/>
      <c r="M515" s="1171"/>
      <c r="N515" s="1171"/>
      <c r="O515" s="1171"/>
      <c r="P515" s="1171"/>
      <c r="Q515" s="1171"/>
      <c r="R515" s="1171"/>
      <c r="S515" s="1171"/>
      <c r="T515" s="1091">
        <f t="shared" si="597"/>
        <v>0</v>
      </c>
      <c r="U515" s="1091">
        <f t="shared" si="598"/>
        <v>0</v>
      </c>
      <c r="V515" s="1091">
        <f t="shared" si="559"/>
        <v>0</v>
      </c>
      <c r="W515" s="1091"/>
      <c r="X515" s="1091">
        <f t="shared" si="599"/>
        <v>0</v>
      </c>
      <c r="Y515" s="1091">
        <f t="shared" si="600"/>
        <v>0</v>
      </c>
      <c r="Z515" s="1091">
        <f t="shared" si="601"/>
        <v>0</v>
      </c>
      <c r="AA515" s="1091">
        <f t="shared" si="602"/>
        <v>0</v>
      </c>
      <c r="AB515" s="1091">
        <f t="shared" si="603"/>
        <v>0</v>
      </c>
      <c r="AD515" s="650">
        <f t="shared" si="550"/>
        <v>0</v>
      </c>
      <c r="AI515" s="1277">
        <f>VLOOKUP(K515,'[2]ผลการเบิกจ่ายสะสม พ.ย. 66'!$C:$N,12,0)</f>
        <v>0</v>
      </c>
      <c r="AJ515" s="1274">
        <f t="shared" si="558"/>
        <v>0</v>
      </c>
    </row>
    <row r="516" spans="1:36" ht="21" customHeight="1" outlineLevel="1" x14ac:dyDescent="0.35">
      <c r="A516" s="313"/>
      <c r="B516" s="293"/>
      <c r="C516" s="997" t="s">
        <v>1085</v>
      </c>
      <c r="D516" s="1168"/>
      <c r="E516" s="1171"/>
      <c r="F516" s="1171"/>
      <c r="G516" s="1171"/>
      <c r="H516" s="1171"/>
      <c r="I516" s="1172"/>
      <c r="J516" s="1172"/>
      <c r="K516" s="1047"/>
      <c r="L516" s="1047"/>
      <c r="M516" s="1171"/>
      <c r="N516" s="1171"/>
      <c r="O516" s="1171"/>
      <c r="P516" s="1171"/>
      <c r="Q516" s="1171"/>
      <c r="R516" s="1171"/>
      <c r="S516" s="1171"/>
      <c r="T516" s="1091">
        <f t="shared" si="597"/>
        <v>0</v>
      </c>
      <c r="U516" s="1091">
        <f t="shared" si="598"/>
        <v>0</v>
      </c>
      <c r="V516" s="1091">
        <f t="shared" si="559"/>
        <v>0</v>
      </c>
      <c r="W516" s="1091"/>
      <c r="X516" s="1091">
        <f t="shared" si="599"/>
        <v>0</v>
      </c>
      <c r="Y516" s="1091">
        <f t="shared" si="600"/>
        <v>0</v>
      </c>
      <c r="Z516" s="1091">
        <f t="shared" si="601"/>
        <v>0</v>
      </c>
      <c r="AA516" s="1091">
        <f t="shared" si="602"/>
        <v>0</v>
      </c>
      <c r="AB516" s="1091">
        <f t="shared" si="603"/>
        <v>0</v>
      </c>
      <c r="AD516" s="650">
        <f t="shared" si="550"/>
        <v>0</v>
      </c>
      <c r="AI516" s="1277">
        <f>VLOOKUP(K516,'[2]ผลการเบิกจ่ายสะสม พ.ย. 66'!$C:$N,12,0)</f>
        <v>0</v>
      </c>
      <c r="AJ516" s="1274">
        <f t="shared" si="558"/>
        <v>0</v>
      </c>
    </row>
    <row r="517" spans="1:36" ht="21" customHeight="1" outlineLevel="1" x14ac:dyDescent="0.35">
      <c r="A517" s="313"/>
      <c r="B517" s="293"/>
      <c r="C517" s="997" t="s">
        <v>1086</v>
      </c>
      <c r="D517" s="1168"/>
      <c r="E517" s="1171"/>
      <c r="F517" s="1171"/>
      <c r="G517" s="1171"/>
      <c r="H517" s="1171"/>
      <c r="I517" s="1172"/>
      <c r="J517" s="1172"/>
      <c r="K517" s="1047"/>
      <c r="L517" s="1047"/>
      <c r="M517" s="1171"/>
      <c r="N517" s="1171"/>
      <c r="O517" s="1171"/>
      <c r="P517" s="1171"/>
      <c r="Q517" s="1171"/>
      <c r="R517" s="1171"/>
      <c r="S517" s="1171"/>
      <c r="T517" s="1091">
        <f t="shared" si="597"/>
        <v>0</v>
      </c>
      <c r="U517" s="1091">
        <f t="shared" si="598"/>
        <v>0</v>
      </c>
      <c r="V517" s="1091">
        <f t="shared" si="559"/>
        <v>0</v>
      </c>
      <c r="W517" s="1091"/>
      <c r="X517" s="1091">
        <f t="shared" si="599"/>
        <v>0</v>
      </c>
      <c r="Y517" s="1091">
        <f t="shared" si="600"/>
        <v>0</v>
      </c>
      <c r="Z517" s="1091">
        <f t="shared" si="601"/>
        <v>0</v>
      </c>
      <c r="AA517" s="1091">
        <f t="shared" si="602"/>
        <v>0</v>
      </c>
      <c r="AB517" s="1091">
        <f t="shared" si="603"/>
        <v>0</v>
      </c>
      <c r="AD517" s="650">
        <f t="shared" si="550"/>
        <v>0</v>
      </c>
      <c r="AI517" s="1277">
        <f>VLOOKUP(K517,'[2]ผลการเบิกจ่ายสะสม พ.ย. 66'!$C:$N,12,0)</f>
        <v>0</v>
      </c>
      <c r="AJ517" s="1274">
        <f t="shared" si="558"/>
        <v>0</v>
      </c>
    </row>
    <row r="518" spans="1:36" ht="21" customHeight="1" outlineLevel="1" x14ac:dyDescent="0.35">
      <c r="A518" s="313"/>
      <c r="B518" s="293"/>
      <c r="C518" s="997" t="s">
        <v>1087</v>
      </c>
      <c r="D518" s="1168"/>
      <c r="E518" s="1171"/>
      <c r="F518" s="1171"/>
      <c r="G518" s="1171"/>
      <c r="H518" s="1171"/>
      <c r="I518" s="1172"/>
      <c r="J518" s="1172"/>
      <c r="K518" s="1047"/>
      <c r="L518" s="1047"/>
      <c r="M518" s="1171"/>
      <c r="N518" s="1171"/>
      <c r="O518" s="1171"/>
      <c r="P518" s="1171"/>
      <c r="Q518" s="1171"/>
      <c r="R518" s="1171"/>
      <c r="S518" s="1171"/>
      <c r="T518" s="1091">
        <f t="shared" si="597"/>
        <v>0</v>
      </c>
      <c r="U518" s="1091">
        <f t="shared" si="598"/>
        <v>0</v>
      </c>
      <c r="V518" s="1091">
        <f t="shared" si="559"/>
        <v>0</v>
      </c>
      <c r="W518" s="1091"/>
      <c r="X518" s="1091">
        <f t="shared" si="599"/>
        <v>0</v>
      </c>
      <c r="Y518" s="1091">
        <f t="shared" si="600"/>
        <v>0</v>
      </c>
      <c r="Z518" s="1091">
        <f t="shared" si="601"/>
        <v>0</v>
      </c>
      <c r="AA518" s="1091">
        <f t="shared" si="602"/>
        <v>0</v>
      </c>
      <c r="AB518" s="1091">
        <f t="shared" si="603"/>
        <v>0</v>
      </c>
      <c r="AD518" s="650">
        <f t="shared" si="550"/>
        <v>0</v>
      </c>
      <c r="AI518" s="1277">
        <f>VLOOKUP(K518,'[2]ผลการเบิกจ่ายสะสม พ.ย. 66'!$C:$N,12,0)</f>
        <v>0</v>
      </c>
      <c r="AJ518" s="1274">
        <f t="shared" si="558"/>
        <v>0</v>
      </c>
    </row>
    <row r="519" spans="1:36" ht="21" customHeight="1" outlineLevel="1" x14ac:dyDescent="0.35">
      <c r="A519" s="313"/>
      <c r="B519" s="293"/>
      <c r="C519" s="997" t="s">
        <v>1088</v>
      </c>
      <c r="D519" s="1168"/>
      <c r="E519" s="1171"/>
      <c r="F519" s="1171"/>
      <c r="G519" s="1171"/>
      <c r="H519" s="1171"/>
      <c r="I519" s="1172"/>
      <c r="J519" s="1172"/>
      <c r="K519" s="1047"/>
      <c r="L519" s="1047"/>
      <c r="M519" s="1171"/>
      <c r="N519" s="1171"/>
      <c r="O519" s="1171"/>
      <c r="P519" s="1171"/>
      <c r="Q519" s="1171"/>
      <c r="R519" s="1171"/>
      <c r="S519" s="1171"/>
      <c r="T519" s="1091">
        <f t="shared" si="597"/>
        <v>0</v>
      </c>
      <c r="U519" s="1091">
        <f t="shared" si="598"/>
        <v>0</v>
      </c>
      <c r="V519" s="1091">
        <f t="shared" si="559"/>
        <v>0</v>
      </c>
      <c r="W519" s="1091"/>
      <c r="X519" s="1091">
        <f t="shared" si="599"/>
        <v>0</v>
      </c>
      <c r="Y519" s="1091">
        <f t="shared" si="600"/>
        <v>0</v>
      </c>
      <c r="Z519" s="1091">
        <f t="shared" si="601"/>
        <v>0</v>
      </c>
      <c r="AA519" s="1091">
        <f t="shared" si="602"/>
        <v>0</v>
      </c>
      <c r="AB519" s="1091">
        <f t="shared" si="603"/>
        <v>0</v>
      </c>
      <c r="AD519" s="650">
        <f t="shared" si="550"/>
        <v>0</v>
      </c>
      <c r="AI519" s="1277">
        <f>VLOOKUP(K519,'[2]ผลการเบิกจ่ายสะสม พ.ย. 66'!$C:$N,12,0)</f>
        <v>0</v>
      </c>
      <c r="AJ519" s="1274">
        <f t="shared" si="558"/>
        <v>0</v>
      </c>
    </row>
    <row r="520" spans="1:36" ht="21" customHeight="1" outlineLevel="1" x14ac:dyDescent="0.35">
      <c r="A520" s="313"/>
      <c r="B520" s="293"/>
      <c r="C520" s="997" t="s">
        <v>1089</v>
      </c>
      <c r="D520" s="1168"/>
      <c r="E520" s="1171"/>
      <c r="F520" s="1171"/>
      <c r="G520" s="1171"/>
      <c r="H520" s="1171"/>
      <c r="I520" s="1172"/>
      <c r="J520" s="1172"/>
      <c r="K520" s="1047"/>
      <c r="L520" s="1047"/>
      <c r="M520" s="1171"/>
      <c r="N520" s="1171"/>
      <c r="O520" s="1171"/>
      <c r="P520" s="1171"/>
      <c r="Q520" s="1171"/>
      <c r="R520" s="1171"/>
      <c r="S520" s="1171"/>
      <c r="T520" s="1091">
        <f t="shared" si="597"/>
        <v>0</v>
      </c>
      <c r="U520" s="1091">
        <f t="shared" si="598"/>
        <v>0</v>
      </c>
      <c r="V520" s="1091">
        <f t="shared" si="559"/>
        <v>0</v>
      </c>
      <c r="W520" s="1091"/>
      <c r="X520" s="1091">
        <f t="shared" si="599"/>
        <v>0</v>
      </c>
      <c r="Y520" s="1091">
        <f t="shared" si="600"/>
        <v>0</v>
      </c>
      <c r="Z520" s="1091">
        <f t="shared" si="601"/>
        <v>0</v>
      </c>
      <c r="AA520" s="1091">
        <f t="shared" si="602"/>
        <v>0</v>
      </c>
      <c r="AB520" s="1091">
        <f t="shared" si="603"/>
        <v>0</v>
      </c>
      <c r="AD520" s="650">
        <f t="shared" si="550"/>
        <v>0</v>
      </c>
      <c r="AI520" s="1277">
        <f>VLOOKUP(K520,'[2]ผลการเบิกจ่ายสะสม พ.ย. 66'!$C:$N,12,0)</f>
        <v>0</v>
      </c>
      <c r="AJ520" s="1274">
        <f t="shared" si="558"/>
        <v>0</v>
      </c>
    </row>
    <row r="521" spans="1:36" ht="21" customHeight="1" outlineLevel="1" x14ac:dyDescent="0.35">
      <c r="A521" s="313"/>
      <c r="B521" s="293"/>
      <c r="C521" s="997" t="s">
        <v>1090</v>
      </c>
      <c r="D521" s="1168"/>
      <c r="E521" s="1171"/>
      <c r="F521" s="1171"/>
      <c r="G521" s="1171"/>
      <c r="H521" s="1171"/>
      <c r="I521" s="1172"/>
      <c r="J521" s="1172"/>
      <c r="K521" s="1047"/>
      <c r="L521" s="1047"/>
      <c r="M521" s="1171"/>
      <c r="N521" s="1171"/>
      <c r="O521" s="1171"/>
      <c r="P521" s="1171"/>
      <c r="Q521" s="1171"/>
      <c r="R521" s="1171"/>
      <c r="S521" s="1171"/>
      <c r="T521" s="1091">
        <f t="shared" si="597"/>
        <v>0</v>
      </c>
      <c r="U521" s="1091">
        <f t="shared" si="598"/>
        <v>0</v>
      </c>
      <c r="V521" s="1091">
        <f t="shared" si="559"/>
        <v>0</v>
      </c>
      <c r="W521" s="1091"/>
      <c r="X521" s="1091">
        <f t="shared" si="599"/>
        <v>0</v>
      </c>
      <c r="Y521" s="1091">
        <f t="shared" si="600"/>
        <v>0</v>
      </c>
      <c r="Z521" s="1091">
        <f t="shared" si="601"/>
        <v>0</v>
      </c>
      <c r="AA521" s="1091">
        <f t="shared" si="602"/>
        <v>0</v>
      </c>
      <c r="AB521" s="1091">
        <f t="shared" si="603"/>
        <v>0</v>
      </c>
      <c r="AD521" s="650">
        <f t="shared" si="550"/>
        <v>0</v>
      </c>
      <c r="AI521" s="1277">
        <f>VLOOKUP(K521,'[2]ผลการเบิกจ่ายสะสม พ.ย. 66'!$C:$N,12,0)</f>
        <v>0</v>
      </c>
      <c r="AJ521" s="1274">
        <f t="shared" si="558"/>
        <v>0</v>
      </c>
    </row>
    <row r="522" spans="1:36" ht="21" customHeight="1" outlineLevel="1" x14ac:dyDescent="0.35">
      <c r="A522" s="313"/>
      <c r="B522" s="293"/>
      <c r="C522" s="997" t="s">
        <v>1091</v>
      </c>
      <c r="D522" s="1168"/>
      <c r="E522" s="1171"/>
      <c r="F522" s="1171"/>
      <c r="G522" s="1171"/>
      <c r="H522" s="1171"/>
      <c r="I522" s="1172"/>
      <c r="J522" s="1172"/>
      <c r="K522" s="1047"/>
      <c r="L522" s="1047"/>
      <c r="M522" s="1171"/>
      <c r="N522" s="1171"/>
      <c r="O522" s="1171"/>
      <c r="P522" s="1171"/>
      <c r="Q522" s="1171"/>
      <c r="R522" s="1171"/>
      <c r="S522" s="1171"/>
      <c r="T522" s="1091">
        <f t="shared" si="597"/>
        <v>0</v>
      </c>
      <c r="U522" s="1091">
        <f t="shared" si="598"/>
        <v>0</v>
      </c>
      <c r="V522" s="1091">
        <f t="shared" si="559"/>
        <v>0</v>
      </c>
      <c r="W522" s="1091"/>
      <c r="X522" s="1091">
        <f t="shared" si="599"/>
        <v>0</v>
      </c>
      <c r="Y522" s="1091">
        <f t="shared" si="600"/>
        <v>0</v>
      </c>
      <c r="Z522" s="1091">
        <f t="shared" si="601"/>
        <v>0</v>
      </c>
      <c r="AA522" s="1091">
        <f t="shared" si="602"/>
        <v>0</v>
      </c>
      <c r="AB522" s="1091">
        <f t="shared" si="603"/>
        <v>0</v>
      </c>
      <c r="AD522" s="650">
        <f t="shared" si="550"/>
        <v>0</v>
      </c>
      <c r="AI522" s="1277">
        <f>VLOOKUP(K522,'[2]ผลการเบิกจ่ายสะสม พ.ย. 66'!$C:$N,12,0)</f>
        <v>0</v>
      </c>
      <c r="AJ522" s="1274">
        <f t="shared" si="558"/>
        <v>0</v>
      </c>
    </row>
    <row r="523" spans="1:36" ht="21" customHeight="1" outlineLevel="1" x14ac:dyDescent="0.35">
      <c r="A523" s="313"/>
      <c r="B523" s="293"/>
      <c r="C523" s="997" t="s">
        <v>1092</v>
      </c>
      <c r="D523" s="1168"/>
      <c r="E523" s="1171"/>
      <c r="F523" s="1171"/>
      <c r="G523" s="1171"/>
      <c r="H523" s="1171"/>
      <c r="I523" s="1172"/>
      <c r="J523" s="1172"/>
      <c r="K523" s="1047"/>
      <c r="L523" s="1047"/>
      <c r="M523" s="1171"/>
      <c r="N523" s="1171"/>
      <c r="O523" s="1171"/>
      <c r="P523" s="1171"/>
      <c r="Q523" s="1171"/>
      <c r="R523" s="1171"/>
      <c r="S523" s="1171"/>
      <c r="T523" s="1091">
        <f t="shared" si="597"/>
        <v>0</v>
      </c>
      <c r="U523" s="1091">
        <f t="shared" si="598"/>
        <v>0</v>
      </c>
      <c r="V523" s="1091">
        <f t="shared" si="559"/>
        <v>0</v>
      </c>
      <c r="W523" s="1091"/>
      <c r="X523" s="1091">
        <f t="shared" si="599"/>
        <v>0</v>
      </c>
      <c r="Y523" s="1091">
        <f t="shared" si="600"/>
        <v>0</v>
      </c>
      <c r="Z523" s="1091">
        <f t="shared" si="601"/>
        <v>0</v>
      </c>
      <c r="AA523" s="1091">
        <f t="shared" si="602"/>
        <v>0</v>
      </c>
      <c r="AB523" s="1091">
        <f t="shared" si="603"/>
        <v>0</v>
      </c>
      <c r="AD523" s="650">
        <f t="shared" si="550"/>
        <v>0</v>
      </c>
      <c r="AI523" s="1277">
        <f>VLOOKUP(K523,'[2]ผลการเบิกจ่ายสะสม พ.ย. 66'!$C:$N,12,0)</f>
        <v>0</v>
      </c>
      <c r="AJ523" s="1274">
        <f t="shared" si="558"/>
        <v>0</v>
      </c>
    </row>
    <row r="524" spans="1:36" ht="21" customHeight="1" outlineLevel="1" x14ac:dyDescent="0.35">
      <c r="A524" s="313"/>
      <c r="B524" s="293"/>
      <c r="C524" s="997" t="s">
        <v>1093</v>
      </c>
      <c r="D524" s="1168"/>
      <c r="E524" s="1171"/>
      <c r="F524" s="1171"/>
      <c r="G524" s="1171"/>
      <c r="H524" s="1171"/>
      <c r="I524" s="1172"/>
      <c r="J524" s="1172"/>
      <c r="K524" s="1047"/>
      <c r="L524" s="1047"/>
      <c r="M524" s="1171"/>
      <c r="N524" s="1171"/>
      <c r="O524" s="1171"/>
      <c r="P524" s="1171"/>
      <c r="Q524" s="1171"/>
      <c r="R524" s="1171"/>
      <c r="S524" s="1171"/>
      <c r="T524" s="1091">
        <f t="shared" si="597"/>
        <v>0</v>
      </c>
      <c r="U524" s="1091">
        <f t="shared" si="598"/>
        <v>0</v>
      </c>
      <c r="V524" s="1091">
        <f t="shared" si="559"/>
        <v>0</v>
      </c>
      <c r="W524" s="1091"/>
      <c r="X524" s="1091">
        <f t="shared" si="599"/>
        <v>0</v>
      </c>
      <c r="Y524" s="1091">
        <f t="shared" si="600"/>
        <v>0</v>
      </c>
      <c r="Z524" s="1091">
        <f t="shared" si="601"/>
        <v>0</v>
      </c>
      <c r="AA524" s="1091">
        <f t="shared" si="602"/>
        <v>0</v>
      </c>
      <c r="AB524" s="1091">
        <f t="shared" si="603"/>
        <v>0</v>
      </c>
      <c r="AD524" s="650">
        <f t="shared" si="550"/>
        <v>0</v>
      </c>
      <c r="AI524" s="1277">
        <f>VLOOKUP(K524,'[2]ผลการเบิกจ่ายสะสม พ.ย. 66'!$C:$N,12,0)</f>
        <v>0</v>
      </c>
      <c r="AJ524" s="1274">
        <f t="shared" si="558"/>
        <v>0</v>
      </c>
    </row>
    <row r="525" spans="1:36" ht="21" customHeight="1" outlineLevel="1" x14ac:dyDescent="0.35">
      <c r="A525" s="313"/>
      <c r="B525" s="293"/>
      <c r="C525" s="997" t="s">
        <v>1094</v>
      </c>
      <c r="D525" s="1168"/>
      <c r="E525" s="1171"/>
      <c r="F525" s="1171"/>
      <c r="G525" s="1171"/>
      <c r="H525" s="1171"/>
      <c r="I525" s="1172"/>
      <c r="J525" s="1172"/>
      <c r="K525" s="1047"/>
      <c r="L525" s="1047"/>
      <c r="M525" s="1171"/>
      <c r="N525" s="1171"/>
      <c r="O525" s="1171"/>
      <c r="P525" s="1171"/>
      <c r="Q525" s="1171"/>
      <c r="R525" s="1171"/>
      <c r="S525" s="1171"/>
      <c r="T525" s="1091">
        <f t="shared" si="597"/>
        <v>0</v>
      </c>
      <c r="U525" s="1091">
        <f t="shared" si="598"/>
        <v>0</v>
      </c>
      <c r="V525" s="1091">
        <f t="shared" si="559"/>
        <v>0</v>
      </c>
      <c r="W525" s="1091"/>
      <c r="X525" s="1091">
        <f t="shared" si="599"/>
        <v>0</v>
      </c>
      <c r="Y525" s="1091">
        <f t="shared" si="600"/>
        <v>0</v>
      </c>
      <c r="Z525" s="1091">
        <f t="shared" si="601"/>
        <v>0</v>
      </c>
      <c r="AA525" s="1091">
        <f t="shared" si="602"/>
        <v>0</v>
      </c>
      <c r="AB525" s="1091">
        <f t="shared" si="603"/>
        <v>0</v>
      </c>
      <c r="AD525" s="650">
        <f t="shared" si="550"/>
        <v>0</v>
      </c>
      <c r="AI525" s="1277">
        <f>VLOOKUP(K525,'[2]ผลการเบิกจ่ายสะสม พ.ย. 66'!$C:$N,12,0)</f>
        <v>0</v>
      </c>
      <c r="AJ525" s="1274">
        <f t="shared" si="558"/>
        <v>0</v>
      </c>
    </row>
    <row r="526" spans="1:36" ht="21" customHeight="1" outlineLevel="1" x14ac:dyDescent="0.35">
      <c r="A526" s="313"/>
      <c r="B526" s="293"/>
      <c r="C526" s="997" t="s">
        <v>1095</v>
      </c>
      <c r="D526" s="1168"/>
      <c r="E526" s="1171"/>
      <c r="F526" s="1171"/>
      <c r="G526" s="1171"/>
      <c r="H526" s="1171"/>
      <c r="I526" s="1172"/>
      <c r="J526" s="1172"/>
      <c r="K526" s="1047"/>
      <c r="L526" s="1047"/>
      <c r="M526" s="1171"/>
      <c r="N526" s="1171"/>
      <c r="O526" s="1171"/>
      <c r="P526" s="1171"/>
      <c r="Q526" s="1171"/>
      <c r="R526" s="1171"/>
      <c r="S526" s="1171"/>
      <c r="T526" s="1091">
        <f t="shared" si="597"/>
        <v>0</v>
      </c>
      <c r="U526" s="1091">
        <f t="shared" si="598"/>
        <v>0</v>
      </c>
      <c r="V526" s="1091">
        <f t="shared" si="559"/>
        <v>0</v>
      </c>
      <c r="W526" s="1091"/>
      <c r="X526" s="1091">
        <f t="shared" si="599"/>
        <v>0</v>
      </c>
      <c r="Y526" s="1091">
        <f t="shared" si="600"/>
        <v>0</v>
      </c>
      <c r="Z526" s="1091">
        <f t="shared" si="601"/>
        <v>0</v>
      </c>
      <c r="AA526" s="1091">
        <f t="shared" si="602"/>
        <v>0</v>
      </c>
      <c r="AB526" s="1091">
        <f t="shared" si="603"/>
        <v>0</v>
      </c>
      <c r="AD526" s="650">
        <f t="shared" ref="AD526:AD589" si="604">+N526+O526-R526-S526-U526</f>
        <v>0</v>
      </c>
      <c r="AI526" s="1277">
        <f>VLOOKUP(K526,'[2]ผลการเบิกจ่ายสะสม พ.ย. 66'!$C:$N,12,0)</f>
        <v>0</v>
      </c>
      <c r="AJ526" s="1274">
        <f t="shared" si="558"/>
        <v>0</v>
      </c>
    </row>
    <row r="527" spans="1:36" ht="21" customHeight="1" outlineLevel="1" x14ac:dyDescent="0.35">
      <c r="A527" s="313"/>
      <c r="B527" s="293"/>
      <c r="C527" s="997" t="s">
        <v>1096</v>
      </c>
      <c r="D527" s="1168"/>
      <c r="E527" s="1171"/>
      <c r="F527" s="1171"/>
      <c r="G527" s="1171"/>
      <c r="H527" s="1171"/>
      <c r="I527" s="1172"/>
      <c r="J527" s="1172"/>
      <c r="K527" s="1047"/>
      <c r="L527" s="1047"/>
      <c r="M527" s="1171"/>
      <c r="N527" s="1171"/>
      <c r="O527" s="1171"/>
      <c r="P527" s="1171"/>
      <c r="Q527" s="1171"/>
      <c r="R527" s="1171"/>
      <c r="S527" s="1171"/>
      <c r="T527" s="1091">
        <f t="shared" si="597"/>
        <v>0</v>
      </c>
      <c r="U527" s="1091">
        <f t="shared" si="598"/>
        <v>0</v>
      </c>
      <c r="V527" s="1091">
        <f t="shared" si="559"/>
        <v>0</v>
      </c>
      <c r="W527" s="1091"/>
      <c r="X527" s="1091">
        <f t="shared" si="599"/>
        <v>0</v>
      </c>
      <c r="Y527" s="1091">
        <f t="shared" si="600"/>
        <v>0</v>
      </c>
      <c r="Z527" s="1091">
        <f t="shared" si="601"/>
        <v>0</v>
      </c>
      <c r="AA527" s="1091">
        <f t="shared" si="602"/>
        <v>0</v>
      </c>
      <c r="AB527" s="1091">
        <f t="shared" si="603"/>
        <v>0</v>
      </c>
      <c r="AD527" s="650">
        <f t="shared" si="604"/>
        <v>0</v>
      </c>
      <c r="AI527" s="1277">
        <f>VLOOKUP(K527,'[2]ผลการเบิกจ่ายสะสม พ.ย. 66'!$C:$N,12,0)</f>
        <v>0</v>
      </c>
      <c r="AJ527" s="1274">
        <f t="shared" ref="AJ527:AJ590" si="605">+AI527-S527</f>
        <v>0</v>
      </c>
    </row>
    <row r="528" spans="1:36" ht="21" customHeight="1" outlineLevel="1" x14ac:dyDescent="0.35">
      <c r="A528" s="313"/>
      <c r="B528" s="293"/>
      <c r="C528" s="997" t="s">
        <v>1097</v>
      </c>
      <c r="D528" s="1168"/>
      <c r="E528" s="1171"/>
      <c r="F528" s="1171"/>
      <c r="G528" s="1171"/>
      <c r="H528" s="1171"/>
      <c r="I528" s="1172"/>
      <c r="J528" s="1172"/>
      <c r="K528" s="1047"/>
      <c r="L528" s="1047"/>
      <c r="M528" s="1171"/>
      <c r="N528" s="1171"/>
      <c r="O528" s="1171"/>
      <c r="P528" s="1171"/>
      <c r="Q528" s="1171"/>
      <c r="R528" s="1171"/>
      <c r="S528" s="1171"/>
      <c r="T528" s="1091">
        <f t="shared" si="597"/>
        <v>0</v>
      </c>
      <c r="U528" s="1091">
        <f t="shared" si="598"/>
        <v>0</v>
      </c>
      <c r="V528" s="1091">
        <f t="shared" si="559"/>
        <v>0</v>
      </c>
      <c r="W528" s="1091"/>
      <c r="X528" s="1091">
        <f t="shared" si="599"/>
        <v>0</v>
      </c>
      <c r="Y528" s="1091">
        <f t="shared" si="600"/>
        <v>0</v>
      </c>
      <c r="Z528" s="1091">
        <f t="shared" si="601"/>
        <v>0</v>
      </c>
      <c r="AA528" s="1091">
        <f t="shared" si="602"/>
        <v>0</v>
      </c>
      <c r="AB528" s="1091">
        <f t="shared" si="603"/>
        <v>0</v>
      </c>
      <c r="AD528" s="650">
        <f t="shared" si="604"/>
        <v>0</v>
      </c>
      <c r="AI528" s="1277">
        <f>VLOOKUP(K528,'[2]ผลการเบิกจ่ายสะสม พ.ย. 66'!$C:$N,12,0)</f>
        <v>0</v>
      </c>
      <c r="AJ528" s="1274">
        <f t="shared" si="605"/>
        <v>0</v>
      </c>
    </row>
    <row r="529" spans="1:36" ht="21" customHeight="1" outlineLevel="1" x14ac:dyDescent="0.35">
      <c r="A529" s="313"/>
      <c r="B529" s="293"/>
      <c r="C529" s="997" t="s">
        <v>1098</v>
      </c>
      <c r="D529" s="1168"/>
      <c r="E529" s="1171"/>
      <c r="F529" s="1171"/>
      <c r="G529" s="1171"/>
      <c r="H529" s="1171"/>
      <c r="I529" s="1172"/>
      <c r="J529" s="1172"/>
      <c r="K529" s="1047"/>
      <c r="L529" s="1047"/>
      <c r="M529" s="1171"/>
      <c r="N529" s="1171"/>
      <c r="O529" s="1171"/>
      <c r="P529" s="1171"/>
      <c r="Q529" s="1171"/>
      <c r="R529" s="1171"/>
      <c r="S529" s="1171"/>
      <c r="T529" s="1091">
        <f t="shared" si="597"/>
        <v>0</v>
      </c>
      <c r="U529" s="1091">
        <f t="shared" si="598"/>
        <v>0</v>
      </c>
      <c r="V529" s="1091">
        <f t="shared" si="559"/>
        <v>0</v>
      </c>
      <c r="W529" s="1091"/>
      <c r="X529" s="1091">
        <f t="shared" si="599"/>
        <v>0</v>
      </c>
      <c r="Y529" s="1091">
        <f t="shared" si="600"/>
        <v>0</v>
      </c>
      <c r="Z529" s="1091">
        <f t="shared" si="601"/>
        <v>0</v>
      </c>
      <c r="AA529" s="1091">
        <f t="shared" si="602"/>
        <v>0</v>
      </c>
      <c r="AB529" s="1091">
        <f t="shared" si="603"/>
        <v>0</v>
      </c>
      <c r="AD529" s="650">
        <f t="shared" si="604"/>
        <v>0</v>
      </c>
      <c r="AI529" s="1277">
        <f>VLOOKUP(K529,'[2]ผลการเบิกจ่ายสะสม พ.ย. 66'!$C:$N,12,0)</f>
        <v>0</v>
      </c>
      <c r="AJ529" s="1274">
        <f t="shared" si="605"/>
        <v>0</v>
      </c>
    </row>
    <row r="530" spans="1:36" ht="21" customHeight="1" outlineLevel="1" x14ac:dyDescent="0.35">
      <c r="A530" s="313"/>
      <c r="B530" s="293"/>
      <c r="C530" s="997" t="s">
        <v>1099</v>
      </c>
      <c r="D530" s="1168"/>
      <c r="E530" s="1171"/>
      <c r="F530" s="1171"/>
      <c r="G530" s="1171"/>
      <c r="H530" s="1171"/>
      <c r="I530" s="1172"/>
      <c r="J530" s="1172"/>
      <c r="K530" s="1047"/>
      <c r="L530" s="1047"/>
      <c r="M530" s="1171"/>
      <c r="N530" s="1171"/>
      <c r="O530" s="1171"/>
      <c r="P530" s="1171"/>
      <c r="Q530" s="1171"/>
      <c r="R530" s="1171"/>
      <c r="S530" s="1171"/>
      <c r="T530" s="1091">
        <f t="shared" si="597"/>
        <v>0</v>
      </c>
      <c r="U530" s="1091">
        <f t="shared" si="598"/>
        <v>0</v>
      </c>
      <c r="V530" s="1091">
        <f t="shared" ref="V530:V593" si="606">IFERROR(T530*100/(N530+O530),0)</f>
        <v>0</v>
      </c>
      <c r="W530" s="1091"/>
      <c r="X530" s="1091">
        <f t="shared" si="599"/>
        <v>0</v>
      </c>
      <c r="Y530" s="1091">
        <f t="shared" si="600"/>
        <v>0</v>
      </c>
      <c r="Z530" s="1091">
        <f t="shared" si="601"/>
        <v>0</v>
      </c>
      <c r="AA530" s="1091">
        <f t="shared" si="602"/>
        <v>0</v>
      </c>
      <c r="AB530" s="1091">
        <f t="shared" si="603"/>
        <v>0</v>
      </c>
      <c r="AD530" s="650">
        <f t="shared" si="604"/>
        <v>0</v>
      </c>
      <c r="AI530" s="1277">
        <f>VLOOKUP(K530,'[2]ผลการเบิกจ่ายสะสม พ.ย. 66'!$C:$N,12,0)</f>
        <v>0</v>
      </c>
      <c r="AJ530" s="1274">
        <f t="shared" si="605"/>
        <v>0</v>
      </c>
    </row>
    <row r="531" spans="1:36" ht="21" customHeight="1" outlineLevel="1" x14ac:dyDescent="0.35">
      <c r="A531" s="313"/>
      <c r="B531" s="293"/>
      <c r="C531" s="997" t="s">
        <v>1100</v>
      </c>
      <c r="D531" s="1168"/>
      <c r="E531" s="1171"/>
      <c r="F531" s="1171"/>
      <c r="G531" s="1171"/>
      <c r="H531" s="1171"/>
      <c r="I531" s="1172"/>
      <c r="J531" s="1172"/>
      <c r="K531" s="1047"/>
      <c r="L531" s="1047"/>
      <c r="M531" s="1171"/>
      <c r="N531" s="1171"/>
      <c r="O531" s="1171"/>
      <c r="P531" s="1171"/>
      <c r="Q531" s="1171"/>
      <c r="R531" s="1171"/>
      <c r="S531" s="1171"/>
      <c r="T531" s="1091">
        <f t="shared" si="597"/>
        <v>0</v>
      </c>
      <c r="U531" s="1091">
        <f t="shared" si="598"/>
        <v>0</v>
      </c>
      <c r="V531" s="1091">
        <f t="shared" si="606"/>
        <v>0</v>
      </c>
      <c r="W531" s="1091"/>
      <c r="X531" s="1091">
        <f t="shared" si="599"/>
        <v>0</v>
      </c>
      <c r="Y531" s="1091">
        <f t="shared" si="600"/>
        <v>0</v>
      </c>
      <c r="Z531" s="1091">
        <f t="shared" si="601"/>
        <v>0</v>
      </c>
      <c r="AA531" s="1091">
        <f t="shared" si="602"/>
        <v>0</v>
      </c>
      <c r="AB531" s="1091">
        <f t="shared" si="603"/>
        <v>0</v>
      </c>
      <c r="AD531" s="650">
        <f t="shared" si="604"/>
        <v>0</v>
      </c>
      <c r="AI531" s="1277">
        <f>VLOOKUP(K531,'[2]ผลการเบิกจ่ายสะสม พ.ย. 66'!$C:$N,12,0)</f>
        <v>0</v>
      </c>
      <c r="AJ531" s="1274">
        <f t="shared" si="605"/>
        <v>0</v>
      </c>
    </row>
    <row r="532" spans="1:36" ht="21" customHeight="1" outlineLevel="1" x14ac:dyDescent="0.35">
      <c r="A532" s="313"/>
      <c r="B532" s="293"/>
      <c r="C532" s="997" t="s">
        <v>1101</v>
      </c>
      <c r="D532" s="1168"/>
      <c r="E532" s="1171"/>
      <c r="F532" s="1171"/>
      <c r="G532" s="1171"/>
      <c r="H532" s="1171"/>
      <c r="I532" s="1172"/>
      <c r="J532" s="1172"/>
      <c r="K532" s="1047"/>
      <c r="L532" s="1047"/>
      <c r="M532" s="1171"/>
      <c r="N532" s="1171"/>
      <c r="O532" s="1171"/>
      <c r="P532" s="1171"/>
      <c r="Q532" s="1171"/>
      <c r="R532" s="1171"/>
      <c r="S532" s="1171"/>
      <c r="T532" s="1091">
        <f t="shared" si="597"/>
        <v>0</v>
      </c>
      <c r="U532" s="1091">
        <f t="shared" si="598"/>
        <v>0</v>
      </c>
      <c r="V532" s="1091">
        <f t="shared" si="606"/>
        <v>0</v>
      </c>
      <c r="W532" s="1091"/>
      <c r="X532" s="1091">
        <f t="shared" si="599"/>
        <v>0</v>
      </c>
      <c r="Y532" s="1091">
        <f t="shared" si="600"/>
        <v>0</v>
      </c>
      <c r="Z532" s="1091">
        <f t="shared" si="601"/>
        <v>0</v>
      </c>
      <c r="AA532" s="1091">
        <f t="shared" si="602"/>
        <v>0</v>
      </c>
      <c r="AB532" s="1091">
        <f t="shared" si="603"/>
        <v>0</v>
      </c>
      <c r="AD532" s="650">
        <f t="shared" si="604"/>
        <v>0</v>
      </c>
      <c r="AI532" s="1277">
        <f>VLOOKUP(K532,'[2]ผลการเบิกจ่ายสะสม พ.ย. 66'!$C:$N,12,0)</f>
        <v>0</v>
      </c>
      <c r="AJ532" s="1274">
        <f t="shared" si="605"/>
        <v>0</v>
      </c>
    </row>
    <row r="533" spans="1:36" ht="21" customHeight="1" outlineLevel="1" x14ac:dyDescent="0.35">
      <c r="A533" s="313"/>
      <c r="B533" s="293"/>
      <c r="C533" s="293" t="s">
        <v>1102</v>
      </c>
      <c r="D533" s="1173"/>
      <c r="E533" s="1171"/>
      <c r="F533" s="1171"/>
      <c r="G533" s="1171"/>
      <c r="H533" s="1171"/>
      <c r="I533" s="1172"/>
      <c r="J533" s="1172"/>
      <c r="K533" s="1047"/>
      <c r="L533" s="1047"/>
      <c r="M533" s="1171"/>
      <c r="N533" s="1171"/>
      <c r="O533" s="1171"/>
      <c r="P533" s="1171"/>
      <c r="Q533" s="1171"/>
      <c r="R533" s="1171"/>
      <c r="S533" s="1171"/>
      <c r="T533" s="1091">
        <f t="shared" si="597"/>
        <v>0</v>
      </c>
      <c r="U533" s="1091">
        <f t="shared" si="598"/>
        <v>0</v>
      </c>
      <c r="V533" s="1091">
        <f t="shared" si="606"/>
        <v>0</v>
      </c>
      <c r="W533" s="1091"/>
      <c r="X533" s="1091">
        <f t="shared" si="599"/>
        <v>0</v>
      </c>
      <c r="Y533" s="1091">
        <f t="shared" si="600"/>
        <v>0</v>
      </c>
      <c r="Z533" s="1091">
        <f t="shared" si="601"/>
        <v>0</v>
      </c>
      <c r="AA533" s="1091">
        <f t="shared" si="602"/>
        <v>0</v>
      </c>
      <c r="AB533" s="1091">
        <f t="shared" si="603"/>
        <v>0</v>
      </c>
      <c r="AD533" s="650">
        <f t="shared" si="604"/>
        <v>0</v>
      </c>
      <c r="AI533" s="1277">
        <f>VLOOKUP(K533,'[2]ผลการเบิกจ่ายสะสม พ.ย. 66'!$C:$N,12,0)</f>
        <v>0</v>
      </c>
      <c r="AJ533" s="1274">
        <f t="shared" si="605"/>
        <v>0</v>
      </c>
    </row>
    <row r="534" spans="1:36" ht="21" customHeight="1" outlineLevel="1" x14ac:dyDescent="0.35">
      <c r="A534" s="313"/>
      <c r="B534" s="293"/>
      <c r="C534" s="293" t="s">
        <v>1103</v>
      </c>
      <c r="D534" s="1173"/>
      <c r="E534" s="1171"/>
      <c r="F534" s="1171"/>
      <c r="G534" s="1171"/>
      <c r="H534" s="1171"/>
      <c r="I534" s="1172"/>
      <c r="J534" s="1172"/>
      <c r="K534" s="1047"/>
      <c r="L534" s="1047"/>
      <c r="M534" s="1171"/>
      <c r="N534" s="1171"/>
      <c r="O534" s="1171"/>
      <c r="P534" s="1171"/>
      <c r="Q534" s="1171"/>
      <c r="R534" s="1171"/>
      <c r="S534" s="1171"/>
      <c r="T534" s="1091">
        <f t="shared" si="597"/>
        <v>0</v>
      </c>
      <c r="U534" s="1091">
        <f t="shared" si="598"/>
        <v>0</v>
      </c>
      <c r="V534" s="1091">
        <f t="shared" si="606"/>
        <v>0</v>
      </c>
      <c r="W534" s="1091"/>
      <c r="X534" s="1091">
        <f t="shared" si="599"/>
        <v>0</v>
      </c>
      <c r="Y534" s="1091">
        <f t="shared" si="600"/>
        <v>0</v>
      </c>
      <c r="Z534" s="1091">
        <f t="shared" si="601"/>
        <v>0</v>
      </c>
      <c r="AA534" s="1091">
        <f t="shared" si="602"/>
        <v>0</v>
      </c>
      <c r="AB534" s="1091">
        <f t="shared" si="603"/>
        <v>0</v>
      </c>
      <c r="AD534" s="650">
        <f t="shared" si="604"/>
        <v>0</v>
      </c>
      <c r="AI534" s="1277">
        <f>VLOOKUP(K534,'[2]ผลการเบิกจ่ายสะสม พ.ย. 66'!$C:$N,12,0)</f>
        <v>0</v>
      </c>
      <c r="AJ534" s="1274">
        <f t="shared" si="605"/>
        <v>0</v>
      </c>
    </row>
    <row r="535" spans="1:36" ht="21" customHeight="1" outlineLevel="1" x14ac:dyDescent="0.35">
      <c r="A535" s="313"/>
      <c r="B535" s="293"/>
      <c r="C535" s="293" t="s">
        <v>1104</v>
      </c>
      <c r="D535" s="1173"/>
      <c r="E535" s="1171"/>
      <c r="F535" s="1171"/>
      <c r="G535" s="1171"/>
      <c r="H535" s="1171"/>
      <c r="I535" s="1172"/>
      <c r="J535" s="1172"/>
      <c r="K535" s="1047"/>
      <c r="L535" s="1047"/>
      <c r="M535" s="1171"/>
      <c r="N535" s="1171"/>
      <c r="O535" s="1171"/>
      <c r="P535" s="1171"/>
      <c r="Q535" s="1171"/>
      <c r="R535" s="1171"/>
      <c r="S535" s="1171"/>
      <c r="T535" s="1091">
        <f t="shared" si="597"/>
        <v>0</v>
      </c>
      <c r="U535" s="1091">
        <f t="shared" si="598"/>
        <v>0</v>
      </c>
      <c r="V535" s="1091">
        <f t="shared" si="606"/>
        <v>0</v>
      </c>
      <c r="W535" s="1091"/>
      <c r="X535" s="1091">
        <f t="shared" si="599"/>
        <v>0</v>
      </c>
      <c r="Y535" s="1091">
        <f t="shared" si="600"/>
        <v>0</v>
      </c>
      <c r="Z535" s="1091">
        <f t="shared" si="601"/>
        <v>0</v>
      </c>
      <c r="AA535" s="1091">
        <f t="shared" si="602"/>
        <v>0</v>
      </c>
      <c r="AB535" s="1091">
        <f t="shared" si="603"/>
        <v>0</v>
      </c>
      <c r="AD535" s="650">
        <f t="shared" si="604"/>
        <v>0</v>
      </c>
      <c r="AI535" s="1277">
        <f>VLOOKUP(K535,'[2]ผลการเบิกจ่ายสะสม พ.ย. 66'!$C:$N,12,0)</f>
        <v>0</v>
      </c>
      <c r="AJ535" s="1274">
        <f t="shared" si="605"/>
        <v>0</v>
      </c>
    </row>
    <row r="536" spans="1:36" ht="21" customHeight="1" outlineLevel="1" x14ac:dyDescent="0.35">
      <c r="A536" s="313"/>
      <c r="B536" s="72" t="s">
        <v>552</v>
      </c>
      <c r="C536" s="274"/>
      <c r="D536" s="1168"/>
      <c r="E536" s="1169" t="e">
        <f>+E537+E615</f>
        <v>#REF!</v>
      </c>
      <c r="F536" s="1169"/>
      <c r="G536" s="1169"/>
      <c r="H536" s="1169"/>
      <c r="I536" s="1170">
        <v>20500700</v>
      </c>
      <c r="J536" s="1170">
        <v>9506400</v>
      </c>
      <c r="K536" s="1046"/>
      <c r="L536" s="1046"/>
      <c r="M536" s="1169">
        <f t="shared" ref="M536:U536" si="607">+M537+M615</f>
        <v>0</v>
      </c>
      <c r="N536" s="1169">
        <f>+N537+N615</f>
        <v>0</v>
      </c>
      <c r="O536" s="1169">
        <f t="shared" si="607"/>
        <v>0</v>
      </c>
      <c r="P536" s="1169">
        <f t="shared" si="607"/>
        <v>0</v>
      </c>
      <c r="Q536" s="1169">
        <f t="shared" si="607"/>
        <v>0</v>
      </c>
      <c r="R536" s="1169">
        <f t="shared" si="607"/>
        <v>0</v>
      </c>
      <c r="S536" s="1169">
        <f t="shared" si="607"/>
        <v>0</v>
      </c>
      <c r="T536" s="1169">
        <f t="shared" si="607"/>
        <v>0</v>
      </c>
      <c r="U536" s="1169">
        <f t="shared" si="607"/>
        <v>0</v>
      </c>
      <c r="V536" s="1169">
        <f t="shared" si="606"/>
        <v>0</v>
      </c>
      <c r="W536" s="1169">
        <f t="shared" ref="W536:AB536" si="608">+W537+W615</f>
        <v>0</v>
      </c>
      <c r="X536" s="1169">
        <f t="shared" si="608"/>
        <v>0</v>
      </c>
      <c r="Y536" s="1169">
        <f t="shared" si="608"/>
        <v>0</v>
      </c>
      <c r="Z536" s="1169">
        <f t="shared" si="608"/>
        <v>0</v>
      </c>
      <c r="AA536" s="1169">
        <f t="shared" si="608"/>
        <v>0</v>
      </c>
      <c r="AB536" s="1169">
        <f t="shared" si="608"/>
        <v>0</v>
      </c>
      <c r="AD536" s="650">
        <f t="shared" si="604"/>
        <v>0</v>
      </c>
      <c r="AI536" s="1277">
        <f>VLOOKUP(K536,'[2]ผลการเบิกจ่ายสะสม พ.ย. 66'!$C:$N,12,0)</f>
        <v>0</v>
      </c>
      <c r="AJ536" s="1274">
        <f t="shared" si="605"/>
        <v>0</v>
      </c>
    </row>
    <row r="537" spans="1:36" ht="21" customHeight="1" outlineLevel="1" x14ac:dyDescent="0.35">
      <c r="A537" s="313"/>
      <c r="B537" s="293" t="s">
        <v>1107</v>
      </c>
      <c r="C537" s="274"/>
      <c r="D537" s="1168"/>
      <c r="E537" s="1171" t="e">
        <f>SUM(#REF!)</f>
        <v>#REF!</v>
      </c>
      <c r="F537" s="1171"/>
      <c r="G537" s="1171"/>
      <c r="H537" s="1171"/>
      <c r="I537" s="1172">
        <v>0</v>
      </c>
      <c r="J537" s="1172"/>
      <c r="K537" s="1033" t="s">
        <v>1382</v>
      </c>
      <c r="L537" s="1066" t="s">
        <v>1429</v>
      </c>
      <c r="M537" s="1171">
        <f t="shared" ref="M537:O537" si="609">SUM(M538:M614)</f>
        <v>0</v>
      </c>
      <c r="N537" s="1171">
        <f>SUM(N538:N614)</f>
        <v>0</v>
      </c>
      <c r="O537" s="1171">
        <f t="shared" si="609"/>
        <v>0</v>
      </c>
      <c r="P537" s="1171">
        <f t="shared" ref="P537:U537" si="610">SUM(P538:P614)</f>
        <v>0</v>
      </c>
      <c r="Q537" s="1171">
        <f t="shared" si="610"/>
        <v>0</v>
      </c>
      <c r="R537" s="1171">
        <f t="shared" si="610"/>
        <v>0</v>
      </c>
      <c r="S537" s="1171">
        <f t="shared" si="610"/>
        <v>0</v>
      </c>
      <c r="T537" s="1171">
        <f t="shared" si="610"/>
        <v>0</v>
      </c>
      <c r="U537" s="1171">
        <f t="shared" si="610"/>
        <v>0</v>
      </c>
      <c r="V537" s="1171">
        <f t="shared" si="606"/>
        <v>0</v>
      </c>
      <c r="W537" s="1171">
        <f t="shared" ref="W537:AB537" si="611">SUM(W538:W614)</f>
        <v>0</v>
      </c>
      <c r="X537" s="1171">
        <f t="shared" si="611"/>
        <v>0</v>
      </c>
      <c r="Y537" s="1171">
        <f t="shared" si="611"/>
        <v>0</v>
      </c>
      <c r="Z537" s="1171">
        <f t="shared" si="611"/>
        <v>0</v>
      </c>
      <c r="AA537" s="1171">
        <f t="shared" si="611"/>
        <v>0</v>
      </c>
      <c r="AB537" s="1171">
        <f t="shared" si="611"/>
        <v>0</v>
      </c>
      <c r="AD537" s="650">
        <f t="shared" si="604"/>
        <v>0</v>
      </c>
      <c r="AI537" s="1277" t="e">
        <f>VLOOKUP(K537,'[2]ผลการเบิกจ่ายสะสม พ.ย. 66'!$C:$N,12,0)</f>
        <v>#N/A</v>
      </c>
      <c r="AJ537" s="1274" t="e">
        <f t="shared" si="605"/>
        <v>#N/A</v>
      </c>
    </row>
    <row r="538" spans="1:36" ht="21" customHeight="1" outlineLevel="1" x14ac:dyDescent="0.35">
      <c r="A538" s="313"/>
      <c r="B538" s="293"/>
      <c r="C538" s="293" t="s">
        <v>1108</v>
      </c>
      <c r="D538" s="1168"/>
      <c r="E538" s="1171"/>
      <c r="F538" s="1171"/>
      <c r="G538" s="1171"/>
      <c r="H538" s="1171"/>
      <c r="I538" s="1172"/>
      <c r="J538" s="1172"/>
      <c r="K538" s="1047"/>
      <c r="L538" s="1047"/>
      <c r="M538" s="1171"/>
      <c r="N538" s="1171"/>
      <c r="O538" s="1171"/>
      <c r="P538" s="1171"/>
      <c r="Q538" s="1171"/>
      <c r="R538" s="1171"/>
      <c r="S538" s="1171"/>
      <c r="T538" s="1091">
        <f t="shared" ref="T538:T601" si="612">+R538+S538</f>
        <v>0</v>
      </c>
      <c r="U538" s="1091">
        <f t="shared" ref="U538:U601" si="613">+N538+O538-T538</f>
        <v>0</v>
      </c>
      <c r="V538" s="1091">
        <f t="shared" si="606"/>
        <v>0</v>
      </c>
      <c r="W538" s="1091"/>
      <c r="X538" s="1091">
        <f t="shared" ref="X538:X601" si="614">+T538+Q538</f>
        <v>0</v>
      </c>
      <c r="Y538" s="1091">
        <f t="shared" ref="Y538:Y601" si="615">+U538-Q538</f>
        <v>0</v>
      </c>
      <c r="Z538" s="1091">
        <f t="shared" ref="Z538:Z601" si="616">+T538+Q538+P538</f>
        <v>0</v>
      </c>
      <c r="AA538" s="1091">
        <f t="shared" ref="AA538:AA601" si="617">+U538-Q538-P538</f>
        <v>0</v>
      </c>
      <c r="AB538" s="1091">
        <f t="shared" ref="AB538:AB601" si="618">IFERROR(Z538*100/(N538+O538),0)</f>
        <v>0</v>
      </c>
      <c r="AD538" s="650">
        <f t="shared" si="604"/>
        <v>0</v>
      </c>
      <c r="AI538" s="1277">
        <f>VLOOKUP(K538,'[2]ผลการเบิกจ่ายสะสม พ.ย. 66'!$C:$N,12,0)</f>
        <v>0</v>
      </c>
      <c r="AJ538" s="1274">
        <f t="shared" si="605"/>
        <v>0</v>
      </c>
    </row>
    <row r="539" spans="1:36" ht="21" customHeight="1" outlineLevel="1" x14ac:dyDescent="0.35">
      <c r="A539" s="313"/>
      <c r="B539" s="293"/>
      <c r="C539" s="293" t="s">
        <v>1109</v>
      </c>
      <c r="D539" s="1168"/>
      <c r="E539" s="1171"/>
      <c r="F539" s="1171"/>
      <c r="G539" s="1171"/>
      <c r="H539" s="1171"/>
      <c r="I539" s="1172"/>
      <c r="J539" s="1172"/>
      <c r="K539" s="1047"/>
      <c r="L539" s="1047"/>
      <c r="M539" s="1171"/>
      <c r="N539" s="1171"/>
      <c r="O539" s="1171"/>
      <c r="P539" s="1171"/>
      <c r="Q539" s="1171"/>
      <c r="R539" s="1171"/>
      <c r="S539" s="1171"/>
      <c r="T539" s="1091">
        <f t="shared" si="612"/>
        <v>0</v>
      </c>
      <c r="U539" s="1091">
        <f t="shared" si="613"/>
        <v>0</v>
      </c>
      <c r="V539" s="1091">
        <f t="shared" si="606"/>
        <v>0</v>
      </c>
      <c r="W539" s="1091"/>
      <c r="X539" s="1091">
        <f t="shared" si="614"/>
        <v>0</v>
      </c>
      <c r="Y539" s="1091">
        <f t="shared" si="615"/>
        <v>0</v>
      </c>
      <c r="Z539" s="1091">
        <f t="shared" si="616"/>
        <v>0</v>
      </c>
      <c r="AA539" s="1091">
        <f t="shared" si="617"/>
        <v>0</v>
      </c>
      <c r="AB539" s="1091">
        <f t="shared" si="618"/>
        <v>0</v>
      </c>
      <c r="AD539" s="650">
        <f t="shared" si="604"/>
        <v>0</v>
      </c>
      <c r="AI539" s="1277">
        <f>VLOOKUP(K539,'[2]ผลการเบิกจ่ายสะสม พ.ย. 66'!$C:$N,12,0)</f>
        <v>0</v>
      </c>
      <c r="AJ539" s="1274">
        <f t="shared" si="605"/>
        <v>0</v>
      </c>
    </row>
    <row r="540" spans="1:36" ht="21" customHeight="1" outlineLevel="1" x14ac:dyDescent="0.35">
      <c r="A540" s="313"/>
      <c r="B540" s="293"/>
      <c r="C540" s="293" t="s">
        <v>1110</v>
      </c>
      <c r="D540" s="1168"/>
      <c r="E540" s="1171"/>
      <c r="F540" s="1171"/>
      <c r="G540" s="1171"/>
      <c r="H540" s="1171"/>
      <c r="I540" s="1172"/>
      <c r="J540" s="1172"/>
      <c r="K540" s="1047"/>
      <c r="L540" s="1047"/>
      <c r="M540" s="1171"/>
      <c r="N540" s="1171"/>
      <c r="O540" s="1171"/>
      <c r="P540" s="1171"/>
      <c r="Q540" s="1171"/>
      <c r="R540" s="1171"/>
      <c r="S540" s="1171"/>
      <c r="T540" s="1091">
        <f t="shared" si="612"/>
        <v>0</v>
      </c>
      <c r="U540" s="1091">
        <f t="shared" si="613"/>
        <v>0</v>
      </c>
      <c r="V540" s="1091">
        <f t="shared" si="606"/>
        <v>0</v>
      </c>
      <c r="W540" s="1091"/>
      <c r="X540" s="1091">
        <f t="shared" si="614"/>
        <v>0</v>
      </c>
      <c r="Y540" s="1091">
        <f t="shared" si="615"/>
        <v>0</v>
      </c>
      <c r="Z540" s="1091">
        <f t="shared" si="616"/>
        <v>0</v>
      </c>
      <c r="AA540" s="1091">
        <f t="shared" si="617"/>
        <v>0</v>
      </c>
      <c r="AB540" s="1091">
        <f t="shared" si="618"/>
        <v>0</v>
      </c>
      <c r="AD540" s="650">
        <f t="shared" si="604"/>
        <v>0</v>
      </c>
      <c r="AI540" s="1277">
        <f>VLOOKUP(K540,'[2]ผลการเบิกจ่ายสะสม พ.ย. 66'!$C:$N,12,0)</f>
        <v>0</v>
      </c>
      <c r="AJ540" s="1274">
        <f t="shared" si="605"/>
        <v>0</v>
      </c>
    </row>
    <row r="541" spans="1:36" ht="21" customHeight="1" outlineLevel="1" x14ac:dyDescent="0.35">
      <c r="A541" s="313"/>
      <c r="B541" s="293"/>
      <c r="C541" s="293" t="s">
        <v>1111</v>
      </c>
      <c r="D541" s="1168"/>
      <c r="E541" s="1171"/>
      <c r="F541" s="1171"/>
      <c r="G541" s="1171"/>
      <c r="H541" s="1171"/>
      <c r="I541" s="1172"/>
      <c r="J541" s="1172"/>
      <c r="K541" s="1047"/>
      <c r="L541" s="1047"/>
      <c r="M541" s="1171"/>
      <c r="N541" s="1171"/>
      <c r="O541" s="1171"/>
      <c r="P541" s="1171"/>
      <c r="Q541" s="1171"/>
      <c r="R541" s="1171"/>
      <c r="S541" s="1171"/>
      <c r="T541" s="1091">
        <f t="shared" si="612"/>
        <v>0</v>
      </c>
      <c r="U541" s="1091">
        <f t="shared" si="613"/>
        <v>0</v>
      </c>
      <c r="V541" s="1091">
        <f t="shared" si="606"/>
        <v>0</v>
      </c>
      <c r="W541" s="1091"/>
      <c r="X541" s="1091">
        <f t="shared" si="614"/>
        <v>0</v>
      </c>
      <c r="Y541" s="1091">
        <f t="shared" si="615"/>
        <v>0</v>
      </c>
      <c r="Z541" s="1091">
        <f t="shared" si="616"/>
        <v>0</v>
      </c>
      <c r="AA541" s="1091">
        <f t="shared" si="617"/>
        <v>0</v>
      </c>
      <c r="AB541" s="1091">
        <f t="shared" si="618"/>
        <v>0</v>
      </c>
      <c r="AD541" s="650">
        <f t="shared" si="604"/>
        <v>0</v>
      </c>
      <c r="AI541" s="1277">
        <f>VLOOKUP(K541,'[2]ผลการเบิกจ่ายสะสม พ.ย. 66'!$C:$N,12,0)</f>
        <v>0</v>
      </c>
      <c r="AJ541" s="1274">
        <f t="shared" si="605"/>
        <v>0</v>
      </c>
    </row>
    <row r="542" spans="1:36" ht="21" customHeight="1" outlineLevel="1" x14ac:dyDescent="0.35">
      <c r="A542" s="313"/>
      <c r="B542" s="293"/>
      <c r="C542" s="293" t="s">
        <v>1112</v>
      </c>
      <c r="D542" s="1168"/>
      <c r="E542" s="1171"/>
      <c r="F542" s="1171"/>
      <c r="G542" s="1171"/>
      <c r="H542" s="1171"/>
      <c r="I542" s="1172"/>
      <c r="J542" s="1172"/>
      <c r="K542" s="1047"/>
      <c r="L542" s="1047"/>
      <c r="M542" s="1171"/>
      <c r="N542" s="1171"/>
      <c r="O542" s="1171"/>
      <c r="P542" s="1171"/>
      <c r="Q542" s="1171"/>
      <c r="R542" s="1171"/>
      <c r="S542" s="1171"/>
      <c r="T542" s="1091">
        <f t="shared" si="612"/>
        <v>0</v>
      </c>
      <c r="U542" s="1091">
        <f t="shared" si="613"/>
        <v>0</v>
      </c>
      <c r="V542" s="1091">
        <f t="shared" si="606"/>
        <v>0</v>
      </c>
      <c r="W542" s="1091"/>
      <c r="X542" s="1091">
        <f t="shared" si="614"/>
        <v>0</v>
      </c>
      <c r="Y542" s="1091">
        <f t="shared" si="615"/>
        <v>0</v>
      </c>
      <c r="Z542" s="1091">
        <f t="shared" si="616"/>
        <v>0</v>
      </c>
      <c r="AA542" s="1091">
        <f t="shared" si="617"/>
        <v>0</v>
      </c>
      <c r="AB542" s="1091">
        <f t="shared" si="618"/>
        <v>0</v>
      </c>
      <c r="AD542" s="650">
        <f t="shared" si="604"/>
        <v>0</v>
      </c>
      <c r="AI542" s="1277">
        <f>VLOOKUP(K542,'[2]ผลการเบิกจ่ายสะสม พ.ย. 66'!$C:$N,12,0)</f>
        <v>0</v>
      </c>
      <c r="AJ542" s="1274">
        <f t="shared" si="605"/>
        <v>0</v>
      </c>
    </row>
    <row r="543" spans="1:36" ht="21" customHeight="1" outlineLevel="1" x14ac:dyDescent="0.35">
      <c r="A543" s="313"/>
      <c r="B543" s="293"/>
      <c r="C543" s="293" t="s">
        <v>1113</v>
      </c>
      <c r="D543" s="1168"/>
      <c r="E543" s="1171"/>
      <c r="F543" s="1171"/>
      <c r="G543" s="1171"/>
      <c r="H543" s="1171"/>
      <c r="I543" s="1172"/>
      <c r="J543" s="1172"/>
      <c r="K543" s="1047"/>
      <c r="L543" s="1047"/>
      <c r="M543" s="1171"/>
      <c r="N543" s="1171"/>
      <c r="O543" s="1171"/>
      <c r="P543" s="1171"/>
      <c r="Q543" s="1171"/>
      <c r="R543" s="1171"/>
      <c r="S543" s="1171"/>
      <c r="T543" s="1091">
        <f t="shared" si="612"/>
        <v>0</v>
      </c>
      <c r="U543" s="1091">
        <f t="shared" si="613"/>
        <v>0</v>
      </c>
      <c r="V543" s="1091">
        <f t="shared" si="606"/>
        <v>0</v>
      </c>
      <c r="W543" s="1091"/>
      <c r="X543" s="1091">
        <f t="shared" si="614"/>
        <v>0</v>
      </c>
      <c r="Y543" s="1091">
        <f t="shared" si="615"/>
        <v>0</v>
      </c>
      <c r="Z543" s="1091">
        <f t="shared" si="616"/>
        <v>0</v>
      </c>
      <c r="AA543" s="1091">
        <f t="shared" si="617"/>
        <v>0</v>
      </c>
      <c r="AB543" s="1091">
        <f t="shared" si="618"/>
        <v>0</v>
      </c>
      <c r="AD543" s="650">
        <f t="shared" si="604"/>
        <v>0</v>
      </c>
      <c r="AI543" s="1277">
        <f>VLOOKUP(K543,'[2]ผลการเบิกจ่ายสะสม พ.ย. 66'!$C:$N,12,0)</f>
        <v>0</v>
      </c>
      <c r="AJ543" s="1274">
        <f t="shared" si="605"/>
        <v>0</v>
      </c>
    </row>
    <row r="544" spans="1:36" ht="21" customHeight="1" outlineLevel="1" x14ac:dyDescent="0.35">
      <c r="A544" s="313"/>
      <c r="B544" s="293"/>
      <c r="C544" s="293" t="s">
        <v>1114</v>
      </c>
      <c r="D544" s="1168"/>
      <c r="E544" s="1171"/>
      <c r="F544" s="1171"/>
      <c r="G544" s="1171"/>
      <c r="H544" s="1171"/>
      <c r="I544" s="1172"/>
      <c r="J544" s="1172"/>
      <c r="K544" s="1047"/>
      <c r="L544" s="1047"/>
      <c r="M544" s="1171"/>
      <c r="N544" s="1171"/>
      <c r="O544" s="1171"/>
      <c r="P544" s="1171"/>
      <c r="Q544" s="1171"/>
      <c r="R544" s="1171"/>
      <c r="S544" s="1171"/>
      <c r="T544" s="1091">
        <f t="shared" si="612"/>
        <v>0</v>
      </c>
      <c r="U544" s="1091">
        <f t="shared" si="613"/>
        <v>0</v>
      </c>
      <c r="V544" s="1091">
        <f t="shared" si="606"/>
        <v>0</v>
      </c>
      <c r="W544" s="1091"/>
      <c r="X544" s="1091">
        <f t="shared" si="614"/>
        <v>0</v>
      </c>
      <c r="Y544" s="1091">
        <f t="shared" si="615"/>
        <v>0</v>
      </c>
      <c r="Z544" s="1091">
        <f t="shared" si="616"/>
        <v>0</v>
      </c>
      <c r="AA544" s="1091">
        <f t="shared" si="617"/>
        <v>0</v>
      </c>
      <c r="AB544" s="1091">
        <f t="shared" si="618"/>
        <v>0</v>
      </c>
      <c r="AD544" s="650">
        <f t="shared" si="604"/>
        <v>0</v>
      </c>
      <c r="AI544" s="1277">
        <f>VLOOKUP(K544,'[2]ผลการเบิกจ่ายสะสม พ.ย. 66'!$C:$N,12,0)</f>
        <v>0</v>
      </c>
      <c r="AJ544" s="1274">
        <f t="shared" si="605"/>
        <v>0</v>
      </c>
    </row>
    <row r="545" spans="1:36" ht="21" customHeight="1" outlineLevel="1" x14ac:dyDescent="0.35">
      <c r="A545" s="313"/>
      <c r="B545" s="293"/>
      <c r="C545" s="293" t="s">
        <v>1115</v>
      </c>
      <c r="D545" s="1168"/>
      <c r="E545" s="1171"/>
      <c r="F545" s="1171"/>
      <c r="G545" s="1171"/>
      <c r="H545" s="1171"/>
      <c r="I545" s="1172"/>
      <c r="J545" s="1172"/>
      <c r="K545" s="1047"/>
      <c r="L545" s="1047"/>
      <c r="M545" s="1171"/>
      <c r="N545" s="1171"/>
      <c r="O545" s="1171"/>
      <c r="P545" s="1171"/>
      <c r="Q545" s="1171"/>
      <c r="R545" s="1171"/>
      <c r="S545" s="1171"/>
      <c r="T545" s="1091">
        <f t="shared" si="612"/>
        <v>0</v>
      </c>
      <c r="U545" s="1091">
        <f t="shared" si="613"/>
        <v>0</v>
      </c>
      <c r="V545" s="1091">
        <f t="shared" si="606"/>
        <v>0</v>
      </c>
      <c r="W545" s="1091"/>
      <c r="X545" s="1091">
        <f t="shared" si="614"/>
        <v>0</v>
      </c>
      <c r="Y545" s="1091">
        <f t="shared" si="615"/>
        <v>0</v>
      </c>
      <c r="Z545" s="1091">
        <f t="shared" si="616"/>
        <v>0</v>
      </c>
      <c r="AA545" s="1091">
        <f t="shared" si="617"/>
        <v>0</v>
      </c>
      <c r="AB545" s="1091">
        <f t="shared" si="618"/>
        <v>0</v>
      </c>
      <c r="AD545" s="650">
        <f t="shared" si="604"/>
        <v>0</v>
      </c>
      <c r="AI545" s="1277">
        <f>VLOOKUP(K545,'[2]ผลการเบิกจ่ายสะสม พ.ย. 66'!$C:$N,12,0)</f>
        <v>0</v>
      </c>
      <c r="AJ545" s="1274">
        <f t="shared" si="605"/>
        <v>0</v>
      </c>
    </row>
    <row r="546" spans="1:36" ht="21" customHeight="1" outlineLevel="1" x14ac:dyDescent="0.35">
      <c r="A546" s="313"/>
      <c r="B546" s="293"/>
      <c r="C546" s="293" t="s">
        <v>1116</v>
      </c>
      <c r="D546" s="1168"/>
      <c r="E546" s="1171"/>
      <c r="F546" s="1171"/>
      <c r="G546" s="1171"/>
      <c r="H546" s="1171"/>
      <c r="I546" s="1172"/>
      <c r="J546" s="1172"/>
      <c r="K546" s="1047"/>
      <c r="L546" s="1047"/>
      <c r="M546" s="1171"/>
      <c r="N546" s="1171"/>
      <c r="O546" s="1171"/>
      <c r="P546" s="1171"/>
      <c r="Q546" s="1171"/>
      <c r="R546" s="1171"/>
      <c r="S546" s="1171"/>
      <c r="T546" s="1091">
        <f t="shared" si="612"/>
        <v>0</v>
      </c>
      <c r="U546" s="1091">
        <f t="shared" si="613"/>
        <v>0</v>
      </c>
      <c r="V546" s="1091">
        <f t="shared" si="606"/>
        <v>0</v>
      </c>
      <c r="W546" s="1091"/>
      <c r="X546" s="1091">
        <f t="shared" si="614"/>
        <v>0</v>
      </c>
      <c r="Y546" s="1091">
        <f t="shared" si="615"/>
        <v>0</v>
      </c>
      <c r="Z546" s="1091">
        <f t="shared" si="616"/>
        <v>0</v>
      </c>
      <c r="AA546" s="1091">
        <f t="shared" si="617"/>
        <v>0</v>
      </c>
      <c r="AB546" s="1091">
        <f t="shared" si="618"/>
        <v>0</v>
      </c>
      <c r="AD546" s="650">
        <f t="shared" si="604"/>
        <v>0</v>
      </c>
      <c r="AI546" s="1277">
        <f>VLOOKUP(K546,'[2]ผลการเบิกจ่ายสะสม พ.ย. 66'!$C:$N,12,0)</f>
        <v>0</v>
      </c>
      <c r="AJ546" s="1274">
        <f t="shared" si="605"/>
        <v>0</v>
      </c>
    </row>
    <row r="547" spans="1:36" ht="21" customHeight="1" outlineLevel="1" x14ac:dyDescent="0.35">
      <c r="A547" s="313"/>
      <c r="B547" s="293"/>
      <c r="C547" s="293" t="s">
        <v>1117</v>
      </c>
      <c r="D547" s="1168"/>
      <c r="E547" s="1171"/>
      <c r="F547" s="1171"/>
      <c r="G547" s="1171"/>
      <c r="H547" s="1171"/>
      <c r="I547" s="1172"/>
      <c r="J547" s="1172"/>
      <c r="K547" s="1047"/>
      <c r="L547" s="1047"/>
      <c r="M547" s="1171"/>
      <c r="N547" s="1171"/>
      <c r="O547" s="1171"/>
      <c r="P547" s="1171"/>
      <c r="Q547" s="1171"/>
      <c r="R547" s="1171"/>
      <c r="S547" s="1171"/>
      <c r="T547" s="1091">
        <f t="shared" si="612"/>
        <v>0</v>
      </c>
      <c r="U547" s="1091">
        <f t="shared" si="613"/>
        <v>0</v>
      </c>
      <c r="V547" s="1091">
        <f t="shared" si="606"/>
        <v>0</v>
      </c>
      <c r="W547" s="1091"/>
      <c r="X547" s="1091">
        <f t="shared" si="614"/>
        <v>0</v>
      </c>
      <c r="Y547" s="1091">
        <f t="shared" si="615"/>
        <v>0</v>
      </c>
      <c r="Z547" s="1091">
        <f t="shared" si="616"/>
        <v>0</v>
      </c>
      <c r="AA547" s="1091">
        <f t="shared" si="617"/>
        <v>0</v>
      </c>
      <c r="AB547" s="1091">
        <f t="shared" si="618"/>
        <v>0</v>
      </c>
      <c r="AD547" s="650">
        <f t="shared" si="604"/>
        <v>0</v>
      </c>
      <c r="AI547" s="1277">
        <f>VLOOKUP(K547,'[2]ผลการเบิกจ่ายสะสม พ.ย. 66'!$C:$N,12,0)</f>
        <v>0</v>
      </c>
      <c r="AJ547" s="1274">
        <f t="shared" si="605"/>
        <v>0</v>
      </c>
    </row>
    <row r="548" spans="1:36" ht="21" customHeight="1" outlineLevel="1" x14ac:dyDescent="0.35">
      <c r="A548" s="313"/>
      <c r="B548" s="293"/>
      <c r="C548" s="293" t="s">
        <v>1118</v>
      </c>
      <c r="D548" s="1168"/>
      <c r="E548" s="1171"/>
      <c r="F548" s="1171"/>
      <c r="G548" s="1171"/>
      <c r="H548" s="1171"/>
      <c r="I548" s="1172"/>
      <c r="J548" s="1172"/>
      <c r="K548" s="1047"/>
      <c r="L548" s="1047"/>
      <c r="M548" s="1171"/>
      <c r="N548" s="1171"/>
      <c r="O548" s="1171"/>
      <c r="P548" s="1171"/>
      <c r="Q548" s="1171"/>
      <c r="R548" s="1171"/>
      <c r="S548" s="1171"/>
      <c r="T548" s="1091">
        <f t="shared" si="612"/>
        <v>0</v>
      </c>
      <c r="U548" s="1091">
        <f t="shared" si="613"/>
        <v>0</v>
      </c>
      <c r="V548" s="1091">
        <f t="shared" si="606"/>
        <v>0</v>
      </c>
      <c r="W548" s="1091"/>
      <c r="X548" s="1091">
        <f t="shared" si="614"/>
        <v>0</v>
      </c>
      <c r="Y548" s="1091">
        <f t="shared" si="615"/>
        <v>0</v>
      </c>
      <c r="Z548" s="1091">
        <f t="shared" si="616"/>
        <v>0</v>
      </c>
      <c r="AA548" s="1091">
        <f t="shared" si="617"/>
        <v>0</v>
      </c>
      <c r="AB548" s="1091">
        <f t="shared" si="618"/>
        <v>0</v>
      </c>
      <c r="AD548" s="650">
        <f t="shared" si="604"/>
        <v>0</v>
      </c>
      <c r="AI548" s="1277">
        <f>VLOOKUP(K548,'[2]ผลการเบิกจ่ายสะสม พ.ย. 66'!$C:$N,12,0)</f>
        <v>0</v>
      </c>
      <c r="AJ548" s="1274">
        <f t="shared" si="605"/>
        <v>0</v>
      </c>
    </row>
    <row r="549" spans="1:36" ht="21" customHeight="1" outlineLevel="1" x14ac:dyDescent="0.35">
      <c r="A549" s="313"/>
      <c r="B549" s="293"/>
      <c r="C549" s="293" t="s">
        <v>1119</v>
      </c>
      <c r="D549" s="1168"/>
      <c r="E549" s="1171"/>
      <c r="F549" s="1171"/>
      <c r="G549" s="1171"/>
      <c r="H549" s="1171"/>
      <c r="I549" s="1172"/>
      <c r="J549" s="1172"/>
      <c r="K549" s="1047"/>
      <c r="L549" s="1047"/>
      <c r="M549" s="1171"/>
      <c r="N549" s="1171"/>
      <c r="O549" s="1171"/>
      <c r="P549" s="1171"/>
      <c r="Q549" s="1171"/>
      <c r="R549" s="1171"/>
      <c r="S549" s="1171"/>
      <c r="T549" s="1091">
        <f t="shared" si="612"/>
        <v>0</v>
      </c>
      <c r="U549" s="1091">
        <f t="shared" si="613"/>
        <v>0</v>
      </c>
      <c r="V549" s="1091">
        <f t="shared" si="606"/>
        <v>0</v>
      </c>
      <c r="W549" s="1091"/>
      <c r="X549" s="1091">
        <f t="shared" si="614"/>
        <v>0</v>
      </c>
      <c r="Y549" s="1091">
        <f t="shared" si="615"/>
        <v>0</v>
      </c>
      <c r="Z549" s="1091">
        <f t="shared" si="616"/>
        <v>0</v>
      </c>
      <c r="AA549" s="1091">
        <f t="shared" si="617"/>
        <v>0</v>
      </c>
      <c r="AB549" s="1091">
        <f t="shared" si="618"/>
        <v>0</v>
      </c>
      <c r="AD549" s="650">
        <f t="shared" si="604"/>
        <v>0</v>
      </c>
      <c r="AI549" s="1277">
        <f>VLOOKUP(K549,'[2]ผลการเบิกจ่ายสะสม พ.ย. 66'!$C:$N,12,0)</f>
        <v>0</v>
      </c>
      <c r="AJ549" s="1274">
        <f t="shared" si="605"/>
        <v>0</v>
      </c>
    </row>
    <row r="550" spans="1:36" ht="21" customHeight="1" outlineLevel="1" x14ac:dyDescent="0.35">
      <c r="A550" s="313"/>
      <c r="B550" s="293"/>
      <c r="C550" s="293" t="s">
        <v>1120</v>
      </c>
      <c r="D550" s="1168"/>
      <c r="E550" s="1171"/>
      <c r="F550" s="1171"/>
      <c r="G550" s="1171"/>
      <c r="H550" s="1171"/>
      <c r="I550" s="1172"/>
      <c r="J550" s="1172"/>
      <c r="K550" s="1047"/>
      <c r="L550" s="1047"/>
      <c r="M550" s="1171"/>
      <c r="N550" s="1171"/>
      <c r="O550" s="1171"/>
      <c r="P550" s="1171"/>
      <c r="Q550" s="1171"/>
      <c r="R550" s="1171"/>
      <c r="S550" s="1171"/>
      <c r="T550" s="1091">
        <f t="shared" si="612"/>
        <v>0</v>
      </c>
      <c r="U550" s="1091">
        <f t="shared" si="613"/>
        <v>0</v>
      </c>
      <c r="V550" s="1091">
        <f t="shared" si="606"/>
        <v>0</v>
      </c>
      <c r="W550" s="1091"/>
      <c r="X550" s="1091">
        <f t="shared" si="614"/>
        <v>0</v>
      </c>
      <c r="Y550" s="1091">
        <f t="shared" si="615"/>
        <v>0</v>
      </c>
      <c r="Z550" s="1091">
        <f t="shared" si="616"/>
        <v>0</v>
      </c>
      <c r="AA550" s="1091">
        <f t="shared" si="617"/>
        <v>0</v>
      </c>
      <c r="AB550" s="1091">
        <f t="shared" si="618"/>
        <v>0</v>
      </c>
      <c r="AD550" s="650">
        <f t="shared" si="604"/>
        <v>0</v>
      </c>
      <c r="AI550" s="1277">
        <f>VLOOKUP(K550,'[2]ผลการเบิกจ่ายสะสม พ.ย. 66'!$C:$N,12,0)</f>
        <v>0</v>
      </c>
      <c r="AJ550" s="1274">
        <f t="shared" si="605"/>
        <v>0</v>
      </c>
    </row>
    <row r="551" spans="1:36" ht="21" customHeight="1" outlineLevel="1" x14ac:dyDescent="0.35">
      <c r="A551" s="313"/>
      <c r="B551" s="293"/>
      <c r="C551" s="293" t="s">
        <v>1121</v>
      </c>
      <c r="D551" s="1168"/>
      <c r="E551" s="1171"/>
      <c r="F551" s="1171"/>
      <c r="G551" s="1171"/>
      <c r="H551" s="1171"/>
      <c r="I551" s="1172"/>
      <c r="J551" s="1172"/>
      <c r="K551" s="1047"/>
      <c r="L551" s="1047"/>
      <c r="M551" s="1171"/>
      <c r="N551" s="1171"/>
      <c r="O551" s="1171"/>
      <c r="P551" s="1171"/>
      <c r="Q551" s="1171"/>
      <c r="R551" s="1171"/>
      <c r="S551" s="1171"/>
      <c r="T551" s="1091">
        <f t="shared" si="612"/>
        <v>0</v>
      </c>
      <c r="U551" s="1091">
        <f t="shared" si="613"/>
        <v>0</v>
      </c>
      <c r="V551" s="1091">
        <f t="shared" si="606"/>
        <v>0</v>
      </c>
      <c r="W551" s="1091"/>
      <c r="X551" s="1091">
        <f t="shared" si="614"/>
        <v>0</v>
      </c>
      <c r="Y551" s="1091">
        <f t="shared" si="615"/>
        <v>0</v>
      </c>
      <c r="Z551" s="1091">
        <f t="shared" si="616"/>
        <v>0</v>
      </c>
      <c r="AA551" s="1091">
        <f t="shared" si="617"/>
        <v>0</v>
      </c>
      <c r="AB551" s="1091">
        <f t="shared" si="618"/>
        <v>0</v>
      </c>
      <c r="AD551" s="650">
        <f t="shared" si="604"/>
        <v>0</v>
      </c>
      <c r="AI551" s="1277">
        <f>VLOOKUP(K551,'[2]ผลการเบิกจ่ายสะสม พ.ย. 66'!$C:$N,12,0)</f>
        <v>0</v>
      </c>
      <c r="AJ551" s="1274">
        <f t="shared" si="605"/>
        <v>0</v>
      </c>
    </row>
    <row r="552" spans="1:36" ht="21" customHeight="1" outlineLevel="1" x14ac:dyDescent="0.35">
      <c r="A552" s="313"/>
      <c r="B552" s="293"/>
      <c r="C552" s="293" t="s">
        <v>1122</v>
      </c>
      <c r="D552" s="1168"/>
      <c r="E552" s="1171"/>
      <c r="F552" s="1171"/>
      <c r="G552" s="1171"/>
      <c r="H552" s="1171"/>
      <c r="I552" s="1172"/>
      <c r="J552" s="1172"/>
      <c r="K552" s="1047"/>
      <c r="L552" s="1047"/>
      <c r="M552" s="1171"/>
      <c r="N552" s="1171"/>
      <c r="O552" s="1171"/>
      <c r="P552" s="1171"/>
      <c r="Q552" s="1171"/>
      <c r="R552" s="1171"/>
      <c r="S552" s="1171"/>
      <c r="T552" s="1091">
        <f t="shared" si="612"/>
        <v>0</v>
      </c>
      <c r="U552" s="1091">
        <f t="shared" si="613"/>
        <v>0</v>
      </c>
      <c r="V552" s="1091">
        <f t="shared" si="606"/>
        <v>0</v>
      </c>
      <c r="W552" s="1091"/>
      <c r="X552" s="1091">
        <f t="shared" si="614"/>
        <v>0</v>
      </c>
      <c r="Y552" s="1091">
        <f t="shared" si="615"/>
        <v>0</v>
      </c>
      <c r="Z552" s="1091">
        <f t="shared" si="616"/>
        <v>0</v>
      </c>
      <c r="AA552" s="1091">
        <f t="shared" si="617"/>
        <v>0</v>
      </c>
      <c r="AB552" s="1091">
        <f t="shared" si="618"/>
        <v>0</v>
      </c>
      <c r="AD552" s="650">
        <f t="shared" si="604"/>
        <v>0</v>
      </c>
      <c r="AI552" s="1277">
        <f>VLOOKUP(K552,'[2]ผลการเบิกจ่ายสะสม พ.ย. 66'!$C:$N,12,0)</f>
        <v>0</v>
      </c>
      <c r="AJ552" s="1274">
        <f t="shared" si="605"/>
        <v>0</v>
      </c>
    </row>
    <row r="553" spans="1:36" ht="21" customHeight="1" outlineLevel="1" x14ac:dyDescent="0.35">
      <c r="A553" s="313"/>
      <c r="B553" s="293"/>
      <c r="C553" s="293" t="s">
        <v>1123</v>
      </c>
      <c r="D553" s="1168"/>
      <c r="E553" s="1171"/>
      <c r="F553" s="1171"/>
      <c r="G553" s="1171"/>
      <c r="H553" s="1171"/>
      <c r="I553" s="1172"/>
      <c r="J553" s="1172"/>
      <c r="K553" s="1047"/>
      <c r="L553" s="1047"/>
      <c r="M553" s="1171"/>
      <c r="N553" s="1171"/>
      <c r="O553" s="1171"/>
      <c r="P553" s="1171"/>
      <c r="Q553" s="1171"/>
      <c r="R553" s="1171"/>
      <c r="S553" s="1171"/>
      <c r="T553" s="1091">
        <f t="shared" si="612"/>
        <v>0</v>
      </c>
      <c r="U553" s="1091">
        <f t="shared" si="613"/>
        <v>0</v>
      </c>
      <c r="V553" s="1091">
        <f t="shared" si="606"/>
        <v>0</v>
      </c>
      <c r="W553" s="1091"/>
      <c r="X553" s="1091">
        <f t="shared" si="614"/>
        <v>0</v>
      </c>
      <c r="Y553" s="1091">
        <f t="shared" si="615"/>
        <v>0</v>
      </c>
      <c r="Z553" s="1091">
        <f t="shared" si="616"/>
        <v>0</v>
      </c>
      <c r="AA553" s="1091">
        <f t="shared" si="617"/>
        <v>0</v>
      </c>
      <c r="AB553" s="1091">
        <f t="shared" si="618"/>
        <v>0</v>
      </c>
      <c r="AD553" s="650">
        <f t="shared" si="604"/>
        <v>0</v>
      </c>
      <c r="AI553" s="1277">
        <f>VLOOKUP(K553,'[2]ผลการเบิกจ่ายสะสม พ.ย. 66'!$C:$N,12,0)</f>
        <v>0</v>
      </c>
      <c r="AJ553" s="1274">
        <f t="shared" si="605"/>
        <v>0</v>
      </c>
    </row>
    <row r="554" spans="1:36" ht="21" customHeight="1" outlineLevel="1" x14ac:dyDescent="0.35">
      <c r="A554" s="313"/>
      <c r="B554" s="293"/>
      <c r="C554" s="293" t="s">
        <v>1124</v>
      </c>
      <c r="D554" s="1168"/>
      <c r="E554" s="1171"/>
      <c r="F554" s="1171"/>
      <c r="G554" s="1171"/>
      <c r="H554" s="1171"/>
      <c r="I554" s="1172"/>
      <c r="J554" s="1172"/>
      <c r="K554" s="1047"/>
      <c r="L554" s="1047"/>
      <c r="M554" s="1171"/>
      <c r="N554" s="1171"/>
      <c r="O554" s="1171"/>
      <c r="P554" s="1171"/>
      <c r="Q554" s="1171"/>
      <c r="R554" s="1171"/>
      <c r="S554" s="1171"/>
      <c r="T554" s="1091">
        <f t="shared" si="612"/>
        <v>0</v>
      </c>
      <c r="U554" s="1091">
        <f t="shared" si="613"/>
        <v>0</v>
      </c>
      <c r="V554" s="1091">
        <f t="shared" si="606"/>
        <v>0</v>
      </c>
      <c r="W554" s="1091"/>
      <c r="X554" s="1091">
        <f t="shared" si="614"/>
        <v>0</v>
      </c>
      <c r="Y554" s="1091">
        <f t="shared" si="615"/>
        <v>0</v>
      </c>
      <c r="Z554" s="1091">
        <f t="shared" si="616"/>
        <v>0</v>
      </c>
      <c r="AA554" s="1091">
        <f t="shared" si="617"/>
        <v>0</v>
      </c>
      <c r="AB554" s="1091">
        <f t="shared" si="618"/>
        <v>0</v>
      </c>
      <c r="AD554" s="650">
        <f t="shared" si="604"/>
        <v>0</v>
      </c>
      <c r="AI554" s="1277">
        <f>VLOOKUP(K554,'[2]ผลการเบิกจ่ายสะสม พ.ย. 66'!$C:$N,12,0)</f>
        <v>0</v>
      </c>
      <c r="AJ554" s="1274">
        <f t="shared" si="605"/>
        <v>0</v>
      </c>
    </row>
    <row r="555" spans="1:36" ht="21" customHeight="1" outlineLevel="1" x14ac:dyDescent="0.35">
      <c r="A555" s="313"/>
      <c r="B555" s="293"/>
      <c r="C555" s="293" t="s">
        <v>1125</v>
      </c>
      <c r="D555" s="1168"/>
      <c r="E555" s="1171"/>
      <c r="F555" s="1171"/>
      <c r="G555" s="1171"/>
      <c r="H555" s="1171"/>
      <c r="I555" s="1172"/>
      <c r="J555" s="1172"/>
      <c r="K555" s="1047"/>
      <c r="L555" s="1047"/>
      <c r="M555" s="1171"/>
      <c r="N555" s="1171"/>
      <c r="O555" s="1171"/>
      <c r="P555" s="1171"/>
      <c r="Q555" s="1171"/>
      <c r="R555" s="1171"/>
      <c r="S555" s="1171"/>
      <c r="T555" s="1091">
        <f t="shared" si="612"/>
        <v>0</v>
      </c>
      <c r="U555" s="1091">
        <f t="shared" si="613"/>
        <v>0</v>
      </c>
      <c r="V555" s="1091">
        <f t="shared" si="606"/>
        <v>0</v>
      </c>
      <c r="W555" s="1091"/>
      <c r="X555" s="1091">
        <f t="shared" si="614"/>
        <v>0</v>
      </c>
      <c r="Y555" s="1091">
        <f t="shared" si="615"/>
        <v>0</v>
      </c>
      <c r="Z555" s="1091">
        <f t="shared" si="616"/>
        <v>0</v>
      </c>
      <c r="AA555" s="1091">
        <f t="shared" si="617"/>
        <v>0</v>
      </c>
      <c r="AB555" s="1091">
        <f t="shared" si="618"/>
        <v>0</v>
      </c>
      <c r="AD555" s="650">
        <f t="shared" si="604"/>
        <v>0</v>
      </c>
      <c r="AI555" s="1277">
        <f>VLOOKUP(K555,'[2]ผลการเบิกจ่ายสะสม พ.ย. 66'!$C:$N,12,0)</f>
        <v>0</v>
      </c>
      <c r="AJ555" s="1274">
        <f t="shared" si="605"/>
        <v>0</v>
      </c>
    </row>
    <row r="556" spans="1:36" ht="21" customHeight="1" outlineLevel="1" x14ac:dyDescent="0.35">
      <c r="A556" s="313"/>
      <c r="B556" s="293"/>
      <c r="C556" s="293" t="s">
        <v>1126</v>
      </c>
      <c r="D556" s="1168"/>
      <c r="E556" s="1171"/>
      <c r="F556" s="1171"/>
      <c r="G556" s="1171"/>
      <c r="H556" s="1171"/>
      <c r="I556" s="1172"/>
      <c r="J556" s="1172"/>
      <c r="K556" s="1047"/>
      <c r="L556" s="1047"/>
      <c r="M556" s="1171"/>
      <c r="N556" s="1171"/>
      <c r="O556" s="1171"/>
      <c r="P556" s="1171"/>
      <c r="Q556" s="1171"/>
      <c r="R556" s="1171"/>
      <c r="S556" s="1171"/>
      <c r="T556" s="1091">
        <f t="shared" si="612"/>
        <v>0</v>
      </c>
      <c r="U556" s="1091">
        <f t="shared" si="613"/>
        <v>0</v>
      </c>
      <c r="V556" s="1091">
        <f t="shared" si="606"/>
        <v>0</v>
      </c>
      <c r="W556" s="1091"/>
      <c r="X556" s="1091">
        <f t="shared" si="614"/>
        <v>0</v>
      </c>
      <c r="Y556" s="1091">
        <f t="shared" si="615"/>
        <v>0</v>
      </c>
      <c r="Z556" s="1091">
        <f t="shared" si="616"/>
        <v>0</v>
      </c>
      <c r="AA556" s="1091">
        <f t="shared" si="617"/>
        <v>0</v>
      </c>
      <c r="AB556" s="1091">
        <f t="shared" si="618"/>
        <v>0</v>
      </c>
      <c r="AD556" s="650">
        <f t="shared" si="604"/>
        <v>0</v>
      </c>
      <c r="AI556" s="1277">
        <f>VLOOKUP(K556,'[2]ผลการเบิกจ่ายสะสม พ.ย. 66'!$C:$N,12,0)</f>
        <v>0</v>
      </c>
      <c r="AJ556" s="1274">
        <f t="shared" si="605"/>
        <v>0</v>
      </c>
    </row>
    <row r="557" spans="1:36" ht="21" customHeight="1" outlineLevel="1" x14ac:dyDescent="0.35">
      <c r="A557" s="313"/>
      <c r="B557" s="293"/>
      <c r="C557" s="293" t="s">
        <v>1127</v>
      </c>
      <c r="D557" s="1168"/>
      <c r="E557" s="1171"/>
      <c r="F557" s="1171"/>
      <c r="G557" s="1171"/>
      <c r="H557" s="1171"/>
      <c r="I557" s="1172"/>
      <c r="J557" s="1172"/>
      <c r="K557" s="1047"/>
      <c r="L557" s="1047"/>
      <c r="M557" s="1171"/>
      <c r="N557" s="1171"/>
      <c r="O557" s="1171"/>
      <c r="P557" s="1171"/>
      <c r="Q557" s="1171"/>
      <c r="R557" s="1171"/>
      <c r="S557" s="1171"/>
      <c r="T557" s="1091">
        <f t="shared" si="612"/>
        <v>0</v>
      </c>
      <c r="U557" s="1091">
        <f t="shared" si="613"/>
        <v>0</v>
      </c>
      <c r="V557" s="1091">
        <f t="shared" si="606"/>
        <v>0</v>
      </c>
      <c r="W557" s="1091"/>
      <c r="X557" s="1091">
        <f t="shared" si="614"/>
        <v>0</v>
      </c>
      <c r="Y557" s="1091">
        <f t="shared" si="615"/>
        <v>0</v>
      </c>
      <c r="Z557" s="1091">
        <f t="shared" si="616"/>
        <v>0</v>
      </c>
      <c r="AA557" s="1091">
        <f t="shared" si="617"/>
        <v>0</v>
      </c>
      <c r="AB557" s="1091">
        <f t="shared" si="618"/>
        <v>0</v>
      </c>
      <c r="AD557" s="650">
        <f t="shared" si="604"/>
        <v>0</v>
      </c>
      <c r="AI557" s="1277">
        <f>VLOOKUP(K557,'[2]ผลการเบิกจ่ายสะสม พ.ย. 66'!$C:$N,12,0)</f>
        <v>0</v>
      </c>
      <c r="AJ557" s="1274">
        <f t="shared" si="605"/>
        <v>0</v>
      </c>
    </row>
    <row r="558" spans="1:36" ht="21" customHeight="1" outlineLevel="1" x14ac:dyDescent="0.35">
      <c r="A558" s="313"/>
      <c r="B558" s="293"/>
      <c r="C558" s="293" t="s">
        <v>1128</v>
      </c>
      <c r="D558" s="1168"/>
      <c r="E558" s="1171"/>
      <c r="F558" s="1171"/>
      <c r="G558" s="1171"/>
      <c r="H558" s="1171"/>
      <c r="I558" s="1172"/>
      <c r="J558" s="1172"/>
      <c r="K558" s="1047"/>
      <c r="L558" s="1047"/>
      <c r="M558" s="1171"/>
      <c r="N558" s="1171"/>
      <c r="O558" s="1171"/>
      <c r="P558" s="1171"/>
      <c r="Q558" s="1171"/>
      <c r="R558" s="1171"/>
      <c r="S558" s="1171"/>
      <c r="T558" s="1091">
        <f t="shared" si="612"/>
        <v>0</v>
      </c>
      <c r="U558" s="1091">
        <f t="shared" si="613"/>
        <v>0</v>
      </c>
      <c r="V558" s="1091">
        <f t="shared" si="606"/>
        <v>0</v>
      </c>
      <c r="W558" s="1091"/>
      <c r="X558" s="1091">
        <f t="shared" si="614"/>
        <v>0</v>
      </c>
      <c r="Y558" s="1091">
        <f t="shared" si="615"/>
        <v>0</v>
      </c>
      <c r="Z558" s="1091">
        <f t="shared" si="616"/>
        <v>0</v>
      </c>
      <c r="AA558" s="1091">
        <f t="shared" si="617"/>
        <v>0</v>
      </c>
      <c r="AB558" s="1091">
        <f t="shared" si="618"/>
        <v>0</v>
      </c>
      <c r="AD558" s="650">
        <f t="shared" si="604"/>
        <v>0</v>
      </c>
      <c r="AI558" s="1277">
        <f>VLOOKUP(K558,'[2]ผลการเบิกจ่ายสะสม พ.ย. 66'!$C:$N,12,0)</f>
        <v>0</v>
      </c>
      <c r="AJ558" s="1274">
        <f t="shared" si="605"/>
        <v>0</v>
      </c>
    </row>
    <row r="559" spans="1:36" ht="21" customHeight="1" outlineLevel="1" x14ac:dyDescent="0.35">
      <c r="A559" s="313"/>
      <c r="B559" s="293"/>
      <c r="C559" s="293" t="s">
        <v>1129</v>
      </c>
      <c r="D559" s="1168"/>
      <c r="E559" s="1171"/>
      <c r="F559" s="1171"/>
      <c r="G559" s="1171"/>
      <c r="H559" s="1171"/>
      <c r="I559" s="1172"/>
      <c r="J559" s="1172"/>
      <c r="K559" s="1047"/>
      <c r="L559" s="1047"/>
      <c r="M559" s="1171"/>
      <c r="N559" s="1171"/>
      <c r="O559" s="1171"/>
      <c r="P559" s="1171"/>
      <c r="Q559" s="1171"/>
      <c r="R559" s="1171"/>
      <c r="S559" s="1171"/>
      <c r="T559" s="1091">
        <f t="shared" si="612"/>
        <v>0</v>
      </c>
      <c r="U559" s="1091">
        <f t="shared" si="613"/>
        <v>0</v>
      </c>
      <c r="V559" s="1091">
        <f t="shared" si="606"/>
        <v>0</v>
      </c>
      <c r="W559" s="1091"/>
      <c r="X559" s="1091">
        <f t="shared" si="614"/>
        <v>0</v>
      </c>
      <c r="Y559" s="1091">
        <f t="shared" si="615"/>
        <v>0</v>
      </c>
      <c r="Z559" s="1091">
        <f t="shared" si="616"/>
        <v>0</v>
      </c>
      <c r="AA559" s="1091">
        <f t="shared" si="617"/>
        <v>0</v>
      </c>
      <c r="AB559" s="1091">
        <f t="shared" si="618"/>
        <v>0</v>
      </c>
      <c r="AD559" s="650">
        <f t="shared" si="604"/>
        <v>0</v>
      </c>
      <c r="AI559" s="1277">
        <f>VLOOKUP(K559,'[2]ผลการเบิกจ่ายสะสม พ.ย. 66'!$C:$N,12,0)</f>
        <v>0</v>
      </c>
      <c r="AJ559" s="1274">
        <f t="shared" si="605"/>
        <v>0</v>
      </c>
    </row>
    <row r="560" spans="1:36" ht="21" customHeight="1" outlineLevel="1" x14ac:dyDescent="0.35">
      <c r="A560" s="313"/>
      <c r="B560" s="293"/>
      <c r="C560" s="293" t="s">
        <v>1130</v>
      </c>
      <c r="D560" s="1168"/>
      <c r="E560" s="1171"/>
      <c r="F560" s="1171"/>
      <c r="G560" s="1171"/>
      <c r="H560" s="1171"/>
      <c r="I560" s="1172"/>
      <c r="J560" s="1172"/>
      <c r="K560" s="1047"/>
      <c r="L560" s="1047"/>
      <c r="M560" s="1171"/>
      <c r="N560" s="1171"/>
      <c r="O560" s="1171"/>
      <c r="P560" s="1171"/>
      <c r="Q560" s="1171"/>
      <c r="R560" s="1171"/>
      <c r="S560" s="1171"/>
      <c r="T560" s="1091">
        <f t="shared" si="612"/>
        <v>0</v>
      </c>
      <c r="U560" s="1091">
        <f t="shared" si="613"/>
        <v>0</v>
      </c>
      <c r="V560" s="1091">
        <f t="shared" si="606"/>
        <v>0</v>
      </c>
      <c r="W560" s="1091"/>
      <c r="X560" s="1091">
        <f t="shared" si="614"/>
        <v>0</v>
      </c>
      <c r="Y560" s="1091">
        <f t="shared" si="615"/>
        <v>0</v>
      </c>
      <c r="Z560" s="1091">
        <f t="shared" si="616"/>
        <v>0</v>
      </c>
      <c r="AA560" s="1091">
        <f t="shared" si="617"/>
        <v>0</v>
      </c>
      <c r="AB560" s="1091">
        <f t="shared" si="618"/>
        <v>0</v>
      </c>
      <c r="AD560" s="650">
        <f t="shared" si="604"/>
        <v>0</v>
      </c>
      <c r="AI560" s="1277">
        <f>VLOOKUP(K560,'[2]ผลการเบิกจ่ายสะสม พ.ย. 66'!$C:$N,12,0)</f>
        <v>0</v>
      </c>
      <c r="AJ560" s="1274">
        <f t="shared" si="605"/>
        <v>0</v>
      </c>
    </row>
    <row r="561" spans="1:36" ht="21" customHeight="1" outlineLevel="1" x14ac:dyDescent="0.35">
      <c r="A561" s="313"/>
      <c r="B561" s="293"/>
      <c r="C561" s="293" t="s">
        <v>1131</v>
      </c>
      <c r="D561" s="1168"/>
      <c r="E561" s="1171"/>
      <c r="F561" s="1171"/>
      <c r="G561" s="1171"/>
      <c r="H561" s="1171"/>
      <c r="I561" s="1172"/>
      <c r="J561" s="1172"/>
      <c r="K561" s="1047"/>
      <c r="L561" s="1047"/>
      <c r="M561" s="1171"/>
      <c r="N561" s="1171"/>
      <c r="O561" s="1171"/>
      <c r="P561" s="1171"/>
      <c r="Q561" s="1171"/>
      <c r="R561" s="1171"/>
      <c r="S561" s="1171"/>
      <c r="T561" s="1091">
        <f t="shared" si="612"/>
        <v>0</v>
      </c>
      <c r="U561" s="1091">
        <f t="shared" si="613"/>
        <v>0</v>
      </c>
      <c r="V561" s="1091">
        <f t="shared" si="606"/>
        <v>0</v>
      </c>
      <c r="W561" s="1091"/>
      <c r="X561" s="1091">
        <f t="shared" si="614"/>
        <v>0</v>
      </c>
      <c r="Y561" s="1091">
        <f t="shared" si="615"/>
        <v>0</v>
      </c>
      <c r="Z561" s="1091">
        <f t="shared" si="616"/>
        <v>0</v>
      </c>
      <c r="AA561" s="1091">
        <f t="shared" si="617"/>
        <v>0</v>
      </c>
      <c r="AB561" s="1091">
        <f t="shared" si="618"/>
        <v>0</v>
      </c>
      <c r="AD561" s="650">
        <f t="shared" si="604"/>
        <v>0</v>
      </c>
      <c r="AI561" s="1277">
        <f>VLOOKUP(K561,'[2]ผลการเบิกจ่ายสะสม พ.ย. 66'!$C:$N,12,0)</f>
        <v>0</v>
      </c>
      <c r="AJ561" s="1274">
        <f t="shared" si="605"/>
        <v>0</v>
      </c>
    </row>
    <row r="562" spans="1:36" ht="21" customHeight="1" outlineLevel="1" x14ac:dyDescent="0.35">
      <c r="A562" s="313"/>
      <c r="B562" s="293"/>
      <c r="C562" s="293" t="s">
        <v>1132</v>
      </c>
      <c r="D562" s="1168"/>
      <c r="E562" s="1171"/>
      <c r="F562" s="1171"/>
      <c r="G562" s="1171"/>
      <c r="H562" s="1171"/>
      <c r="I562" s="1172"/>
      <c r="J562" s="1172"/>
      <c r="K562" s="1047"/>
      <c r="L562" s="1047"/>
      <c r="M562" s="1171"/>
      <c r="N562" s="1171"/>
      <c r="O562" s="1171"/>
      <c r="P562" s="1171"/>
      <c r="Q562" s="1171"/>
      <c r="R562" s="1171"/>
      <c r="S562" s="1171"/>
      <c r="T562" s="1091">
        <f t="shared" si="612"/>
        <v>0</v>
      </c>
      <c r="U562" s="1091">
        <f t="shared" si="613"/>
        <v>0</v>
      </c>
      <c r="V562" s="1091">
        <f t="shared" si="606"/>
        <v>0</v>
      </c>
      <c r="W562" s="1091"/>
      <c r="X562" s="1091">
        <f t="shared" si="614"/>
        <v>0</v>
      </c>
      <c r="Y562" s="1091">
        <f t="shared" si="615"/>
        <v>0</v>
      </c>
      <c r="Z562" s="1091">
        <f t="shared" si="616"/>
        <v>0</v>
      </c>
      <c r="AA562" s="1091">
        <f t="shared" si="617"/>
        <v>0</v>
      </c>
      <c r="AB562" s="1091">
        <f t="shared" si="618"/>
        <v>0</v>
      </c>
      <c r="AD562" s="650">
        <f t="shared" si="604"/>
        <v>0</v>
      </c>
      <c r="AI562" s="1277">
        <f>VLOOKUP(K562,'[2]ผลการเบิกจ่ายสะสม พ.ย. 66'!$C:$N,12,0)</f>
        <v>0</v>
      </c>
      <c r="AJ562" s="1274">
        <f t="shared" si="605"/>
        <v>0</v>
      </c>
    </row>
    <row r="563" spans="1:36" ht="21" customHeight="1" outlineLevel="1" x14ac:dyDescent="0.35">
      <c r="A563" s="313"/>
      <c r="B563" s="293"/>
      <c r="C563" s="293" t="s">
        <v>1133</v>
      </c>
      <c r="D563" s="1168"/>
      <c r="E563" s="1171"/>
      <c r="F563" s="1171"/>
      <c r="G563" s="1171"/>
      <c r="H563" s="1171"/>
      <c r="I563" s="1172"/>
      <c r="J563" s="1172"/>
      <c r="K563" s="1047"/>
      <c r="L563" s="1047"/>
      <c r="M563" s="1171"/>
      <c r="N563" s="1171"/>
      <c r="O563" s="1171"/>
      <c r="P563" s="1171"/>
      <c r="Q563" s="1171"/>
      <c r="R563" s="1171"/>
      <c r="S563" s="1171"/>
      <c r="T563" s="1091">
        <f t="shared" si="612"/>
        <v>0</v>
      </c>
      <c r="U563" s="1091">
        <f t="shared" si="613"/>
        <v>0</v>
      </c>
      <c r="V563" s="1091">
        <f t="shared" si="606"/>
        <v>0</v>
      </c>
      <c r="W563" s="1091"/>
      <c r="X563" s="1091">
        <f t="shared" si="614"/>
        <v>0</v>
      </c>
      <c r="Y563" s="1091">
        <f t="shared" si="615"/>
        <v>0</v>
      </c>
      <c r="Z563" s="1091">
        <f t="shared" si="616"/>
        <v>0</v>
      </c>
      <c r="AA563" s="1091">
        <f t="shared" si="617"/>
        <v>0</v>
      </c>
      <c r="AB563" s="1091">
        <f t="shared" si="618"/>
        <v>0</v>
      </c>
      <c r="AD563" s="650">
        <f t="shared" si="604"/>
        <v>0</v>
      </c>
      <c r="AI563" s="1277">
        <f>VLOOKUP(K563,'[2]ผลการเบิกจ่ายสะสม พ.ย. 66'!$C:$N,12,0)</f>
        <v>0</v>
      </c>
      <c r="AJ563" s="1274">
        <f t="shared" si="605"/>
        <v>0</v>
      </c>
    </row>
    <row r="564" spans="1:36" ht="21" customHeight="1" outlineLevel="1" x14ac:dyDescent="0.35">
      <c r="A564" s="313"/>
      <c r="B564" s="293"/>
      <c r="C564" s="293" t="s">
        <v>1134</v>
      </c>
      <c r="D564" s="1168"/>
      <c r="E564" s="1171"/>
      <c r="F564" s="1171"/>
      <c r="G564" s="1171"/>
      <c r="H564" s="1171"/>
      <c r="I564" s="1172"/>
      <c r="J564" s="1172"/>
      <c r="K564" s="1047"/>
      <c r="L564" s="1047"/>
      <c r="M564" s="1171"/>
      <c r="N564" s="1171"/>
      <c r="O564" s="1171"/>
      <c r="P564" s="1171"/>
      <c r="Q564" s="1171"/>
      <c r="R564" s="1171"/>
      <c r="S564" s="1171"/>
      <c r="T564" s="1091">
        <f t="shared" si="612"/>
        <v>0</v>
      </c>
      <c r="U564" s="1091">
        <f t="shared" si="613"/>
        <v>0</v>
      </c>
      <c r="V564" s="1091">
        <f t="shared" si="606"/>
        <v>0</v>
      </c>
      <c r="W564" s="1091"/>
      <c r="X564" s="1091">
        <f t="shared" si="614"/>
        <v>0</v>
      </c>
      <c r="Y564" s="1091">
        <f t="shared" si="615"/>
        <v>0</v>
      </c>
      <c r="Z564" s="1091">
        <f t="shared" si="616"/>
        <v>0</v>
      </c>
      <c r="AA564" s="1091">
        <f t="shared" si="617"/>
        <v>0</v>
      </c>
      <c r="AB564" s="1091">
        <f t="shared" si="618"/>
        <v>0</v>
      </c>
      <c r="AD564" s="650">
        <f t="shared" si="604"/>
        <v>0</v>
      </c>
      <c r="AI564" s="1277">
        <f>VLOOKUP(K564,'[2]ผลการเบิกจ่ายสะสม พ.ย. 66'!$C:$N,12,0)</f>
        <v>0</v>
      </c>
      <c r="AJ564" s="1274">
        <f t="shared" si="605"/>
        <v>0</v>
      </c>
    </row>
    <row r="565" spans="1:36" ht="21" customHeight="1" outlineLevel="1" x14ac:dyDescent="0.35">
      <c r="A565" s="313"/>
      <c r="B565" s="293"/>
      <c r="C565" s="293" t="s">
        <v>1135</v>
      </c>
      <c r="D565" s="1168"/>
      <c r="E565" s="1171"/>
      <c r="F565" s="1171"/>
      <c r="G565" s="1171"/>
      <c r="H565" s="1171"/>
      <c r="I565" s="1172"/>
      <c r="J565" s="1172"/>
      <c r="K565" s="1047"/>
      <c r="L565" s="1047"/>
      <c r="M565" s="1171"/>
      <c r="N565" s="1171"/>
      <c r="O565" s="1171"/>
      <c r="P565" s="1171"/>
      <c r="Q565" s="1171"/>
      <c r="R565" s="1171"/>
      <c r="S565" s="1171"/>
      <c r="T565" s="1091">
        <f t="shared" si="612"/>
        <v>0</v>
      </c>
      <c r="U565" s="1091">
        <f t="shared" si="613"/>
        <v>0</v>
      </c>
      <c r="V565" s="1091">
        <f t="shared" si="606"/>
        <v>0</v>
      </c>
      <c r="W565" s="1091"/>
      <c r="X565" s="1091">
        <f t="shared" si="614"/>
        <v>0</v>
      </c>
      <c r="Y565" s="1091">
        <f t="shared" si="615"/>
        <v>0</v>
      </c>
      <c r="Z565" s="1091">
        <f t="shared" si="616"/>
        <v>0</v>
      </c>
      <c r="AA565" s="1091">
        <f t="shared" si="617"/>
        <v>0</v>
      </c>
      <c r="AB565" s="1091">
        <f t="shared" si="618"/>
        <v>0</v>
      </c>
      <c r="AD565" s="650">
        <f t="shared" si="604"/>
        <v>0</v>
      </c>
      <c r="AI565" s="1277">
        <f>VLOOKUP(K565,'[2]ผลการเบิกจ่ายสะสม พ.ย. 66'!$C:$N,12,0)</f>
        <v>0</v>
      </c>
      <c r="AJ565" s="1274">
        <f t="shared" si="605"/>
        <v>0</v>
      </c>
    </row>
    <row r="566" spans="1:36" ht="21" customHeight="1" outlineLevel="1" x14ac:dyDescent="0.35">
      <c r="A566" s="313"/>
      <c r="B566" s="293"/>
      <c r="C566" s="293" t="s">
        <v>1136</v>
      </c>
      <c r="D566" s="1168"/>
      <c r="E566" s="1171"/>
      <c r="F566" s="1171"/>
      <c r="G566" s="1171"/>
      <c r="H566" s="1171"/>
      <c r="I566" s="1172"/>
      <c r="J566" s="1172"/>
      <c r="K566" s="1047"/>
      <c r="L566" s="1047"/>
      <c r="M566" s="1171"/>
      <c r="N566" s="1171"/>
      <c r="O566" s="1171"/>
      <c r="P566" s="1171"/>
      <c r="Q566" s="1171"/>
      <c r="R566" s="1171"/>
      <c r="S566" s="1171"/>
      <c r="T566" s="1091">
        <f t="shared" si="612"/>
        <v>0</v>
      </c>
      <c r="U566" s="1091">
        <f t="shared" si="613"/>
        <v>0</v>
      </c>
      <c r="V566" s="1091">
        <f t="shared" si="606"/>
        <v>0</v>
      </c>
      <c r="W566" s="1091"/>
      <c r="X566" s="1091">
        <f t="shared" si="614"/>
        <v>0</v>
      </c>
      <c r="Y566" s="1091">
        <f t="shared" si="615"/>
        <v>0</v>
      </c>
      <c r="Z566" s="1091">
        <f t="shared" si="616"/>
        <v>0</v>
      </c>
      <c r="AA566" s="1091">
        <f t="shared" si="617"/>
        <v>0</v>
      </c>
      <c r="AB566" s="1091">
        <f t="shared" si="618"/>
        <v>0</v>
      </c>
      <c r="AD566" s="650">
        <f t="shared" si="604"/>
        <v>0</v>
      </c>
      <c r="AI566" s="1277">
        <f>VLOOKUP(K566,'[2]ผลการเบิกจ่ายสะสม พ.ย. 66'!$C:$N,12,0)</f>
        <v>0</v>
      </c>
      <c r="AJ566" s="1274">
        <f t="shared" si="605"/>
        <v>0</v>
      </c>
    </row>
    <row r="567" spans="1:36" ht="21" customHeight="1" outlineLevel="1" x14ac:dyDescent="0.35">
      <c r="A567" s="313"/>
      <c r="B567" s="293"/>
      <c r="C567" s="293" t="s">
        <v>1137</v>
      </c>
      <c r="D567" s="1168"/>
      <c r="E567" s="1171"/>
      <c r="F567" s="1171"/>
      <c r="G567" s="1171"/>
      <c r="H567" s="1171"/>
      <c r="I567" s="1172"/>
      <c r="J567" s="1172"/>
      <c r="K567" s="1047"/>
      <c r="L567" s="1047"/>
      <c r="M567" s="1171"/>
      <c r="N567" s="1171"/>
      <c r="O567" s="1171"/>
      <c r="P567" s="1171"/>
      <c r="Q567" s="1171"/>
      <c r="R567" s="1171"/>
      <c r="S567" s="1171"/>
      <c r="T567" s="1091">
        <f t="shared" si="612"/>
        <v>0</v>
      </c>
      <c r="U567" s="1091">
        <f t="shared" si="613"/>
        <v>0</v>
      </c>
      <c r="V567" s="1091">
        <f t="shared" si="606"/>
        <v>0</v>
      </c>
      <c r="W567" s="1091"/>
      <c r="X567" s="1091">
        <f t="shared" si="614"/>
        <v>0</v>
      </c>
      <c r="Y567" s="1091">
        <f t="shared" si="615"/>
        <v>0</v>
      </c>
      <c r="Z567" s="1091">
        <f t="shared" si="616"/>
        <v>0</v>
      </c>
      <c r="AA567" s="1091">
        <f t="shared" si="617"/>
        <v>0</v>
      </c>
      <c r="AB567" s="1091">
        <f t="shared" si="618"/>
        <v>0</v>
      </c>
      <c r="AD567" s="650">
        <f t="shared" si="604"/>
        <v>0</v>
      </c>
      <c r="AI567" s="1277">
        <f>VLOOKUP(K567,'[2]ผลการเบิกจ่ายสะสม พ.ย. 66'!$C:$N,12,0)</f>
        <v>0</v>
      </c>
      <c r="AJ567" s="1274">
        <f t="shared" si="605"/>
        <v>0</v>
      </c>
    </row>
    <row r="568" spans="1:36" ht="21" customHeight="1" outlineLevel="1" x14ac:dyDescent="0.35">
      <c r="A568" s="313"/>
      <c r="B568" s="293"/>
      <c r="C568" s="293" t="s">
        <v>1138</v>
      </c>
      <c r="D568" s="1168"/>
      <c r="E568" s="1171"/>
      <c r="F568" s="1171"/>
      <c r="G568" s="1171"/>
      <c r="H568" s="1171"/>
      <c r="I568" s="1172"/>
      <c r="J568" s="1172"/>
      <c r="K568" s="1047"/>
      <c r="L568" s="1047"/>
      <c r="M568" s="1171"/>
      <c r="N568" s="1171"/>
      <c r="O568" s="1171"/>
      <c r="P568" s="1171"/>
      <c r="Q568" s="1171"/>
      <c r="R568" s="1171"/>
      <c r="S568" s="1171"/>
      <c r="T568" s="1091">
        <f t="shared" si="612"/>
        <v>0</v>
      </c>
      <c r="U568" s="1091">
        <f t="shared" si="613"/>
        <v>0</v>
      </c>
      <c r="V568" s="1091">
        <f t="shared" si="606"/>
        <v>0</v>
      </c>
      <c r="W568" s="1091"/>
      <c r="X568" s="1091">
        <f t="shared" si="614"/>
        <v>0</v>
      </c>
      <c r="Y568" s="1091">
        <f t="shared" si="615"/>
        <v>0</v>
      </c>
      <c r="Z568" s="1091">
        <f t="shared" si="616"/>
        <v>0</v>
      </c>
      <c r="AA568" s="1091">
        <f t="shared" si="617"/>
        <v>0</v>
      </c>
      <c r="AB568" s="1091">
        <f t="shared" si="618"/>
        <v>0</v>
      </c>
      <c r="AD568" s="650">
        <f t="shared" si="604"/>
        <v>0</v>
      </c>
      <c r="AI568" s="1277">
        <f>VLOOKUP(K568,'[2]ผลการเบิกจ่ายสะสม พ.ย. 66'!$C:$N,12,0)</f>
        <v>0</v>
      </c>
      <c r="AJ568" s="1274">
        <f t="shared" si="605"/>
        <v>0</v>
      </c>
    </row>
    <row r="569" spans="1:36" ht="21" customHeight="1" outlineLevel="1" x14ac:dyDescent="0.35">
      <c r="A569" s="313"/>
      <c r="B569" s="293"/>
      <c r="C569" s="293" t="s">
        <v>1139</v>
      </c>
      <c r="D569" s="1168"/>
      <c r="E569" s="1171"/>
      <c r="F569" s="1171"/>
      <c r="G569" s="1171"/>
      <c r="H569" s="1171"/>
      <c r="I569" s="1172"/>
      <c r="J569" s="1172"/>
      <c r="K569" s="1047"/>
      <c r="L569" s="1047"/>
      <c r="M569" s="1171"/>
      <c r="N569" s="1171"/>
      <c r="O569" s="1171"/>
      <c r="P569" s="1171"/>
      <c r="Q569" s="1171"/>
      <c r="R569" s="1171"/>
      <c r="S569" s="1171"/>
      <c r="T569" s="1091">
        <f t="shared" si="612"/>
        <v>0</v>
      </c>
      <c r="U569" s="1091">
        <f t="shared" si="613"/>
        <v>0</v>
      </c>
      <c r="V569" s="1091">
        <f t="shared" si="606"/>
        <v>0</v>
      </c>
      <c r="W569" s="1091"/>
      <c r="X569" s="1091">
        <f t="shared" si="614"/>
        <v>0</v>
      </c>
      <c r="Y569" s="1091">
        <f t="shared" si="615"/>
        <v>0</v>
      </c>
      <c r="Z569" s="1091">
        <f t="shared" si="616"/>
        <v>0</v>
      </c>
      <c r="AA569" s="1091">
        <f t="shared" si="617"/>
        <v>0</v>
      </c>
      <c r="AB569" s="1091">
        <f t="shared" si="618"/>
        <v>0</v>
      </c>
      <c r="AD569" s="650">
        <f t="shared" si="604"/>
        <v>0</v>
      </c>
      <c r="AI569" s="1277">
        <f>VLOOKUP(K569,'[2]ผลการเบิกจ่ายสะสม พ.ย. 66'!$C:$N,12,0)</f>
        <v>0</v>
      </c>
      <c r="AJ569" s="1274">
        <f t="shared" si="605"/>
        <v>0</v>
      </c>
    </row>
    <row r="570" spans="1:36" ht="21" customHeight="1" outlineLevel="1" x14ac:dyDescent="0.35">
      <c r="A570" s="313"/>
      <c r="B570" s="293"/>
      <c r="C570" s="293" t="s">
        <v>1140</v>
      </c>
      <c r="D570" s="1168"/>
      <c r="E570" s="1171"/>
      <c r="F570" s="1171"/>
      <c r="G570" s="1171"/>
      <c r="H570" s="1171"/>
      <c r="I570" s="1172"/>
      <c r="J570" s="1172"/>
      <c r="K570" s="1047"/>
      <c r="L570" s="1047"/>
      <c r="M570" s="1171"/>
      <c r="N570" s="1171"/>
      <c r="O570" s="1171"/>
      <c r="P570" s="1171"/>
      <c r="Q570" s="1171"/>
      <c r="R570" s="1171"/>
      <c r="S570" s="1171"/>
      <c r="T570" s="1091">
        <f t="shared" si="612"/>
        <v>0</v>
      </c>
      <c r="U570" s="1091">
        <f t="shared" si="613"/>
        <v>0</v>
      </c>
      <c r="V570" s="1091">
        <f t="shared" si="606"/>
        <v>0</v>
      </c>
      <c r="W570" s="1091"/>
      <c r="X570" s="1091">
        <f t="shared" si="614"/>
        <v>0</v>
      </c>
      <c r="Y570" s="1091">
        <f t="shared" si="615"/>
        <v>0</v>
      </c>
      <c r="Z570" s="1091">
        <f t="shared" si="616"/>
        <v>0</v>
      </c>
      <c r="AA570" s="1091">
        <f t="shared" si="617"/>
        <v>0</v>
      </c>
      <c r="AB570" s="1091">
        <f t="shared" si="618"/>
        <v>0</v>
      </c>
      <c r="AD570" s="650">
        <f t="shared" si="604"/>
        <v>0</v>
      </c>
      <c r="AI570" s="1277">
        <f>VLOOKUP(K570,'[2]ผลการเบิกจ่ายสะสม พ.ย. 66'!$C:$N,12,0)</f>
        <v>0</v>
      </c>
      <c r="AJ570" s="1274">
        <f t="shared" si="605"/>
        <v>0</v>
      </c>
    </row>
    <row r="571" spans="1:36" ht="21" customHeight="1" outlineLevel="1" x14ac:dyDescent="0.35">
      <c r="A571" s="313"/>
      <c r="B571" s="293"/>
      <c r="C571" s="293" t="s">
        <v>1141</v>
      </c>
      <c r="D571" s="1168"/>
      <c r="E571" s="1171"/>
      <c r="F571" s="1171"/>
      <c r="G571" s="1171"/>
      <c r="H571" s="1171"/>
      <c r="I571" s="1172"/>
      <c r="J571" s="1172"/>
      <c r="K571" s="1047"/>
      <c r="L571" s="1047"/>
      <c r="M571" s="1171"/>
      <c r="N571" s="1171"/>
      <c r="O571" s="1171"/>
      <c r="P571" s="1171"/>
      <c r="Q571" s="1171"/>
      <c r="R571" s="1171"/>
      <c r="S571" s="1171"/>
      <c r="T571" s="1091">
        <f t="shared" si="612"/>
        <v>0</v>
      </c>
      <c r="U571" s="1091">
        <f t="shared" si="613"/>
        <v>0</v>
      </c>
      <c r="V571" s="1091">
        <f t="shared" si="606"/>
        <v>0</v>
      </c>
      <c r="W571" s="1091"/>
      <c r="X571" s="1091">
        <f t="shared" si="614"/>
        <v>0</v>
      </c>
      <c r="Y571" s="1091">
        <f t="shared" si="615"/>
        <v>0</v>
      </c>
      <c r="Z571" s="1091">
        <f t="shared" si="616"/>
        <v>0</v>
      </c>
      <c r="AA571" s="1091">
        <f t="shared" si="617"/>
        <v>0</v>
      </c>
      <c r="AB571" s="1091">
        <f t="shared" si="618"/>
        <v>0</v>
      </c>
      <c r="AD571" s="650">
        <f t="shared" si="604"/>
        <v>0</v>
      </c>
      <c r="AI571" s="1277">
        <f>VLOOKUP(K571,'[2]ผลการเบิกจ่ายสะสม พ.ย. 66'!$C:$N,12,0)</f>
        <v>0</v>
      </c>
      <c r="AJ571" s="1274">
        <f t="shared" si="605"/>
        <v>0</v>
      </c>
    </row>
    <row r="572" spans="1:36" ht="21" customHeight="1" outlineLevel="1" x14ac:dyDescent="0.35">
      <c r="A572" s="313"/>
      <c r="B572" s="293"/>
      <c r="C572" s="293" t="s">
        <v>1142</v>
      </c>
      <c r="D572" s="1168"/>
      <c r="E572" s="1171"/>
      <c r="F572" s="1171"/>
      <c r="G572" s="1171"/>
      <c r="H572" s="1171"/>
      <c r="I572" s="1172"/>
      <c r="J572" s="1172"/>
      <c r="K572" s="1047"/>
      <c r="L572" s="1047"/>
      <c r="M572" s="1171"/>
      <c r="N572" s="1171"/>
      <c r="O572" s="1171"/>
      <c r="P572" s="1171"/>
      <c r="Q572" s="1171"/>
      <c r="R572" s="1171"/>
      <c r="S572" s="1171"/>
      <c r="T572" s="1091">
        <f t="shared" si="612"/>
        <v>0</v>
      </c>
      <c r="U572" s="1091">
        <f t="shared" si="613"/>
        <v>0</v>
      </c>
      <c r="V572" s="1091">
        <f t="shared" si="606"/>
        <v>0</v>
      </c>
      <c r="W572" s="1091"/>
      <c r="X572" s="1091">
        <f t="shared" si="614"/>
        <v>0</v>
      </c>
      <c r="Y572" s="1091">
        <f t="shared" si="615"/>
        <v>0</v>
      </c>
      <c r="Z572" s="1091">
        <f t="shared" si="616"/>
        <v>0</v>
      </c>
      <c r="AA572" s="1091">
        <f t="shared" si="617"/>
        <v>0</v>
      </c>
      <c r="AB572" s="1091">
        <f t="shared" si="618"/>
        <v>0</v>
      </c>
      <c r="AD572" s="650">
        <f t="shared" si="604"/>
        <v>0</v>
      </c>
      <c r="AI572" s="1277">
        <f>VLOOKUP(K572,'[2]ผลการเบิกจ่ายสะสม พ.ย. 66'!$C:$N,12,0)</f>
        <v>0</v>
      </c>
      <c r="AJ572" s="1274">
        <f t="shared" si="605"/>
        <v>0</v>
      </c>
    </row>
    <row r="573" spans="1:36" ht="21" customHeight="1" outlineLevel="1" x14ac:dyDescent="0.35">
      <c r="A573" s="313"/>
      <c r="B573" s="293"/>
      <c r="C573" s="293" t="s">
        <v>1143</v>
      </c>
      <c r="D573" s="1168"/>
      <c r="E573" s="1171"/>
      <c r="F573" s="1171"/>
      <c r="G573" s="1171"/>
      <c r="H573" s="1171"/>
      <c r="I573" s="1172"/>
      <c r="J573" s="1172"/>
      <c r="K573" s="1047"/>
      <c r="L573" s="1047"/>
      <c r="M573" s="1171"/>
      <c r="N573" s="1171"/>
      <c r="O573" s="1171"/>
      <c r="P573" s="1171"/>
      <c r="Q573" s="1171"/>
      <c r="R573" s="1171"/>
      <c r="S573" s="1171"/>
      <c r="T573" s="1091">
        <f t="shared" si="612"/>
        <v>0</v>
      </c>
      <c r="U573" s="1091">
        <f t="shared" si="613"/>
        <v>0</v>
      </c>
      <c r="V573" s="1091">
        <f t="shared" si="606"/>
        <v>0</v>
      </c>
      <c r="W573" s="1091"/>
      <c r="X573" s="1091">
        <f t="shared" si="614"/>
        <v>0</v>
      </c>
      <c r="Y573" s="1091">
        <f t="shared" si="615"/>
        <v>0</v>
      </c>
      <c r="Z573" s="1091">
        <f t="shared" si="616"/>
        <v>0</v>
      </c>
      <c r="AA573" s="1091">
        <f t="shared" si="617"/>
        <v>0</v>
      </c>
      <c r="AB573" s="1091">
        <f t="shared" si="618"/>
        <v>0</v>
      </c>
      <c r="AD573" s="650">
        <f t="shared" si="604"/>
        <v>0</v>
      </c>
      <c r="AI573" s="1277">
        <f>VLOOKUP(K573,'[2]ผลการเบิกจ่ายสะสม พ.ย. 66'!$C:$N,12,0)</f>
        <v>0</v>
      </c>
      <c r="AJ573" s="1274">
        <f t="shared" si="605"/>
        <v>0</v>
      </c>
    </row>
    <row r="574" spans="1:36" ht="21" customHeight="1" outlineLevel="1" x14ac:dyDescent="0.35">
      <c r="A574" s="313"/>
      <c r="B574" s="293"/>
      <c r="C574" s="293" t="s">
        <v>1144</v>
      </c>
      <c r="D574" s="1168"/>
      <c r="E574" s="1171"/>
      <c r="F574" s="1171"/>
      <c r="G574" s="1171"/>
      <c r="H574" s="1171"/>
      <c r="I574" s="1172"/>
      <c r="J574" s="1172"/>
      <c r="K574" s="1047"/>
      <c r="L574" s="1047"/>
      <c r="M574" s="1171"/>
      <c r="N574" s="1171"/>
      <c r="O574" s="1171"/>
      <c r="P574" s="1171"/>
      <c r="Q574" s="1171"/>
      <c r="R574" s="1171"/>
      <c r="S574" s="1171"/>
      <c r="T574" s="1091">
        <f t="shared" si="612"/>
        <v>0</v>
      </c>
      <c r="U574" s="1091">
        <f t="shared" si="613"/>
        <v>0</v>
      </c>
      <c r="V574" s="1091">
        <f t="shared" si="606"/>
        <v>0</v>
      </c>
      <c r="W574" s="1091"/>
      <c r="X574" s="1091">
        <f t="shared" si="614"/>
        <v>0</v>
      </c>
      <c r="Y574" s="1091">
        <f t="shared" si="615"/>
        <v>0</v>
      </c>
      <c r="Z574" s="1091">
        <f t="shared" si="616"/>
        <v>0</v>
      </c>
      <c r="AA574" s="1091">
        <f t="shared" si="617"/>
        <v>0</v>
      </c>
      <c r="AB574" s="1091">
        <f t="shared" si="618"/>
        <v>0</v>
      </c>
      <c r="AD574" s="650">
        <f t="shared" si="604"/>
        <v>0</v>
      </c>
      <c r="AI574" s="1277">
        <f>VLOOKUP(K574,'[2]ผลการเบิกจ่ายสะสม พ.ย. 66'!$C:$N,12,0)</f>
        <v>0</v>
      </c>
      <c r="AJ574" s="1274">
        <f t="shared" si="605"/>
        <v>0</v>
      </c>
    </row>
    <row r="575" spans="1:36" ht="21" customHeight="1" outlineLevel="1" x14ac:dyDescent="0.35">
      <c r="A575" s="313"/>
      <c r="B575" s="293"/>
      <c r="C575" s="293" t="s">
        <v>1145</v>
      </c>
      <c r="D575" s="1168"/>
      <c r="E575" s="1171"/>
      <c r="F575" s="1171"/>
      <c r="G575" s="1171"/>
      <c r="H575" s="1171"/>
      <c r="I575" s="1172"/>
      <c r="J575" s="1172"/>
      <c r="K575" s="1047"/>
      <c r="L575" s="1047"/>
      <c r="M575" s="1171"/>
      <c r="N575" s="1171"/>
      <c r="O575" s="1171"/>
      <c r="P575" s="1171"/>
      <c r="Q575" s="1171"/>
      <c r="R575" s="1171"/>
      <c r="S575" s="1171"/>
      <c r="T575" s="1091">
        <f t="shared" si="612"/>
        <v>0</v>
      </c>
      <c r="U575" s="1091">
        <f t="shared" si="613"/>
        <v>0</v>
      </c>
      <c r="V575" s="1091">
        <f t="shared" si="606"/>
        <v>0</v>
      </c>
      <c r="W575" s="1091"/>
      <c r="X575" s="1091">
        <f t="shared" si="614"/>
        <v>0</v>
      </c>
      <c r="Y575" s="1091">
        <f t="shared" si="615"/>
        <v>0</v>
      </c>
      <c r="Z575" s="1091">
        <f t="shared" si="616"/>
        <v>0</v>
      </c>
      <c r="AA575" s="1091">
        <f t="shared" si="617"/>
        <v>0</v>
      </c>
      <c r="AB575" s="1091">
        <f t="shared" si="618"/>
        <v>0</v>
      </c>
      <c r="AD575" s="650">
        <f t="shared" si="604"/>
        <v>0</v>
      </c>
      <c r="AI575" s="1277">
        <f>VLOOKUP(K575,'[2]ผลการเบิกจ่ายสะสม พ.ย. 66'!$C:$N,12,0)</f>
        <v>0</v>
      </c>
      <c r="AJ575" s="1274">
        <f t="shared" si="605"/>
        <v>0</v>
      </c>
    </row>
    <row r="576" spans="1:36" ht="21" customHeight="1" outlineLevel="1" x14ac:dyDescent="0.35">
      <c r="A576" s="313"/>
      <c r="B576" s="293"/>
      <c r="C576" s="293" t="s">
        <v>1146</v>
      </c>
      <c r="D576" s="1168"/>
      <c r="E576" s="1171"/>
      <c r="F576" s="1171"/>
      <c r="G576" s="1171"/>
      <c r="H576" s="1171"/>
      <c r="I576" s="1172"/>
      <c r="J576" s="1172"/>
      <c r="K576" s="1047"/>
      <c r="L576" s="1047"/>
      <c r="M576" s="1171"/>
      <c r="N576" s="1171"/>
      <c r="O576" s="1171"/>
      <c r="P576" s="1171"/>
      <c r="Q576" s="1171"/>
      <c r="R576" s="1171"/>
      <c r="S576" s="1171"/>
      <c r="T576" s="1091">
        <f t="shared" si="612"/>
        <v>0</v>
      </c>
      <c r="U576" s="1091">
        <f t="shared" si="613"/>
        <v>0</v>
      </c>
      <c r="V576" s="1091">
        <f t="shared" si="606"/>
        <v>0</v>
      </c>
      <c r="W576" s="1091"/>
      <c r="X576" s="1091">
        <f t="shared" si="614"/>
        <v>0</v>
      </c>
      <c r="Y576" s="1091">
        <f t="shared" si="615"/>
        <v>0</v>
      </c>
      <c r="Z576" s="1091">
        <f t="shared" si="616"/>
        <v>0</v>
      </c>
      <c r="AA576" s="1091">
        <f t="shared" si="617"/>
        <v>0</v>
      </c>
      <c r="AB576" s="1091">
        <f t="shared" si="618"/>
        <v>0</v>
      </c>
      <c r="AD576" s="650">
        <f t="shared" si="604"/>
        <v>0</v>
      </c>
      <c r="AI576" s="1277">
        <f>VLOOKUP(K576,'[2]ผลการเบิกจ่ายสะสม พ.ย. 66'!$C:$N,12,0)</f>
        <v>0</v>
      </c>
      <c r="AJ576" s="1274">
        <f t="shared" si="605"/>
        <v>0</v>
      </c>
    </row>
    <row r="577" spans="1:36" ht="21" customHeight="1" outlineLevel="1" x14ac:dyDescent="0.35">
      <c r="A577" s="313"/>
      <c r="B577" s="293"/>
      <c r="C577" s="293" t="s">
        <v>1147</v>
      </c>
      <c r="D577" s="1168"/>
      <c r="E577" s="1171"/>
      <c r="F577" s="1171"/>
      <c r="G577" s="1171"/>
      <c r="H577" s="1171"/>
      <c r="I577" s="1172"/>
      <c r="J577" s="1172"/>
      <c r="K577" s="1047"/>
      <c r="L577" s="1047"/>
      <c r="M577" s="1171"/>
      <c r="N577" s="1171"/>
      <c r="O577" s="1171"/>
      <c r="P577" s="1171"/>
      <c r="Q577" s="1171"/>
      <c r="R577" s="1171"/>
      <c r="S577" s="1171"/>
      <c r="T577" s="1091">
        <f t="shared" si="612"/>
        <v>0</v>
      </c>
      <c r="U577" s="1091">
        <f t="shared" si="613"/>
        <v>0</v>
      </c>
      <c r="V577" s="1091">
        <f t="shared" si="606"/>
        <v>0</v>
      </c>
      <c r="W577" s="1091"/>
      <c r="X577" s="1091">
        <f t="shared" si="614"/>
        <v>0</v>
      </c>
      <c r="Y577" s="1091">
        <f t="shared" si="615"/>
        <v>0</v>
      </c>
      <c r="Z577" s="1091">
        <f t="shared" si="616"/>
        <v>0</v>
      </c>
      <c r="AA577" s="1091">
        <f t="shared" si="617"/>
        <v>0</v>
      </c>
      <c r="AB577" s="1091">
        <f t="shared" si="618"/>
        <v>0</v>
      </c>
      <c r="AD577" s="650">
        <f t="shared" si="604"/>
        <v>0</v>
      </c>
      <c r="AI577" s="1277">
        <f>VLOOKUP(K577,'[2]ผลการเบิกจ่ายสะสม พ.ย. 66'!$C:$N,12,0)</f>
        <v>0</v>
      </c>
      <c r="AJ577" s="1274">
        <f t="shared" si="605"/>
        <v>0</v>
      </c>
    </row>
    <row r="578" spans="1:36" ht="21" customHeight="1" outlineLevel="1" x14ac:dyDescent="0.35">
      <c r="A578" s="313"/>
      <c r="B578" s="293"/>
      <c r="C578" s="293" t="s">
        <v>1148</v>
      </c>
      <c r="D578" s="1168"/>
      <c r="E578" s="1171"/>
      <c r="F578" s="1171"/>
      <c r="G578" s="1171"/>
      <c r="H578" s="1171"/>
      <c r="I578" s="1172"/>
      <c r="J578" s="1172"/>
      <c r="K578" s="1047"/>
      <c r="L578" s="1047"/>
      <c r="M578" s="1171"/>
      <c r="N578" s="1171"/>
      <c r="O578" s="1171"/>
      <c r="P578" s="1171"/>
      <c r="Q578" s="1171"/>
      <c r="R578" s="1171"/>
      <c r="S578" s="1171"/>
      <c r="T578" s="1091">
        <f t="shared" si="612"/>
        <v>0</v>
      </c>
      <c r="U578" s="1091">
        <f t="shared" si="613"/>
        <v>0</v>
      </c>
      <c r="V578" s="1091">
        <f t="shared" si="606"/>
        <v>0</v>
      </c>
      <c r="W578" s="1091"/>
      <c r="X578" s="1091">
        <f t="shared" si="614"/>
        <v>0</v>
      </c>
      <c r="Y578" s="1091">
        <f t="shared" si="615"/>
        <v>0</v>
      </c>
      <c r="Z578" s="1091">
        <f t="shared" si="616"/>
        <v>0</v>
      </c>
      <c r="AA578" s="1091">
        <f t="shared" si="617"/>
        <v>0</v>
      </c>
      <c r="AB578" s="1091">
        <f t="shared" si="618"/>
        <v>0</v>
      </c>
      <c r="AD578" s="650">
        <f t="shared" si="604"/>
        <v>0</v>
      </c>
      <c r="AI578" s="1277">
        <f>VLOOKUP(K578,'[2]ผลการเบิกจ่ายสะสม พ.ย. 66'!$C:$N,12,0)</f>
        <v>0</v>
      </c>
      <c r="AJ578" s="1274">
        <f t="shared" si="605"/>
        <v>0</v>
      </c>
    </row>
    <row r="579" spans="1:36" ht="21" customHeight="1" outlineLevel="1" x14ac:dyDescent="0.35">
      <c r="A579" s="313"/>
      <c r="B579" s="293"/>
      <c r="C579" s="293" t="s">
        <v>1149</v>
      </c>
      <c r="D579" s="1168"/>
      <c r="E579" s="1171"/>
      <c r="F579" s="1171"/>
      <c r="G579" s="1171"/>
      <c r="H579" s="1171"/>
      <c r="I579" s="1172"/>
      <c r="J579" s="1172"/>
      <c r="K579" s="1047"/>
      <c r="L579" s="1047"/>
      <c r="M579" s="1171"/>
      <c r="N579" s="1171"/>
      <c r="O579" s="1171"/>
      <c r="P579" s="1171"/>
      <c r="Q579" s="1171"/>
      <c r="R579" s="1171"/>
      <c r="S579" s="1171"/>
      <c r="T579" s="1091">
        <f t="shared" si="612"/>
        <v>0</v>
      </c>
      <c r="U579" s="1091">
        <f t="shared" si="613"/>
        <v>0</v>
      </c>
      <c r="V579" s="1091">
        <f t="shared" si="606"/>
        <v>0</v>
      </c>
      <c r="W579" s="1091"/>
      <c r="X579" s="1091">
        <f t="shared" si="614"/>
        <v>0</v>
      </c>
      <c r="Y579" s="1091">
        <f t="shared" si="615"/>
        <v>0</v>
      </c>
      <c r="Z579" s="1091">
        <f t="shared" si="616"/>
        <v>0</v>
      </c>
      <c r="AA579" s="1091">
        <f t="shared" si="617"/>
        <v>0</v>
      </c>
      <c r="AB579" s="1091">
        <f t="shared" si="618"/>
        <v>0</v>
      </c>
      <c r="AD579" s="650">
        <f t="shared" si="604"/>
        <v>0</v>
      </c>
      <c r="AI579" s="1277">
        <f>VLOOKUP(K579,'[2]ผลการเบิกจ่ายสะสม พ.ย. 66'!$C:$N,12,0)</f>
        <v>0</v>
      </c>
      <c r="AJ579" s="1274">
        <f t="shared" si="605"/>
        <v>0</v>
      </c>
    </row>
    <row r="580" spans="1:36" ht="21" customHeight="1" outlineLevel="1" x14ac:dyDescent="0.35">
      <c r="A580" s="313"/>
      <c r="B580" s="293"/>
      <c r="C580" s="293" t="s">
        <v>1150</v>
      </c>
      <c r="D580" s="1168"/>
      <c r="E580" s="1171"/>
      <c r="F580" s="1171"/>
      <c r="G580" s="1171"/>
      <c r="H580" s="1171"/>
      <c r="I580" s="1172"/>
      <c r="J580" s="1172"/>
      <c r="K580" s="1047"/>
      <c r="L580" s="1047"/>
      <c r="M580" s="1171"/>
      <c r="N580" s="1171"/>
      <c r="O580" s="1171"/>
      <c r="P580" s="1171"/>
      <c r="Q580" s="1171"/>
      <c r="R580" s="1171"/>
      <c r="S580" s="1171"/>
      <c r="T580" s="1091">
        <f t="shared" si="612"/>
        <v>0</v>
      </c>
      <c r="U580" s="1091">
        <f t="shared" si="613"/>
        <v>0</v>
      </c>
      <c r="V580" s="1091">
        <f t="shared" si="606"/>
        <v>0</v>
      </c>
      <c r="W580" s="1091"/>
      <c r="X580" s="1091">
        <f t="shared" si="614"/>
        <v>0</v>
      </c>
      <c r="Y580" s="1091">
        <f t="shared" si="615"/>
        <v>0</v>
      </c>
      <c r="Z580" s="1091">
        <f t="shared" si="616"/>
        <v>0</v>
      </c>
      <c r="AA580" s="1091">
        <f t="shared" si="617"/>
        <v>0</v>
      </c>
      <c r="AB580" s="1091">
        <f t="shared" si="618"/>
        <v>0</v>
      </c>
      <c r="AD580" s="650">
        <f t="shared" si="604"/>
        <v>0</v>
      </c>
      <c r="AI580" s="1277">
        <f>VLOOKUP(K580,'[2]ผลการเบิกจ่ายสะสม พ.ย. 66'!$C:$N,12,0)</f>
        <v>0</v>
      </c>
      <c r="AJ580" s="1274">
        <f t="shared" si="605"/>
        <v>0</v>
      </c>
    </row>
    <row r="581" spans="1:36" ht="21" customHeight="1" outlineLevel="1" x14ac:dyDescent="0.35">
      <c r="A581" s="313"/>
      <c r="B581" s="293"/>
      <c r="C581" s="293" t="s">
        <v>1151</v>
      </c>
      <c r="D581" s="1168"/>
      <c r="E581" s="1171"/>
      <c r="F581" s="1171"/>
      <c r="G581" s="1171"/>
      <c r="H581" s="1171"/>
      <c r="I581" s="1172"/>
      <c r="J581" s="1172"/>
      <c r="K581" s="1047"/>
      <c r="L581" s="1047"/>
      <c r="M581" s="1171"/>
      <c r="N581" s="1171"/>
      <c r="O581" s="1171"/>
      <c r="P581" s="1171"/>
      <c r="Q581" s="1171"/>
      <c r="R581" s="1171"/>
      <c r="S581" s="1171"/>
      <c r="T581" s="1091">
        <f t="shared" si="612"/>
        <v>0</v>
      </c>
      <c r="U581" s="1091">
        <f t="shared" si="613"/>
        <v>0</v>
      </c>
      <c r="V581" s="1091">
        <f t="shared" si="606"/>
        <v>0</v>
      </c>
      <c r="W581" s="1091"/>
      <c r="X581" s="1091">
        <f t="shared" si="614"/>
        <v>0</v>
      </c>
      <c r="Y581" s="1091">
        <f t="shared" si="615"/>
        <v>0</v>
      </c>
      <c r="Z581" s="1091">
        <f t="shared" si="616"/>
        <v>0</v>
      </c>
      <c r="AA581" s="1091">
        <f t="shared" si="617"/>
        <v>0</v>
      </c>
      <c r="AB581" s="1091">
        <f t="shared" si="618"/>
        <v>0</v>
      </c>
      <c r="AD581" s="650">
        <f t="shared" si="604"/>
        <v>0</v>
      </c>
      <c r="AI581" s="1277">
        <f>VLOOKUP(K581,'[2]ผลการเบิกจ่ายสะสม พ.ย. 66'!$C:$N,12,0)</f>
        <v>0</v>
      </c>
      <c r="AJ581" s="1274">
        <f t="shared" si="605"/>
        <v>0</v>
      </c>
    </row>
    <row r="582" spans="1:36" ht="21" customHeight="1" outlineLevel="1" x14ac:dyDescent="0.35">
      <c r="A582" s="313"/>
      <c r="B582" s="293"/>
      <c r="C582" s="293" t="s">
        <v>1152</v>
      </c>
      <c r="D582" s="1168"/>
      <c r="E582" s="1171"/>
      <c r="F582" s="1171"/>
      <c r="G582" s="1171"/>
      <c r="H582" s="1171"/>
      <c r="I582" s="1172"/>
      <c r="J582" s="1172"/>
      <c r="K582" s="1047"/>
      <c r="L582" s="1047"/>
      <c r="M582" s="1171"/>
      <c r="N582" s="1171"/>
      <c r="O582" s="1171"/>
      <c r="P582" s="1171"/>
      <c r="Q582" s="1171"/>
      <c r="R582" s="1171"/>
      <c r="S582" s="1171"/>
      <c r="T582" s="1091">
        <f t="shared" si="612"/>
        <v>0</v>
      </c>
      <c r="U582" s="1091">
        <f t="shared" si="613"/>
        <v>0</v>
      </c>
      <c r="V582" s="1091">
        <f t="shared" si="606"/>
        <v>0</v>
      </c>
      <c r="W582" s="1091"/>
      <c r="X582" s="1091">
        <f t="shared" si="614"/>
        <v>0</v>
      </c>
      <c r="Y582" s="1091">
        <f t="shared" si="615"/>
        <v>0</v>
      </c>
      <c r="Z582" s="1091">
        <f t="shared" si="616"/>
        <v>0</v>
      </c>
      <c r="AA582" s="1091">
        <f t="shared" si="617"/>
        <v>0</v>
      </c>
      <c r="AB582" s="1091">
        <f t="shared" si="618"/>
        <v>0</v>
      </c>
      <c r="AD582" s="650">
        <f t="shared" si="604"/>
        <v>0</v>
      </c>
      <c r="AI582" s="1277">
        <f>VLOOKUP(K582,'[2]ผลการเบิกจ่ายสะสม พ.ย. 66'!$C:$N,12,0)</f>
        <v>0</v>
      </c>
      <c r="AJ582" s="1274">
        <f t="shared" si="605"/>
        <v>0</v>
      </c>
    </row>
    <row r="583" spans="1:36" ht="21" customHeight="1" outlineLevel="1" x14ac:dyDescent="0.35">
      <c r="A583" s="313"/>
      <c r="B583" s="293"/>
      <c r="C583" s="293" t="s">
        <v>1153</v>
      </c>
      <c r="D583" s="1168"/>
      <c r="E583" s="1171"/>
      <c r="F583" s="1171"/>
      <c r="G583" s="1171"/>
      <c r="H583" s="1171"/>
      <c r="I583" s="1172"/>
      <c r="J583" s="1172"/>
      <c r="K583" s="1047"/>
      <c r="L583" s="1047"/>
      <c r="M583" s="1171"/>
      <c r="N583" s="1171"/>
      <c r="O583" s="1171"/>
      <c r="P583" s="1171"/>
      <c r="Q583" s="1171"/>
      <c r="R583" s="1171"/>
      <c r="S583" s="1171"/>
      <c r="T583" s="1091">
        <f t="shared" si="612"/>
        <v>0</v>
      </c>
      <c r="U583" s="1091">
        <f t="shared" si="613"/>
        <v>0</v>
      </c>
      <c r="V583" s="1091">
        <f t="shared" si="606"/>
        <v>0</v>
      </c>
      <c r="W583" s="1091"/>
      <c r="X583" s="1091">
        <f t="shared" si="614"/>
        <v>0</v>
      </c>
      <c r="Y583" s="1091">
        <f t="shared" si="615"/>
        <v>0</v>
      </c>
      <c r="Z583" s="1091">
        <f t="shared" si="616"/>
        <v>0</v>
      </c>
      <c r="AA583" s="1091">
        <f t="shared" si="617"/>
        <v>0</v>
      </c>
      <c r="AB583" s="1091">
        <f t="shared" si="618"/>
        <v>0</v>
      </c>
      <c r="AD583" s="650">
        <f t="shared" si="604"/>
        <v>0</v>
      </c>
      <c r="AI583" s="1277">
        <f>VLOOKUP(K583,'[2]ผลการเบิกจ่ายสะสม พ.ย. 66'!$C:$N,12,0)</f>
        <v>0</v>
      </c>
      <c r="AJ583" s="1274">
        <f t="shared" si="605"/>
        <v>0</v>
      </c>
    </row>
    <row r="584" spans="1:36" ht="21" customHeight="1" outlineLevel="1" x14ac:dyDescent="0.35">
      <c r="A584" s="313"/>
      <c r="B584" s="293"/>
      <c r="C584" s="293" t="s">
        <v>1154</v>
      </c>
      <c r="D584" s="1168"/>
      <c r="E584" s="1171"/>
      <c r="F584" s="1171"/>
      <c r="G584" s="1171"/>
      <c r="H584" s="1171"/>
      <c r="I584" s="1172"/>
      <c r="J584" s="1172"/>
      <c r="K584" s="1047"/>
      <c r="L584" s="1047"/>
      <c r="M584" s="1171"/>
      <c r="N584" s="1171"/>
      <c r="O584" s="1171"/>
      <c r="P584" s="1171"/>
      <c r="Q584" s="1171"/>
      <c r="R584" s="1171"/>
      <c r="S584" s="1171"/>
      <c r="T584" s="1091">
        <f t="shared" si="612"/>
        <v>0</v>
      </c>
      <c r="U584" s="1091">
        <f t="shared" si="613"/>
        <v>0</v>
      </c>
      <c r="V584" s="1091">
        <f t="shared" si="606"/>
        <v>0</v>
      </c>
      <c r="W584" s="1091"/>
      <c r="X584" s="1091">
        <f t="shared" si="614"/>
        <v>0</v>
      </c>
      <c r="Y584" s="1091">
        <f t="shared" si="615"/>
        <v>0</v>
      </c>
      <c r="Z584" s="1091">
        <f t="shared" si="616"/>
        <v>0</v>
      </c>
      <c r="AA584" s="1091">
        <f t="shared" si="617"/>
        <v>0</v>
      </c>
      <c r="AB584" s="1091">
        <f t="shared" si="618"/>
        <v>0</v>
      </c>
      <c r="AD584" s="650">
        <f t="shared" si="604"/>
        <v>0</v>
      </c>
      <c r="AI584" s="1277">
        <f>VLOOKUP(K584,'[2]ผลการเบิกจ่ายสะสม พ.ย. 66'!$C:$N,12,0)</f>
        <v>0</v>
      </c>
      <c r="AJ584" s="1274">
        <f t="shared" si="605"/>
        <v>0</v>
      </c>
    </row>
    <row r="585" spans="1:36" ht="21" customHeight="1" outlineLevel="1" x14ac:dyDescent="0.35">
      <c r="A585" s="313"/>
      <c r="B585" s="293"/>
      <c r="C585" s="293" t="s">
        <v>1155</v>
      </c>
      <c r="D585" s="1168"/>
      <c r="E585" s="1171"/>
      <c r="F585" s="1171"/>
      <c r="G585" s="1171"/>
      <c r="H585" s="1171"/>
      <c r="I585" s="1172"/>
      <c r="J585" s="1172"/>
      <c r="K585" s="1047"/>
      <c r="L585" s="1047"/>
      <c r="M585" s="1171"/>
      <c r="N585" s="1171"/>
      <c r="O585" s="1171"/>
      <c r="P585" s="1171"/>
      <c r="Q585" s="1171"/>
      <c r="R585" s="1171"/>
      <c r="S585" s="1171"/>
      <c r="T585" s="1091">
        <f t="shared" si="612"/>
        <v>0</v>
      </c>
      <c r="U585" s="1091">
        <f t="shared" si="613"/>
        <v>0</v>
      </c>
      <c r="V585" s="1091">
        <f t="shared" si="606"/>
        <v>0</v>
      </c>
      <c r="W585" s="1091"/>
      <c r="X585" s="1091">
        <f t="shared" si="614"/>
        <v>0</v>
      </c>
      <c r="Y585" s="1091">
        <f t="shared" si="615"/>
        <v>0</v>
      </c>
      <c r="Z585" s="1091">
        <f t="shared" si="616"/>
        <v>0</v>
      </c>
      <c r="AA585" s="1091">
        <f t="shared" si="617"/>
        <v>0</v>
      </c>
      <c r="AB585" s="1091">
        <f t="shared" si="618"/>
        <v>0</v>
      </c>
      <c r="AD585" s="650">
        <f t="shared" si="604"/>
        <v>0</v>
      </c>
      <c r="AI585" s="1277">
        <f>VLOOKUP(K585,'[2]ผลการเบิกจ่ายสะสม พ.ย. 66'!$C:$N,12,0)</f>
        <v>0</v>
      </c>
      <c r="AJ585" s="1274">
        <f t="shared" si="605"/>
        <v>0</v>
      </c>
    </row>
    <row r="586" spans="1:36" ht="21" customHeight="1" outlineLevel="1" x14ac:dyDescent="0.35">
      <c r="A586" s="313"/>
      <c r="B586" s="293"/>
      <c r="C586" s="293" t="s">
        <v>1156</v>
      </c>
      <c r="D586" s="1168"/>
      <c r="E586" s="1171"/>
      <c r="F586" s="1171"/>
      <c r="G586" s="1171"/>
      <c r="H586" s="1171"/>
      <c r="I586" s="1172"/>
      <c r="J586" s="1172"/>
      <c r="K586" s="1047"/>
      <c r="L586" s="1047"/>
      <c r="M586" s="1171"/>
      <c r="N586" s="1171"/>
      <c r="O586" s="1171"/>
      <c r="P586" s="1171"/>
      <c r="Q586" s="1171"/>
      <c r="R586" s="1171"/>
      <c r="S586" s="1171"/>
      <c r="T586" s="1091">
        <f t="shared" si="612"/>
        <v>0</v>
      </c>
      <c r="U586" s="1091">
        <f t="shared" si="613"/>
        <v>0</v>
      </c>
      <c r="V586" s="1091">
        <f t="shared" si="606"/>
        <v>0</v>
      </c>
      <c r="W586" s="1091"/>
      <c r="X586" s="1091">
        <f t="shared" si="614"/>
        <v>0</v>
      </c>
      <c r="Y586" s="1091">
        <f t="shared" si="615"/>
        <v>0</v>
      </c>
      <c r="Z586" s="1091">
        <f t="shared" si="616"/>
        <v>0</v>
      </c>
      <c r="AA586" s="1091">
        <f t="shared" si="617"/>
        <v>0</v>
      </c>
      <c r="AB586" s="1091">
        <f t="shared" si="618"/>
        <v>0</v>
      </c>
      <c r="AD586" s="650">
        <f t="shared" si="604"/>
        <v>0</v>
      </c>
      <c r="AI586" s="1277">
        <f>VLOOKUP(K586,'[2]ผลการเบิกจ่ายสะสม พ.ย. 66'!$C:$N,12,0)</f>
        <v>0</v>
      </c>
      <c r="AJ586" s="1274">
        <f t="shared" si="605"/>
        <v>0</v>
      </c>
    </row>
    <row r="587" spans="1:36" ht="21" customHeight="1" outlineLevel="1" x14ac:dyDescent="0.35">
      <c r="A587" s="313"/>
      <c r="B587" s="293"/>
      <c r="C587" s="293" t="s">
        <v>1157</v>
      </c>
      <c r="D587" s="1168"/>
      <c r="E587" s="1171"/>
      <c r="F587" s="1171"/>
      <c r="G587" s="1171"/>
      <c r="H587" s="1171"/>
      <c r="I587" s="1172"/>
      <c r="J587" s="1172"/>
      <c r="K587" s="1047"/>
      <c r="L587" s="1047"/>
      <c r="M587" s="1171"/>
      <c r="N587" s="1171"/>
      <c r="O587" s="1171"/>
      <c r="P587" s="1171"/>
      <c r="Q587" s="1171"/>
      <c r="R587" s="1171"/>
      <c r="S587" s="1171"/>
      <c r="T587" s="1091">
        <f t="shared" si="612"/>
        <v>0</v>
      </c>
      <c r="U587" s="1091">
        <f t="shared" si="613"/>
        <v>0</v>
      </c>
      <c r="V587" s="1091">
        <f t="shared" si="606"/>
        <v>0</v>
      </c>
      <c r="W587" s="1091"/>
      <c r="X587" s="1091">
        <f t="shared" si="614"/>
        <v>0</v>
      </c>
      <c r="Y587" s="1091">
        <f t="shared" si="615"/>
        <v>0</v>
      </c>
      <c r="Z587" s="1091">
        <f t="shared" si="616"/>
        <v>0</v>
      </c>
      <c r="AA587" s="1091">
        <f t="shared" si="617"/>
        <v>0</v>
      </c>
      <c r="AB587" s="1091">
        <f t="shared" si="618"/>
        <v>0</v>
      </c>
      <c r="AD587" s="650">
        <f t="shared" si="604"/>
        <v>0</v>
      </c>
      <c r="AI587" s="1277">
        <f>VLOOKUP(K587,'[2]ผลการเบิกจ่ายสะสม พ.ย. 66'!$C:$N,12,0)</f>
        <v>0</v>
      </c>
      <c r="AJ587" s="1274">
        <f t="shared" si="605"/>
        <v>0</v>
      </c>
    </row>
    <row r="588" spans="1:36" ht="21" customHeight="1" outlineLevel="1" x14ac:dyDescent="0.35">
      <c r="A588" s="313"/>
      <c r="B588" s="293"/>
      <c r="C588" s="293" t="s">
        <v>1158</v>
      </c>
      <c r="D588" s="1168"/>
      <c r="E588" s="1171"/>
      <c r="F588" s="1171"/>
      <c r="G588" s="1171"/>
      <c r="H588" s="1171"/>
      <c r="I588" s="1172"/>
      <c r="J588" s="1172"/>
      <c r="K588" s="1047"/>
      <c r="L588" s="1047"/>
      <c r="M588" s="1171"/>
      <c r="N588" s="1171"/>
      <c r="O588" s="1171"/>
      <c r="P588" s="1171"/>
      <c r="Q588" s="1171"/>
      <c r="R588" s="1171"/>
      <c r="S588" s="1171"/>
      <c r="T588" s="1091">
        <f t="shared" si="612"/>
        <v>0</v>
      </c>
      <c r="U588" s="1091">
        <f t="shared" si="613"/>
        <v>0</v>
      </c>
      <c r="V588" s="1091">
        <f t="shared" si="606"/>
        <v>0</v>
      </c>
      <c r="W588" s="1091"/>
      <c r="X588" s="1091">
        <f t="shared" si="614"/>
        <v>0</v>
      </c>
      <c r="Y588" s="1091">
        <f t="shared" si="615"/>
        <v>0</v>
      </c>
      <c r="Z588" s="1091">
        <f t="shared" si="616"/>
        <v>0</v>
      </c>
      <c r="AA588" s="1091">
        <f t="shared" si="617"/>
        <v>0</v>
      </c>
      <c r="AB588" s="1091">
        <f t="shared" si="618"/>
        <v>0</v>
      </c>
      <c r="AD588" s="650">
        <f t="shared" si="604"/>
        <v>0</v>
      </c>
      <c r="AI588" s="1277">
        <f>VLOOKUP(K588,'[2]ผลการเบิกจ่ายสะสม พ.ย. 66'!$C:$N,12,0)</f>
        <v>0</v>
      </c>
      <c r="AJ588" s="1274">
        <f t="shared" si="605"/>
        <v>0</v>
      </c>
    </row>
    <row r="589" spans="1:36" ht="21" customHeight="1" outlineLevel="1" x14ac:dyDescent="0.35">
      <c r="A589" s="313"/>
      <c r="B589" s="293"/>
      <c r="C589" s="293" t="s">
        <v>1159</v>
      </c>
      <c r="D589" s="1168"/>
      <c r="E589" s="1171"/>
      <c r="F589" s="1171"/>
      <c r="G589" s="1171"/>
      <c r="H589" s="1171"/>
      <c r="I589" s="1172"/>
      <c r="J589" s="1172"/>
      <c r="K589" s="1047"/>
      <c r="L589" s="1047"/>
      <c r="M589" s="1171"/>
      <c r="N589" s="1171"/>
      <c r="O589" s="1171"/>
      <c r="P589" s="1171"/>
      <c r="Q589" s="1171"/>
      <c r="R589" s="1171"/>
      <c r="S589" s="1171"/>
      <c r="T589" s="1091">
        <f t="shared" si="612"/>
        <v>0</v>
      </c>
      <c r="U589" s="1091">
        <f t="shared" si="613"/>
        <v>0</v>
      </c>
      <c r="V589" s="1091">
        <f t="shared" si="606"/>
        <v>0</v>
      </c>
      <c r="W589" s="1091"/>
      <c r="X589" s="1091">
        <f t="shared" si="614"/>
        <v>0</v>
      </c>
      <c r="Y589" s="1091">
        <f t="shared" si="615"/>
        <v>0</v>
      </c>
      <c r="Z589" s="1091">
        <f t="shared" si="616"/>
        <v>0</v>
      </c>
      <c r="AA589" s="1091">
        <f t="shared" si="617"/>
        <v>0</v>
      </c>
      <c r="AB589" s="1091">
        <f t="shared" si="618"/>
        <v>0</v>
      </c>
      <c r="AD589" s="650">
        <f t="shared" si="604"/>
        <v>0</v>
      </c>
      <c r="AI589" s="1277">
        <f>VLOOKUP(K589,'[2]ผลการเบิกจ่ายสะสม พ.ย. 66'!$C:$N,12,0)</f>
        <v>0</v>
      </c>
      <c r="AJ589" s="1274">
        <f t="shared" si="605"/>
        <v>0</v>
      </c>
    </row>
    <row r="590" spans="1:36" ht="21" customHeight="1" outlineLevel="1" x14ac:dyDescent="0.35">
      <c r="A590" s="313"/>
      <c r="B590" s="293"/>
      <c r="C590" s="293" t="s">
        <v>1160</v>
      </c>
      <c r="D590" s="1168"/>
      <c r="E590" s="1171"/>
      <c r="F590" s="1171"/>
      <c r="G590" s="1171"/>
      <c r="H590" s="1171"/>
      <c r="I590" s="1172"/>
      <c r="J590" s="1172"/>
      <c r="K590" s="1047"/>
      <c r="L590" s="1047"/>
      <c r="M590" s="1171"/>
      <c r="N590" s="1171"/>
      <c r="O590" s="1171"/>
      <c r="P590" s="1171"/>
      <c r="Q590" s="1171"/>
      <c r="R590" s="1171"/>
      <c r="S590" s="1171"/>
      <c r="T590" s="1091">
        <f t="shared" si="612"/>
        <v>0</v>
      </c>
      <c r="U590" s="1091">
        <f t="shared" si="613"/>
        <v>0</v>
      </c>
      <c r="V590" s="1091">
        <f t="shared" si="606"/>
        <v>0</v>
      </c>
      <c r="W590" s="1091"/>
      <c r="X590" s="1091">
        <f t="shared" si="614"/>
        <v>0</v>
      </c>
      <c r="Y590" s="1091">
        <f t="shared" si="615"/>
        <v>0</v>
      </c>
      <c r="Z590" s="1091">
        <f t="shared" si="616"/>
        <v>0</v>
      </c>
      <c r="AA590" s="1091">
        <f t="shared" si="617"/>
        <v>0</v>
      </c>
      <c r="AB590" s="1091">
        <f t="shared" si="618"/>
        <v>0</v>
      </c>
      <c r="AD590" s="650">
        <f t="shared" ref="AD590:AD653" si="619">+N590+O590-R590-S590-U590</f>
        <v>0</v>
      </c>
      <c r="AI590" s="1277">
        <f>VLOOKUP(K590,'[2]ผลการเบิกจ่ายสะสม พ.ย. 66'!$C:$N,12,0)</f>
        <v>0</v>
      </c>
      <c r="AJ590" s="1274">
        <f t="shared" si="605"/>
        <v>0</v>
      </c>
    </row>
    <row r="591" spans="1:36" ht="21" customHeight="1" outlineLevel="1" x14ac:dyDescent="0.35">
      <c r="A591" s="313"/>
      <c r="B591" s="293"/>
      <c r="C591" s="293" t="s">
        <v>1161</v>
      </c>
      <c r="D591" s="1168"/>
      <c r="E591" s="1171"/>
      <c r="F591" s="1171"/>
      <c r="G591" s="1171"/>
      <c r="H591" s="1171"/>
      <c r="I591" s="1172"/>
      <c r="J591" s="1172"/>
      <c r="K591" s="1047"/>
      <c r="L591" s="1047"/>
      <c r="M591" s="1171"/>
      <c r="N591" s="1171"/>
      <c r="O591" s="1171"/>
      <c r="P591" s="1171"/>
      <c r="Q591" s="1171"/>
      <c r="R591" s="1171"/>
      <c r="S591" s="1171"/>
      <c r="T591" s="1091">
        <f t="shared" si="612"/>
        <v>0</v>
      </c>
      <c r="U591" s="1091">
        <f t="shared" si="613"/>
        <v>0</v>
      </c>
      <c r="V591" s="1091">
        <f t="shared" si="606"/>
        <v>0</v>
      </c>
      <c r="W591" s="1091"/>
      <c r="X591" s="1091">
        <f t="shared" si="614"/>
        <v>0</v>
      </c>
      <c r="Y591" s="1091">
        <f t="shared" si="615"/>
        <v>0</v>
      </c>
      <c r="Z591" s="1091">
        <f t="shared" si="616"/>
        <v>0</v>
      </c>
      <c r="AA591" s="1091">
        <f t="shared" si="617"/>
        <v>0</v>
      </c>
      <c r="AB591" s="1091">
        <f t="shared" si="618"/>
        <v>0</v>
      </c>
      <c r="AD591" s="650">
        <f t="shared" si="619"/>
        <v>0</v>
      </c>
      <c r="AI591" s="1277">
        <f>VLOOKUP(K591,'[2]ผลการเบิกจ่ายสะสม พ.ย. 66'!$C:$N,12,0)</f>
        <v>0</v>
      </c>
      <c r="AJ591" s="1274">
        <f t="shared" ref="AJ591:AJ654" si="620">+AI591-S591</f>
        <v>0</v>
      </c>
    </row>
    <row r="592" spans="1:36" ht="21" customHeight="1" outlineLevel="1" x14ac:dyDescent="0.35">
      <c r="A592" s="313"/>
      <c r="B592" s="293"/>
      <c r="C592" s="293" t="s">
        <v>1162</v>
      </c>
      <c r="D592" s="1168"/>
      <c r="E592" s="1171"/>
      <c r="F592" s="1171"/>
      <c r="G592" s="1171"/>
      <c r="H592" s="1171"/>
      <c r="I592" s="1172"/>
      <c r="J592" s="1172"/>
      <c r="K592" s="1047"/>
      <c r="L592" s="1047"/>
      <c r="M592" s="1171"/>
      <c r="N592" s="1171"/>
      <c r="O592" s="1171"/>
      <c r="P592" s="1171"/>
      <c r="Q592" s="1171"/>
      <c r="R592" s="1171"/>
      <c r="S592" s="1171"/>
      <c r="T592" s="1091">
        <f t="shared" si="612"/>
        <v>0</v>
      </c>
      <c r="U592" s="1091">
        <f t="shared" si="613"/>
        <v>0</v>
      </c>
      <c r="V592" s="1091">
        <f t="shared" si="606"/>
        <v>0</v>
      </c>
      <c r="W592" s="1091"/>
      <c r="X592" s="1091">
        <f t="shared" si="614"/>
        <v>0</v>
      </c>
      <c r="Y592" s="1091">
        <f t="shared" si="615"/>
        <v>0</v>
      </c>
      <c r="Z592" s="1091">
        <f t="shared" si="616"/>
        <v>0</v>
      </c>
      <c r="AA592" s="1091">
        <f t="shared" si="617"/>
        <v>0</v>
      </c>
      <c r="AB592" s="1091">
        <f t="shared" si="618"/>
        <v>0</v>
      </c>
      <c r="AD592" s="650">
        <f t="shared" si="619"/>
        <v>0</v>
      </c>
      <c r="AI592" s="1277">
        <f>VLOOKUP(K592,'[2]ผลการเบิกจ่ายสะสม พ.ย. 66'!$C:$N,12,0)</f>
        <v>0</v>
      </c>
      <c r="AJ592" s="1274">
        <f t="shared" si="620"/>
        <v>0</v>
      </c>
    </row>
    <row r="593" spans="1:36" ht="21" customHeight="1" outlineLevel="1" x14ac:dyDescent="0.35">
      <c r="A593" s="313"/>
      <c r="B593" s="293"/>
      <c r="C593" s="293" t="s">
        <v>1163</v>
      </c>
      <c r="D593" s="1168"/>
      <c r="E593" s="1171"/>
      <c r="F593" s="1171"/>
      <c r="G593" s="1171"/>
      <c r="H593" s="1171"/>
      <c r="I593" s="1172"/>
      <c r="J593" s="1172"/>
      <c r="K593" s="1047"/>
      <c r="L593" s="1047"/>
      <c r="M593" s="1171"/>
      <c r="N593" s="1171"/>
      <c r="O593" s="1171"/>
      <c r="P593" s="1171"/>
      <c r="Q593" s="1171"/>
      <c r="R593" s="1171"/>
      <c r="S593" s="1171"/>
      <c r="T593" s="1091">
        <f t="shared" si="612"/>
        <v>0</v>
      </c>
      <c r="U593" s="1091">
        <f t="shared" si="613"/>
        <v>0</v>
      </c>
      <c r="V593" s="1091">
        <f t="shared" si="606"/>
        <v>0</v>
      </c>
      <c r="W593" s="1091"/>
      <c r="X593" s="1091">
        <f t="shared" si="614"/>
        <v>0</v>
      </c>
      <c r="Y593" s="1091">
        <f t="shared" si="615"/>
        <v>0</v>
      </c>
      <c r="Z593" s="1091">
        <f t="shared" si="616"/>
        <v>0</v>
      </c>
      <c r="AA593" s="1091">
        <f t="shared" si="617"/>
        <v>0</v>
      </c>
      <c r="AB593" s="1091">
        <f t="shared" si="618"/>
        <v>0</v>
      </c>
      <c r="AD593" s="650">
        <f t="shared" si="619"/>
        <v>0</v>
      </c>
      <c r="AI593" s="1277">
        <f>VLOOKUP(K593,'[2]ผลการเบิกจ่ายสะสม พ.ย. 66'!$C:$N,12,0)</f>
        <v>0</v>
      </c>
      <c r="AJ593" s="1274">
        <f t="shared" si="620"/>
        <v>0</v>
      </c>
    </row>
    <row r="594" spans="1:36" ht="21" customHeight="1" outlineLevel="1" x14ac:dyDescent="0.35">
      <c r="A594" s="313"/>
      <c r="B594" s="293"/>
      <c r="C594" s="293" t="s">
        <v>1164</v>
      </c>
      <c r="D594" s="1168"/>
      <c r="E594" s="1171"/>
      <c r="F594" s="1171"/>
      <c r="G594" s="1171"/>
      <c r="H594" s="1171"/>
      <c r="I594" s="1172"/>
      <c r="J594" s="1172"/>
      <c r="K594" s="1047"/>
      <c r="L594" s="1047"/>
      <c r="M594" s="1171"/>
      <c r="N594" s="1171"/>
      <c r="O594" s="1171"/>
      <c r="P594" s="1171"/>
      <c r="Q594" s="1171"/>
      <c r="R594" s="1171"/>
      <c r="S594" s="1171"/>
      <c r="T594" s="1091">
        <f t="shared" si="612"/>
        <v>0</v>
      </c>
      <c r="U594" s="1091">
        <f t="shared" si="613"/>
        <v>0</v>
      </c>
      <c r="V594" s="1091">
        <f t="shared" ref="V594:V657" si="621">IFERROR(T594*100/(N594+O594),0)</f>
        <v>0</v>
      </c>
      <c r="W594" s="1091"/>
      <c r="X594" s="1091">
        <f t="shared" si="614"/>
        <v>0</v>
      </c>
      <c r="Y594" s="1091">
        <f t="shared" si="615"/>
        <v>0</v>
      </c>
      <c r="Z594" s="1091">
        <f t="shared" si="616"/>
        <v>0</v>
      </c>
      <c r="AA594" s="1091">
        <f t="shared" si="617"/>
        <v>0</v>
      </c>
      <c r="AB594" s="1091">
        <f t="shared" si="618"/>
        <v>0</v>
      </c>
      <c r="AD594" s="650">
        <f t="shared" si="619"/>
        <v>0</v>
      </c>
      <c r="AI594" s="1277">
        <f>VLOOKUP(K594,'[2]ผลการเบิกจ่ายสะสม พ.ย. 66'!$C:$N,12,0)</f>
        <v>0</v>
      </c>
      <c r="AJ594" s="1274">
        <f t="shared" si="620"/>
        <v>0</v>
      </c>
    </row>
    <row r="595" spans="1:36" ht="21" customHeight="1" outlineLevel="1" x14ac:dyDescent="0.35">
      <c r="A595" s="313"/>
      <c r="B595" s="293"/>
      <c r="C595" s="293" t="s">
        <v>1165</v>
      </c>
      <c r="D595" s="1168"/>
      <c r="E595" s="1171"/>
      <c r="F595" s="1171"/>
      <c r="G595" s="1171"/>
      <c r="H595" s="1171"/>
      <c r="I595" s="1172"/>
      <c r="J595" s="1172"/>
      <c r="K595" s="1047"/>
      <c r="L595" s="1047"/>
      <c r="M595" s="1171"/>
      <c r="N595" s="1171"/>
      <c r="O595" s="1171"/>
      <c r="P595" s="1171"/>
      <c r="Q595" s="1171"/>
      <c r="R595" s="1171"/>
      <c r="S595" s="1171"/>
      <c r="T595" s="1091">
        <f t="shared" si="612"/>
        <v>0</v>
      </c>
      <c r="U595" s="1091">
        <f t="shared" si="613"/>
        <v>0</v>
      </c>
      <c r="V595" s="1091">
        <f t="shared" si="621"/>
        <v>0</v>
      </c>
      <c r="W595" s="1091"/>
      <c r="X595" s="1091">
        <f t="shared" si="614"/>
        <v>0</v>
      </c>
      <c r="Y595" s="1091">
        <f t="shared" si="615"/>
        <v>0</v>
      </c>
      <c r="Z595" s="1091">
        <f t="shared" si="616"/>
        <v>0</v>
      </c>
      <c r="AA595" s="1091">
        <f t="shared" si="617"/>
        <v>0</v>
      </c>
      <c r="AB595" s="1091">
        <f t="shared" si="618"/>
        <v>0</v>
      </c>
      <c r="AD595" s="650">
        <f t="shared" si="619"/>
        <v>0</v>
      </c>
      <c r="AI595" s="1277">
        <f>VLOOKUP(K595,'[2]ผลการเบิกจ่ายสะสม พ.ย. 66'!$C:$N,12,0)</f>
        <v>0</v>
      </c>
      <c r="AJ595" s="1274">
        <f t="shared" si="620"/>
        <v>0</v>
      </c>
    </row>
    <row r="596" spans="1:36" ht="21" customHeight="1" outlineLevel="1" x14ac:dyDescent="0.35">
      <c r="A596" s="313"/>
      <c r="B596" s="293"/>
      <c r="C596" s="293" t="s">
        <v>1166</v>
      </c>
      <c r="D596" s="1168"/>
      <c r="E596" s="1171"/>
      <c r="F596" s="1171"/>
      <c r="G596" s="1171"/>
      <c r="H596" s="1171"/>
      <c r="I596" s="1172"/>
      <c r="J596" s="1172"/>
      <c r="K596" s="1047"/>
      <c r="L596" s="1047"/>
      <c r="M596" s="1171"/>
      <c r="N596" s="1171"/>
      <c r="O596" s="1171"/>
      <c r="P596" s="1171"/>
      <c r="Q596" s="1171"/>
      <c r="R596" s="1171"/>
      <c r="S596" s="1171"/>
      <c r="T596" s="1091">
        <f t="shared" si="612"/>
        <v>0</v>
      </c>
      <c r="U596" s="1091">
        <f t="shared" si="613"/>
        <v>0</v>
      </c>
      <c r="V596" s="1091">
        <f t="shared" si="621"/>
        <v>0</v>
      </c>
      <c r="W596" s="1091"/>
      <c r="X596" s="1091">
        <f t="shared" si="614"/>
        <v>0</v>
      </c>
      <c r="Y596" s="1091">
        <f t="shared" si="615"/>
        <v>0</v>
      </c>
      <c r="Z596" s="1091">
        <f t="shared" si="616"/>
        <v>0</v>
      </c>
      <c r="AA596" s="1091">
        <f t="shared" si="617"/>
        <v>0</v>
      </c>
      <c r="AB596" s="1091">
        <f t="shared" si="618"/>
        <v>0</v>
      </c>
      <c r="AD596" s="650">
        <f t="shared" si="619"/>
        <v>0</v>
      </c>
      <c r="AI596" s="1277">
        <f>VLOOKUP(K596,'[2]ผลการเบิกจ่ายสะสม พ.ย. 66'!$C:$N,12,0)</f>
        <v>0</v>
      </c>
      <c r="AJ596" s="1274">
        <f t="shared" si="620"/>
        <v>0</v>
      </c>
    </row>
    <row r="597" spans="1:36" ht="21" customHeight="1" outlineLevel="1" x14ac:dyDescent="0.35">
      <c r="A597" s="313"/>
      <c r="B597" s="293"/>
      <c r="C597" s="293" t="s">
        <v>1167</v>
      </c>
      <c r="D597" s="1168"/>
      <c r="E597" s="1171"/>
      <c r="F597" s="1171"/>
      <c r="G597" s="1171"/>
      <c r="H597" s="1171"/>
      <c r="I597" s="1172"/>
      <c r="J597" s="1172"/>
      <c r="K597" s="1047"/>
      <c r="L597" s="1047"/>
      <c r="M597" s="1171"/>
      <c r="N597" s="1171"/>
      <c r="O597" s="1171"/>
      <c r="P597" s="1171"/>
      <c r="Q597" s="1171"/>
      <c r="R597" s="1171"/>
      <c r="S597" s="1171"/>
      <c r="T597" s="1091">
        <f t="shared" si="612"/>
        <v>0</v>
      </c>
      <c r="U597" s="1091">
        <f t="shared" si="613"/>
        <v>0</v>
      </c>
      <c r="V597" s="1091">
        <f t="shared" si="621"/>
        <v>0</v>
      </c>
      <c r="W597" s="1091"/>
      <c r="X597" s="1091">
        <f t="shared" si="614"/>
        <v>0</v>
      </c>
      <c r="Y597" s="1091">
        <f t="shared" si="615"/>
        <v>0</v>
      </c>
      <c r="Z597" s="1091">
        <f t="shared" si="616"/>
        <v>0</v>
      </c>
      <c r="AA597" s="1091">
        <f t="shared" si="617"/>
        <v>0</v>
      </c>
      <c r="AB597" s="1091">
        <f t="shared" si="618"/>
        <v>0</v>
      </c>
      <c r="AD597" s="650">
        <f t="shared" si="619"/>
        <v>0</v>
      </c>
      <c r="AI597" s="1277">
        <f>VLOOKUP(K597,'[2]ผลการเบิกจ่ายสะสม พ.ย. 66'!$C:$N,12,0)</f>
        <v>0</v>
      </c>
      <c r="AJ597" s="1274">
        <f t="shared" si="620"/>
        <v>0</v>
      </c>
    </row>
    <row r="598" spans="1:36" ht="21" customHeight="1" outlineLevel="1" x14ac:dyDescent="0.35">
      <c r="A598" s="313"/>
      <c r="B598" s="293"/>
      <c r="C598" s="293" t="s">
        <v>1168</v>
      </c>
      <c r="D598" s="1168"/>
      <c r="E598" s="1171"/>
      <c r="F598" s="1171"/>
      <c r="G598" s="1171"/>
      <c r="H598" s="1171"/>
      <c r="I598" s="1172"/>
      <c r="J598" s="1172"/>
      <c r="K598" s="1047"/>
      <c r="L598" s="1047"/>
      <c r="M598" s="1171"/>
      <c r="N598" s="1171"/>
      <c r="O598" s="1171"/>
      <c r="P598" s="1171"/>
      <c r="Q598" s="1171"/>
      <c r="R598" s="1171"/>
      <c r="S598" s="1171"/>
      <c r="T598" s="1091">
        <f t="shared" si="612"/>
        <v>0</v>
      </c>
      <c r="U598" s="1091">
        <f t="shared" si="613"/>
        <v>0</v>
      </c>
      <c r="V598" s="1091">
        <f t="shared" si="621"/>
        <v>0</v>
      </c>
      <c r="W598" s="1091"/>
      <c r="X598" s="1091">
        <f t="shared" si="614"/>
        <v>0</v>
      </c>
      <c r="Y598" s="1091">
        <f t="shared" si="615"/>
        <v>0</v>
      </c>
      <c r="Z598" s="1091">
        <f t="shared" si="616"/>
        <v>0</v>
      </c>
      <c r="AA598" s="1091">
        <f t="shared" si="617"/>
        <v>0</v>
      </c>
      <c r="AB598" s="1091">
        <f t="shared" si="618"/>
        <v>0</v>
      </c>
      <c r="AD598" s="650">
        <f t="shared" si="619"/>
        <v>0</v>
      </c>
      <c r="AI598" s="1277">
        <f>VLOOKUP(K598,'[2]ผลการเบิกจ่ายสะสม พ.ย. 66'!$C:$N,12,0)</f>
        <v>0</v>
      </c>
      <c r="AJ598" s="1274">
        <f t="shared" si="620"/>
        <v>0</v>
      </c>
    </row>
    <row r="599" spans="1:36" ht="21" customHeight="1" outlineLevel="1" x14ac:dyDescent="0.35">
      <c r="A599" s="313"/>
      <c r="B599" s="293"/>
      <c r="C599" s="293" t="s">
        <v>1169</v>
      </c>
      <c r="D599" s="1168"/>
      <c r="E599" s="1171"/>
      <c r="F599" s="1171"/>
      <c r="G599" s="1171"/>
      <c r="H599" s="1171"/>
      <c r="I599" s="1172"/>
      <c r="J599" s="1172"/>
      <c r="K599" s="1047"/>
      <c r="L599" s="1047"/>
      <c r="M599" s="1171"/>
      <c r="N599" s="1171"/>
      <c r="O599" s="1171"/>
      <c r="P599" s="1171"/>
      <c r="Q599" s="1171"/>
      <c r="R599" s="1171"/>
      <c r="S599" s="1171"/>
      <c r="T599" s="1091">
        <f t="shared" si="612"/>
        <v>0</v>
      </c>
      <c r="U599" s="1091">
        <f t="shared" si="613"/>
        <v>0</v>
      </c>
      <c r="V599" s="1091">
        <f t="shared" si="621"/>
        <v>0</v>
      </c>
      <c r="W599" s="1091"/>
      <c r="X599" s="1091">
        <f t="shared" si="614"/>
        <v>0</v>
      </c>
      <c r="Y599" s="1091">
        <f t="shared" si="615"/>
        <v>0</v>
      </c>
      <c r="Z599" s="1091">
        <f t="shared" si="616"/>
        <v>0</v>
      </c>
      <c r="AA599" s="1091">
        <f t="shared" si="617"/>
        <v>0</v>
      </c>
      <c r="AB599" s="1091">
        <f t="shared" si="618"/>
        <v>0</v>
      </c>
      <c r="AD599" s="650">
        <f t="shared" si="619"/>
        <v>0</v>
      </c>
      <c r="AI599" s="1277">
        <f>VLOOKUP(K599,'[2]ผลการเบิกจ่ายสะสม พ.ย. 66'!$C:$N,12,0)</f>
        <v>0</v>
      </c>
      <c r="AJ599" s="1274">
        <f t="shared" si="620"/>
        <v>0</v>
      </c>
    </row>
    <row r="600" spans="1:36" ht="21" customHeight="1" outlineLevel="1" x14ac:dyDescent="0.35">
      <c r="A600" s="313"/>
      <c r="B600" s="293"/>
      <c r="C600" s="293" t="s">
        <v>1170</v>
      </c>
      <c r="D600" s="1168"/>
      <c r="E600" s="1171"/>
      <c r="F600" s="1171"/>
      <c r="G600" s="1171"/>
      <c r="H600" s="1171"/>
      <c r="I600" s="1172"/>
      <c r="J600" s="1172"/>
      <c r="K600" s="1047"/>
      <c r="L600" s="1047"/>
      <c r="M600" s="1171"/>
      <c r="N600" s="1171"/>
      <c r="O600" s="1171"/>
      <c r="P600" s="1171"/>
      <c r="Q600" s="1171"/>
      <c r="R600" s="1171"/>
      <c r="S600" s="1171"/>
      <c r="T600" s="1091">
        <f t="shared" si="612"/>
        <v>0</v>
      </c>
      <c r="U600" s="1091">
        <f t="shared" si="613"/>
        <v>0</v>
      </c>
      <c r="V600" s="1091">
        <f t="shared" si="621"/>
        <v>0</v>
      </c>
      <c r="W600" s="1091"/>
      <c r="X600" s="1091">
        <f t="shared" si="614"/>
        <v>0</v>
      </c>
      <c r="Y600" s="1091">
        <f t="shared" si="615"/>
        <v>0</v>
      </c>
      <c r="Z600" s="1091">
        <f t="shared" si="616"/>
        <v>0</v>
      </c>
      <c r="AA600" s="1091">
        <f t="shared" si="617"/>
        <v>0</v>
      </c>
      <c r="AB600" s="1091">
        <f t="shared" si="618"/>
        <v>0</v>
      </c>
      <c r="AD600" s="650">
        <f t="shared" si="619"/>
        <v>0</v>
      </c>
      <c r="AI600" s="1277">
        <f>VLOOKUP(K600,'[2]ผลการเบิกจ่ายสะสม พ.ย. 66'!$C:$N,12,0)</f>
        <v>0</v>
      </c>
      <c r="AJ600" s="1274">
        <f t="shared" si="620"/>
        <v>0</v>
      </c>
    </row>
    <row r="601" spans="1:36" ht="21" customHeight="1" outlineLevel="1" x14ac:dyDescent="0.35">
      <c r="A601" s="313"/>
      <c r="B601" s="293"/>
      <c r="C601" s="293" t="s">
        <v>1171</v>
      </c>
      <c r="D601" s="1168"/>
      <c r="E601" s="1171"/>
      <c r="F601" s="1171"/>
      <c r="G601" s="1171"/>
      <c r="H601" s="1171"/>
      <c r="I601" s="1172"/>
      <c r="J601" s="1172"/>
      <c r="K601" s="1047"/>
      <c r="L601" s="1047"/>
      <c r="M601" s="1171"/>
      <c r="N601" s="1171"/>
      <c r="O601" s="1171"/>
      <c r="P601" s="1171"/>
      <c r="Q601" s="1171"/>
      <c r="R601" s="1171"/>
      <c r="S601" s="1171"/>
      <c r="T601" s="1091">
        <f t="shared" si="612"/>
        <v>0</v>
      </c>
      <c r="U601" s="1091">
        <f t="shared" si="613"/>
        <v>0</v>
      </c>
      <c r="V601" s="1091">
        <f t="shared" si="621"/>
        <v>0</v>
      </c>
      <c r="W601" s="1091"/>
      <c r="X601" s="1091">
        <f t="shared" si="614"/>
        <v>0</v>
      </c>
      <c r="Y601" s="1091">
        <f t="shared" si="615"/>
        <v>0</v>
      </c>
      <c r="Z601" s="1091">
        <f t="shared" si="616"/>
        <v>0</v>
      </c>
      <c r="AA601" s="1091">
        <f t="shared" si="617"/>
        <v>0</v>
      </c>
      <c r="AB601" s="1091">
        <f t="shared" si="618"/>
        <v>0</v>
      </c>
      <c r="AD601" s="650">
        <f t="shared" si="619"/>
        <v>0</v>
      </c>
      <c r="AI601" s="1277">
        <f>VLOOKUP(K601,'[2]ผลการเบิกจ่ายสะสม พ.ย. 66'!$C:$N,12,0)</f>
        <v>0</v>
      </c>
      <c r="AJ601" s="1274">
        <f t="shared" si="620"/>
        <v>0</v>
      </c>
    </row>
    <row r="602" spans="1:36" ht="21" customHeight="1" outlineLevel="1" x14ac:dyDescent="0.35">
      <c r="A602" s="313"/>
      <c r="B602" s="293"/>
      <c r="C602" s="293" t="s">
        <v>1172</v>
      </c>
      <c r="D602" s="1168"/>
      <c r="E602" s="1171"/>
      <c r="F602" s="1171"/>
      <c r="G602" s="1171"/>
      <c r="H602" s="1171"/>
      <c r="I602" s="1172"/>
      <c r="J602" s="1172"/>
      <c r="K602" s="1047"/>
      <c r="L602" s="1047"/>
      <c r="M602" s="1171"/>
      <c r="N602" s="1171"/>
      <c r="O602" s="1171"/>
      <c r="P602" s="1171"/>
      <c r="Q602" s="1171"/>
      <c r="R602" s="1171"/>
      <c r="S602" s="1171"/>
      <c r="T602" s="1091">
        <f t="shared" ref="T602:T614" si="622">+R602+S602</f>
        <v>0</v>
      </c>
      <c r="U602" s="1091">
        <f t="shared" ref="U602:U614" si="623">+N602+O602-T602</f>
        <v>0</v>
      </c>
      <c r="V602" s="1091">
        <f t="shared" si="621"/>
        <v>0</v>
      </c>
      <c r="W602" s="1091"/>
      <c r="X602" s="1091">
        <f t="shared" ref="X602:X614" si="624">+T602+Q602</f>
        <v>0</v>
      </c>
      <c r="Y602" s="1091">
        <f t="shared" ref="Y602:Y614" si="625">+U602-Q602</f>
        <v>0</v>
      </c>
      <c r="Z602" s="1091">
        <f t="shared" ref="Z602:Z614" si="626">+T602+Q602+P602</f>
        <v>0</v>
      </c>
      <c r="AA602" s="1091">
        <f t="shared" ref="AA602:AA614" si="627">+U602-Q602-P602</f>
        <v>0</v>
      </c>
      <c r="AB602" s="1091">
        <f t="shared" ref="AB602:AB614" si="628">IFERROR(Z602*100/(N602+O602),0)</f>
        <v>0</v>
      </c>
      <c r="AD602" s="650">
        <f t="shared" si="619"/>
        <v>0</v>
      </c>
      <c r="AI602" s="1277">
        <f>VLOOKUP(K602,'[2]ผลการเบิกจ่ายสะสม พ.ย. 66'!$C:$N,12,0)</f>
        <v>0</v>
      </c>
      <c r="AJ602" s="1274">
        <f t="shared" si="620"/>
        <v>0</v>
      </c>
    </row>
    <row r="603" spans="1:36" ht="21" customHeight="1" outlineLevel="1" x14ac:dyDescent="0.35">
      <c r="A603" s="313"/>
      <c r="B603" s="293"/>
      <c r="C603" s="293" t="s">
        <v>1173</v>
      </c>
      <c r="D603" s="1168"/>
      <c r="E603" s="1171"/>
      <c r="F603" s="1171"/>
      <c r="G603" s="1171"/>
      <c r="H603" s="1171"/>
      <c r="I603" s="1172"/>
      <c r="J603" s="1172"/>
      <c r="K603" s="1047"/>
      <c r="L603" s="1047"/>
      <c r="M603" s="1171"/>
      <c r="N603" s="1171"/>
      <c r="O603" s="1171"/>
      <c r="P603" s="1171"/>
      <c r="Q603" s="1171"/>
      <c r="R603" s="1171"/>
      <c r="S603" s="1171"/>
      <c r="T603" s="1091">
        <f t="shared" si="622"/>
        <v>0</v>
      </c>
      <c r="U603" s="1091">
        <f t="shared" si="623"/>
        <v>0</v>
      </c>
      <c r="V603" s="1091">
        <f t="shared" si="621"/>
        <v>0</v>
      </c>
      <c r="W603" s="1091"/>
      <c r="X603" s="1091">
        <f t="shared" si="624"/>
        <v>0</v>
      </c>
      <c r="Y603" s="1091">
        <f t="shared" si="625"/>
        <v>0</v>
      </c>
      <c r="Z603" s="1091">
        <f t="shared" si="626"/>
        <v>0</v>
      </c>
      <c r="AA603" s="1091">
        <f t="shared" si="627"/>
        <v>0</v>
      </c>
      <c r="AB603" s="1091">
        <f t="shared" si="628"/>
        <v>0</v>
      </c>
      <c r="AD603" s="650">
        <f t="shared" si="619"/>
        <v>0</v>
      </c>
      <c r="AI603" s="1277">
        <f>VLOOKUP(K603,'[2]ผลการเบิกจ่ายสะสม พ.ย. 66'!$C:$N,12,0)</f>
        <v>0</v>
      </c>
      <c r="AJ603" s="1274">
        <f t="shared" si="620"/>
        <v>0</v>
      </c>
    </row>
    <row r="604" spans="1:36" ht="21" customHeight="1" outlineLevel="1" x14ac:dyDescent="0.35">
      <c r="A604" s="313"/>
      <c r="B604" s="293"/>
      <c r="C604" s="293" t="s">
        <v>1174</v>
      </c>
      <c r="D604" s="1168"/>
      <c r="E604" s="1171"/>
      <c r="F604" s="1171"/>
      <c r="G604" s="1171"/>
      <c r="H604" s="1171"/>
      <c r="I604" s="1172"/>
      <c r="J604" s="1172"/>
      <c r="K604" s="1047"/>
      <c r="L604" s="1047"/>
      <c r="M604" s="1171"/>
      <c r="N604" s="1171"/>
      <c r="O604" s="1171"/>
      <c r="P604" s="1171"/>
      <c r="Q604" s="1171"/>
      <c r="R604" s="1171"/>
      <c r="S604" s="1171"/>
      <c r="T604" s="1091">
        <f t="shared" si="622"/>
        <v>0</v>
      </c>
      <c r="U604" s="1091">
        <f t="shared" si="623"/>
        <v>0</v>
      </c>
      <c r="V604" s="1091">
        <f t="shared" si="621"/>
        <v>0</v>
      </c>
      <c r="W604" s="1091"/>
      <c r="X604" s="1091">
        <f t="shared" si="624"/>
        <v>0</v>
      </c>
      <c r="Y604" s="1091">
        <f t="shared" si="625"/>
        <v>0</v>
      </c>
      <c r="Z604" s="1091">
        <f t="shared" si="626"/>
        <v>0</v>
      </c>
      <c r="AA604" s="1091">
        <f t="shared" si="627"/>
        <v>0</v>
      </c>
      <c r="AB604" s="1091">
        <f t="shared" si="628"/>
        <v>0</v>
      </c>
      <c r="AD604" s="650">
        <f t="shared" si="619"/>
        <v>0</v>
      </c>
      <c r="AI604" s="1277">
        <f>VLOOKUP(K604,'[2]ผลการเบิกจ่ายสะสม พ.ย. 66'!$C:$N,12,0)</f>
        <v>0</v>
      </c>
      <c r="AJ604" s="1274">
        <f t="shared" si="620"/>
        <v>0</v>
      </c>
    </row>
    <row r="605" spans="1:36" ht="21" customHeight="1" outlineLevel="1" x14ac:dyDescent="0.35">
      <c r="A605" s="313"/>
      <c r="B605" s="293"/>
      <c r="C605" s="293" t="s">
        <v>1175</v>
      </c>
      <c r="D605" s="1168"/>
      <c r="E605" s="1171"/>
      <c r="F605" s="1171"/>
      <c r="G605" s="1171"/>
      <c r="H605" s="1171"/>
      <c r="I605" s="1172"/>
      <c r="J605" s="1172"/>
      <c r="K605" s="1047"/>
      <c r="L605" s="1047"/>
      <c r="M605" s="1171"/>
      <c r="N605" s="1171"/>
      <c r="O605" s="1171"/>
      <c r="P605" s="1171"/>
      <c r="Q605" s="1171"/>
      <c r="R605" s="1171"/>
      <c r="S605" s="1171"/>
      <c r="T605" s="1091">
        <f t="shared" si="622"/>
        <v>0</v>
      </c>
      <c r="U605" s="1091">
        <f t="shared" si="623"/>
        <v>0</v>
      </c>
      <c r="V605" s="1091">
        <f t="shared" si="621"/>
        <v>0</v>
      </c>
      <c r="W605" s="1091"/>
      <c r="X605" s="1091">
        <f t="shared" si="624"/>
        <v>0</v>
      </c>
      <c r="Y605" s="1091">
        <f t="shared" si="625"/>
        <v>0</v>
      </c>
      <c r="Z605" s="1091">
        <f t="shared" si="626"/>
        <v>0</v>
      </c>
      <c r="AA605" s="1091">
        <f t="shared" si="627"/>
        <v>0</v>
      </c>
      <c r="AB605" s="1091">
        <f t="shared" si="628"/>
        <v>0</v>
      </c>
      <c r="AD605" s="650">
        <f t="shared" si="619"/>
        <v>0</v>
      </c>
      <c r="AI605" s="1277">
        <f>VLOOKUP(K605,'[2]ผลการเบิกจ่ายสะสม พ.ย. 66'!$C:$N,12,0)</f>
        <v>0</v>
      </c>
      <c r="AJ605" s="1274">
        <f t="shared" si="620"/>
        <v>0</v>
      </c>
    </row>
    <row r="606" spans="1:36" ht="21" customHeight="1" outlineLevel="1" x14ac:dyDescent="0.35">
      <c r="A606" s="313"/>
      <c r="B606" s="293"/>
      <c r="C606" s="293" t="s">
        <v>1176</v>
      </c>
      <c r="D606" s="1168"/>
      <c r="E606" s="1171"/>
      <c r="F606" s="1171"/>
      <c r="G606" s="1171"/>
      <c r="H606" s="1171"/>
      <c r="I606" s="1172"/>
      <c r="J606" s="1172"/>
      <c r="K606" s="1047"/>
      <c r="L606" s="1047"/>
      <c r="M606" s="1171"/>
      <c r="N606" s="1171"/>
      <c r="O606" s="1171"/>
      <c r="P606" s="1171"/>
      <c r="Q606" s="1171"/>
      <c r="R606" s="1171"/>
      <c r="S606" s="1171"/>
      <c r="T606" s="1091">
        <f t="shared" si="622"/>
        <v>0</v>
      </c>
      <c r="U606" s="1091">
        <f t="shared" si="623"/>
        <v>0</v>
      </c>
      <c r="V606" s="1091">
        <f t="shared" si="621"/>
        <v>0</v>
      </c>
      <c r="W606" s="1091"/>
      <c r="X606" s="1091">
        <f t="shared" si="624"/>
        <v>0</v>
      </c>
      <c r="Y606" s="1091">
        <f t="shared" si="625"/>
        <v>0</v>
      </c>
      <c r="Z606" s="1091">
        <f t="shared" si="626"/>
        <v>0</v>
      </c>
      <c r="AA606" s="1091">
        <f t="shared" si="627"/>
        <v>0</v>
      </c>
      <c r="AB606" s="1091">
        <f t="shared" si="628"/>
        <v>0</v>
      </c>
      <c r="AD606" s="650">
        <f t="shared" si="619"/>
        <v>0</v>
      </c>
      <c r="AI606" s="1277">
        <f>VLOOKUP(K606,'[2]ผลการเบิกจ่ายสะสม พ.ย. 66'!$C:$N,12,0)</f>
        <v>0</v>
      </c>
      <c r="AJ606" s="1274">
        <f t="shared" si="620"/>
        <v>0</v>
      </c>
    </row>
    <row r="607" spans="1:36" ht="21" customHeight="1" outlineLevel="1" x14ac:dyDescent="0.35">
      <c r="A607" s="313"/>
      <c r="B607" s="293"/>
      <c r="C607" s="293" t="s">
        <v>1177</v>
      </c>
      <c r="D607" s="1168"/>
      <c r="E607" s="1171"/>
      <c r="F607" s="1171"/>
      <c r="G607" s="1171"/>
      <c r="H607" s="1171"/>
      <c r="I607" s="1172"/>
      <c r="J607" s="1172"/>
      <c r="K607" s="1047"/>
      <c r="L607" s="1047"/>
      <c r="M607" s="1171"/>
      <c r="N607" s="1171"/>
      <c r="O607" s="1171"/>
      <c r="P607" s="1171"/>
      <c r="Q607" s="1171"/>
      <c r="R607" s="1171"/>
      <c r="S607" s="1171"/>
      <c r="T607" s="1091">
        <f t="shared" si="622"/>
        <v>0</v>
      </c>
      <c r="U607" s="1091">
        <f t="shared" si="623"/>
        <v>0</v>
      </c>
      <c r="V607" s="1091">
        <f t="shared" si="621"/>
        <v>0</v>
      </c>
      <c r="W607" s="1091"/>
      <c r="X607" s="1091">
        <f t="shared" si="624"/>
        <v>0</v>
      </c>
      <c r="Y607" s="1091">
        <f t="shared" si="625"/>
        <v>0</v>
      </c>
      <c r="Z607" s="1091">
        <f t="shared" si="626"/>
        <v>0</v>
      </c>
      <c r="AA607" s="1091">
        <f t="shared" si="627"/>
        <v>0</v>
      </c>
      <c r="AB607" s="1091">
        <f t="shared" si="628"/>
        <v>0</v>
      </c>
      <c r="AD607" s="650">
        <f t="shared" si="619"/>
        <v>0</v>
      </c>
      <c r="AI607" s="1277">
        <f>VLOOKUP(K607,'[2]ผลการเบิกจ่ายสะสม พ.ย. 66'!$C:$N,12,0)</f>
        <v>0</v>
      </c>
      <c r="AJ607" s="1274">
        <f t="shared" si="620"/>
        <v>0</v>
      </c>
    </row>
    <row r="608" spans="1:36" ht="21" customHeight="1" outlineLevel="1" x14ac:dyDescent="0.35">
      <c r="A608" s="313"/>
      <c r="B608" s="293"/>
      <c r="C608" s="293" t="s">
        <v>1178</v>
      </c>
      <c r="D608" s="1168"/>
      <c r="E608" s="1171"/>
      <c r="F608" s="1171"/>
      <c r="G608" s="1171"/>
      <c r="H608" s="1171"/>
      <c r="I608" s="1172"/>
      <c r="J608" s="1172"/>
      <c r="K608" s="1047"/>
      <c r="L608" s="1047"/>
      <c r="M608" s="1171"/>
      <c r="N608" s="1171"/>
      <c r="O608" s="1171"/>
      <c r="P608" s="1171"/>
      <c r="Q608" s="1171"/>
      <c r="R608" s="1171"/>
      <c r="S608" s="1171"/>
      <c r="T608" s="1091">
        <f t="shared" si="622"/>
        <v>0</v>
      </c>
      <c r="U608" s="1091">
        <f t="shared" si="623"/>
        <v>0</v>
      </c>
      <c r="V608" s="1091">
        <f t="shared" si="621"/>
        <v>0</v>
      </c>
      <c r="W608" s="1091"/>
      <c r="X608" s="1091">
        <f t="shared" si="624"/>
        <v>0</v>
      </c>
      <c r="Y608" s="1091">
        <f t="shared" si="625"/>
        <v>0</v>
      </c>
      <c r="Z608" s="1091">
        <f t="shared" si="626"/>
        <v>0</v>
      </c>
      <c r="AA608" s="1091">
        <f t="shared" si="627"/>
        <v>0</v>
      </c>
      <c r="AB608" s="1091">
        <f t="shared" si="628"/>
        <v>0</v>
      </c>
      <c r="AD608" s="650">
        <f t="shared" si="619"/>
        <v>0</v>
      </c>
      <c r="AI608" s="1277">
        <f>VLOOKUP(K608,'[2]ผลการเบิกจ่ายสะสม พ.ย. 66'!$C:$N,12,0)</f>
        <v>0</v>
      </c>
      <c r="AJ608" s="1274">
        <f t="shared" si="620"/>
        <v>0</v>
      </c>
    </row>
    <row r="609" spans="1:36" ht="21" customHeight="1" outlineLevel="1" x14ac:dyDescent="0.35">
      <c r="A609" s="313"/>
      <c r="B609" s="293"/>
      <c r="C609" s="293" t="s">
        <v>1179</v>
      </c>
      <c r="D609" s="1168"/>
      <c r="E609" s="1171"/>
      <c r="F609" s="1171"/>
      <c r="G609" s="1171"/>
      <c r="H609" s="1171"/>
      <c r="I609" s="1172"/>
      <c r="J609" s="1172"/>
      <c r="K609" s="1047"/>
      <c r="L609" s="1047"/>
      <c r="M609" s="1171"/>
      <c r="N609" s="1171"/>
      <c r="O609" s="1171"/>
      <c r="P609" s="1171"/>
      <c r="Q609" s="1171"/>
      <c r="R609" s="1171"/>
      <c r="S609" s="1171"/>
      <c r="T609" s="1091">
        <f t="shared" si="622"/>
        <v>0</v>
      </c>
      <c r="U609" s="1091">
        <f t="shared" si="623"/>
        <v>0</v>
      </c>
      <c r="V609" s="1091">
        <f t="shared" si="621"/>
        <v>0</v>
      </c>
      <c r="W609" s="1091"/>
      <c r="X609" s="1091">
        <f t="shared" si="624"/>
        <v>0</v>
      </c>
      <c r="Y609" s="1091">
        <f t="shared" si="625"/>
        <v>0</v>
      </c>
      <c r="Z609" s="1091">
        <f t="shared" si="626"/>
        <v>0</v>
      </c>
      <c r="AA609" s="1091">
        <f t="shared" si="627"/>
        <v>0</v>
      </c>
      <c r="AB609" s="1091">
        <f t="shared" si="628"/>
        <v>0</v>
      </c>
      <c r="AD609" s="650">
        <f t="shared" si="619"/>
        <v>0</v>
      </c>
      <c r="AI609" s="1277">
        <f>VLOOKUP(K609,'[2]ผลการเบิกจ่ายสะสม พ.ย. 66'!$C:$N,12,0)</f>
        <v>0</v>
      </c>
      <c r="AJ609" s="1274">
        <f t="shared" si="620"/>
        <v>0</v>
      </c>
    </row>
    <row r="610" spans="1:36" ht="21" customHeight="1" outlineLevel="1" x14ac:dyDescent="0.35">
      <c r="A610" s="313"/>
      <c r="B610" s="293"/>
      <c r="C610" s="293" t="s">
        <v>1180</v>
      </c>
      <c r="D610" s="1168"/>
      <c r="E610" s="1171"/>
      <c r="F610" s="1171"/>
      <c r="G610" s="1171"/>
      <c r="H610" s="1171"/>
      <c r="I610" s="1172"/>
      <c r="J610" s="1172"/>
      <c r="K610" s="1047"/>
      <c r="L610" s="1047"/>
      <c r="M610" s="1171"/>
      <c r="N610" s="1171"/>
      <c r="O610" s="1171"/>
      <c r="P610" s="1171"/>
      <c r="Q610" s="1171"/>
      <c r="R610" s="1171"/>
      <c r="S610" s="1171"/>
      <c r="T610" s="1091">
        <f t="shared" si="622"/>
        <v>0</v>
      </c>
      <c r="U610" s="1091">
        <f t="shared" si="623"/>
        <v>0</v>
      </c>
      <c r="V610" s="1091">
        <f t="shared" si="621"/>
        <v>0</v>
      </c>
      <c r="W610" s="1091"/>
      <c r="X610" s="1091">
        <f t="shared" si="624"/>
        <v>0</v>
      </c>
      <c r="Y610" s="1091">
        <f t="shared" si="625"/>
        <v>0</v>
      </c>
      <c r="Z610" s="1091">
        <f t="shared" si="626"/>
        <v>0</v>
      </c>
      <c r="AA610" s="1091">
        <f t="shared" si="627"/>
        <v>0</v>
      </c>
      <c r="AB610" s="1091">
        <f t="shared" si="628"/>
        <v>0</v>
      </c>
      <c r="AD610" s="650">
        <f t="shared" si="619"/>
        <v>0</v>
      </c>
      <c r="AI610" s="1277">
        <f>VLOOKUP(K610,'[2]ผลการเบิกจ่ายสะสม พ.ย. 66'!$C:$N,12,0)</f>
        <v>0</v>
      </c>
      <c r="AJ610" s="1274">
        <f t="shared" si="620"/>
        <v>0</v>
      </c>
    </row>
    <row r="611" spans="1:36" ht="21" customHeight="1" outlineLevel="1" x14ac:dyDescent="0.35">
      <c r="A611" s="313"/>
      <c r="B611" s="293"/>
      <c r="C611" s="293" t="s">
        <v>1181</v>
      </c>
      <c r="D611" s="1168"/>
      <c r="E611" s="1171"/>
      <c r="F611" s="1171"/>
      <c r="G611" s="1171"/>
      <c r="H611" s="1171"/>
      <c r="I611" s="1172"/>
      <c r="J611" s="1172"/>
      <c r="K611" s="1047"/>
      <c r="L611" s="1047"/>
      <c r="M611" s="1171"/>
      <c r="N611" s="1171"/>
      <c r="O611" s="1171"/>
      <c r="P611" s="1171"/>
      <c r="Q611" s="1171"/>
      <c r="R611" s="1171"/>
      <c r="S611" s="1171"/>
      <c r="T611" s="1091">
        <f t="shared" si="622"/>
        <v>0</v>
      </c>
      <c r="U611" s="1091">
        <f t="shared" si="623"/>
        <v>0</v>
      </c>
      <c r="V611" s="1091">
        <f t="shared" si="621"/>
        <v>0</v>
      </c>
      <c r="W611" s="1091"/>
      <c r="X611" s="1091">
        <f t="shared" si="624"/>
        <v>0</v>
      </c>
      <c r="Y611" s="1091">
        <f t="shared" si="625"/>
        <v>0</v>
      </c>
      <c r="Z611" s="1091">
        <f t="shared" si="626"/>
        <v>0</v>
      </c>
      <c r="AA611" s="1091">
        <f t="shared" si="627"/>
        <v>0</v>
      </c>
      <c r="AB611" s="1091">
        <f t="shared" si="628"/>
        <v>0</v>
      </c>
      <c r="AD611" s="650">
        <f t="shared" si="619"/>
        <v>0</v>
      </c>
      <c r="AI611" s="1277">
        <f>VLOOKUP(K611,'[2]ผลการเบิกจ่ายสะสม พ.ย. 66'!$C:$N,12,0)</f>
        <v>0</v>
      </c>
      <c r="AJ611" s="1274">
        <f t="shared" si="620"/>
        <v>0</v>
      </c>
    </row>
    <row r="612" spans="1:36" ht="21" customHeight="1" outlineLevel="1" x14ac:dyDescent="0.35">
      <c r="A612" s="313"/>
      <c r="B612" s="293"/>
      <c r="C612" s="293" t="s">
        <v>1182</v>
      </c>
      <c r="D612" s="1168"/>
      <c r="E612" s="1171"/>
      <c r="F612" s="1171"/>
      <c r="G612" s="1171"/>
      <c r="H612" s="1171"/>
      <c r="I612" s="1172"/>
      <c r="J612" s="1172"/>
      <c r="K612" s="1047"/>
      <c r="L612" s="1047"/>
      <c r="M612" s="1171"/>
      <c r="N612" s="1171"/>
      <c r="O612" s="1171"/>
      <c r="P612" s="1171"/>
      <c r="Q612" s="1171"/>
      <c r="R612" s="1171"/>
      <c r="S612" s="1171"/>
      <c r="T612" s="1091">
        <f t="shared" si="622"/>
        <v>0</v>
      </c>
      <c r="U612" s="1091">
        <f t="shared" si="623"/>
        <v>0</v>
      </c>
      <c r="V612" s="1091">
        <f t="shared" si="621"/>
        <v>0</v>
      </c>
      <c r="W612" s="1091"/>
      <c r="X612" s="1091">
        <f t="shared" si="624"/>
        <v>0</v>
      </c>
      <c r="Y612" s="1091">
        <f t="shared" si="625"/>
        <v>0</v>
      </c>
      <c r="Z612" s="1091">
        <f t="shared" si="626"/>
        <v>0</v>
      </c>
      <c r="AA612" s="1091">
        <f t="shared" si="627"/>
        <v>0</v>
      </c>
      <c r="AB612" s="1091">
        <f t="shared" si="628"/>
        <v>0</v>
      </c>
      <c r="AD612" s="650">
        <f t="shared" si="619"/>
        <v>0</v>
      </c>
      <c r="AI612" s="1277">
        <f>VLOOKUP(K612,'[2]ผลการเบิกจ่ายสะสม พ.ย. 66'!$C:$N,12,0)</f>
        <v>0</v>
      </c>
      <c r="AJ612" s="1274">
        <f t="shared" si="620"/>
        <v>0</v>
      </c>
    </row>
    <row r="613" spans="1:36" ht="21" customHeight="1" outlineLevel="1" x14ac:dyDescent="0.35">
      <c r="A613" s="313"/>
      <c r="B613" s="293"/>
      <c r="C613" s="293" t="s">
        <v>1183</v>
      </c>
      <c r="D613" s="1168"/>
      <c r="E613" s="1171"/>
      <c r="F613" s="1171"/>
      <c r="G613" s="1171"/>
      <c r="H613" s="1171"/>
      <c r="I613" s="1172"/>
      <c r="J613" s="1172"/>
      <c r="K613" s="1047"/>
      <c r="L613" s="1047"/>
      <c r="M613" s="1171"/>
      <c r="N613" s="1171"/>
      <c r="O613" s="1171"/>
      <c r="P613" s="1171"/>
      <c r="Q613" s="1171"/>
      <c r="R613" s="1171"/>
      <c r="S613" s="1171"/>
      <c r="T613" s="1091">
        <f t="shared" si="622"/>
        <v>0</v>
      </c>
      <c r="U613" s="1091">
        <f t="shared" si="623"/>
        <v>0</v>
      </c>
      <c r="V613" s="1091">
        <f t="shared" si="621"/>
        <v>0</v>
      </c>
      <c r="W613" s="1091"/>
      <c r="X613" s="1091">
        <f t="shared" si="624"/>
        <v>0</v>
      </c>
      <c r="Y613" s="1091">
        <f t="shared" si="625"/>
        <v>0</v>
      </c>
      <c r="Z613" s="1091">
        <f t="shared" si="626"/>
        <v>0</v>
      </c>
      <c r="AA613" s="1091">
        <f t="shared" si="627"/>
        <v>0</v>
      </c>
      <c r="AB613" s="1091">
        <f t="shared" si="628"/>
        <v>0</v>
      </c>
      <c r="AD613" s="650">
        <f t="shared" si="619"/>
        <v>0</v>
      </c>
      <c r="AI613" s="1277">
        <f>VLOOKUP(K613,'[2]ผลการเบิกจ่ายสะสม พ.ย. 66'!$C:$N,12,0)</f>
        <v>0</v>
      </c>
      <c r="AJ613" s="1274">
        <f t="shared" si="620"/>
        <v>0</v>
      </c>
    </row>
    <row r="614" spans="1:36" ht="21" customHeight="1" outlineLevel="1" x14ac:dyDescent="0.35">
      <c r="A614" s="313"/>
      <c r="B614" s="293"/>
      <c r="C614" s="293" t="s">
        <v>1184</v>
      </c>
      <c r="D614" s="1168"/>
      <c r="E614" s="1171"/>
      <c r="F614" s="1171"/>
      <c r="G614" s="1171"/>
      <c r="H614" s="1171"/>
      <c r="I614" s="1172"/>
      <c r="J614" s="1172"/>
      <c r="K614" s="1047"/>
      <c r="L614" s="1047"/>
      <c r="M614" s="1171"/>
      <c r="N614" s="1171"/>
      <c r="O614" s="1171"/>
      <c r="P614" s="1171"/>
      <c r="Q614" s="1171"/>
      <c r="R614" s="1171"/>
      <c r="S614" s="1171"/>
      <c r="T614" s="1091">
        <f t="shared" si="622"/>
        <v>0</v>
      </c>
      <c r="U614" s="1091">
        <f t="shared" si="623"/>
        <v>0</v>
      </c>
      <c r="V614" s="1091">
        <f t="shared" si="621"/>
        <v>0</v>
      </c>
      <c r="W614" s="1091"/>
      <c r="X614" s="1091">
        <f t="shared" si="624"/>
        <v>0</v>
      </c>
      <c r="Y614" s="1091">
        <f t="shared" si="625"/>
        <v>0</v>
      </c>
      <c r="Z614" s="1091">
        <f t="shared" si="626"/>
        <v>0</v>
      </c>
      <c r="AA614" s="1091">
        <f t="shared" si="627"/>
        <v>0</v>
      </c>
      <c r="AB614" s="1091">
        <f t="shared" si="628"/>
        <v>0</v>
      </c>
      <c r="AD614" s="650">
        <f t="shared" si="619"/>
        <v>0</v>
      </c>
      <c r="AI614" s="1277">
        <f>VLOOKUP(K614,'[2]ผลการเบิกจ่ายสะสม พ.ย. 66'!$C:$N,12,0)</f>
        <v>0</v>
      </c>
      <c r="AJ614" s="1274">
        <f t="shared" si="620"/>
        <v>0</v>
      </c>
    </row>
    <row r="615" spans="1:36" ht="21" customHeight="1" outlineLevel="1" x14ac:dyDescent="0.35">
      <c r="A615" s="313"/>
      <c r="B615" s="293" t="s">
        <v>654</v>
      </c>
      <c r="C615" s="274"/>
      <c r="D615" s="1168"/>
      <c r="E615" s="1171">
        <f>+E616</f>
        <v>0</v>
      </c>
      <c r="F615" s="1171"/>
      <c r="G615" s="1171"/>
      <c r="H615" s="1171"/>
      <c r="I615" s="1172">
        <v>0</v>
      </c>
      <c r="J615" s="1172"/>
      <c r="K615" s="1047"/>
      <c r="L615" s="1047"/>
      <c r="M615" s="1171">
        <f t="shared" ref="M615:AB615" si="629">+M616</f>
        <v>0</v>
      </c>
      <c r="N615" s="1171">
        <f>+N616</f>
        <v>0</v>
      </c>
      <c r="O615" s="1171">
        <f t="shared" si="629"/>
        <v>0</v>
      </c>
      <c r="P615" s="1171">
        <f t="shared" si="629"/>
        <v>0</v>
      </c>
      <c r="Q615" s="1171">
        <f t="shared" si="629"/>
        <v>0</v>
      </c>
      <c r="R615" s="1171">
        <f t="shared" si="629"/>
        <v>0</v>
      </c>
      <c r="S615" s="1171">
        <f t="shared" si="629"/>
        <v>0</v>
      </c>
      <c r="T615" s="1171">
        <f t="shared" si="629"/>
        <v>0</v>
      </c>
      <c r="U615" s="1171">
        <f t="shared" si="629"/>
        <v>0</v>
      </c>
      <c r="V615" s="1171">
        <f t="shared" si="621"/>
        <v>0</v>
      </c>
      <c r="W615" s="1171">
        <f t="shared" si="629"/>
        <v>0</v>
      </c>
      <c r="X615" s="1171">
        <f t="shared" si="629"/>
        <v>0</v>
      </c>
      <c r="Y615" s="1171">
        <f t="shared" si="629"/>
        <v>0</v>
      </c>
      <c r="Z615" s="1171">
        <f t="shared" si="629"/>
        <v>0</v>
      </c>
      <c r="AA615" s="1171">
        <f t="shared" si="629"/>
        <v>0</v>
      </c>
      <c r="AB615" s="1171">
        <f t="shared" si="629"/>
        <v>0</v>
      </c>
      <c r="AD615" s="650">
        <f t="shared" si="619"/>
        <v>0</v>
      </c>
      <c r="AI615" s="1277">
        <f>VLOOKUP(K615,'[2]ผลการเบิกจ่ายสะสม พ.ย. 66'!$C:$N,12,0)</f>
        <v>0</v>
      </c>
      <c r="AJ615" s="1274">
        <f t="shared" si="620"/>
        <v>0</v>
      </c>
    </row>
    <row r="616" spans="1:36" ht="21" customHeight="1" outlineLevel="1" x14ac:dyDescent="0.35">
      <c r="A616" s="313"/>
      <c r="B616" s="293"/>
      <c r="C616" s="293" t="s">
        <v>1185</v>
      </c>
      <c r="D616" s="1168"/>
      <c r="E616" s="1171"/>
      <c r="F616" s="1171"/>
      <c r="G616" s="1171"/>
      <c r="H616" s="1171"/>
      <c r="I616" s="1172"/>
      <c r="J616" s="1172"/>
      <c r="K616" s="1033" t="s">
        <v>1383</v>
      </c>
      <c r="L616" s="1066" t="s">
        <v>1429</v>
      </c>
      <c r="M616" s="1171"/>
      <c r="N616" s="1171"/>
      <c r="O616" s="1171"/>
      <c r="P616" s="1171"/>
      <c r="Q616" s="1171"/>
      <c r="R616" s="1171"/>
      <c r="S616" s="1171"/>
      <c r="T616" s="1171"/>
      <c r="U616" s="1171"/>
      <c r="V616" s="1171">
        <f t="shared" si="621"/>
        <v>0</v>
      </c>
      <c r="W616" s="1171"/>
      <c r="X616" s="1171"/>
      <c r="Y616" s="1171"/>
      <c r="Z616" s="1171"/>
      <c r="AA616" s="1171"/>
      <c r="AB616" s="1171"/>
      <c r="AD616" s="650">
        <f t="shared" si="619"/>
        <v>0</v>
      </c>
      <c r="AI616" s="1277" t="e">
        <f>VLOOKUP(K616,'[2]ผลการเบิกจ่ายสะสม พ.ย. 66'!$C:$N,12,0)</f>
        <v>#N/A</v>
      </c>
      <c r="AJ616" s="1274" t="e">
        <f t="shared" si="620"/>
        <v>#N/A</v>
      </c>
    </row>
    <row r="617" spans="1:36" ht="21" customHeight="1" outlineLevel="1" x14ac:dyDescent="0.35">
      <c r="A617" s="313"/>
      <c r="B617" s="72" t="s">
        <v>554</v>
      </c>
      <c r="C617" s="274"/>
      <c r="D617" s="1168"/>
      <c r="E617" s="1169"/>
      <c r="F617" s="1169"/>
      <c r="G617" s="1169"/>
      <c r="H617" s="1169"/>
      <c r="I617" s="1170">
        <v>2940700</v>
      </c>
      <c r="J617" s="1170">
        <v>1433000</v>
      </c>
      <c r="K617" s="1046"/>
      <c r="L617" s="1046"/>
      <c r="M617" s="1169">
        <f t="shared" ref="M617:AB617" si="630">+M618</f>
        <v>0</v>
      </c>
      <c r="N617" s="1169">
        <f>+N618</f>
        <v>0</v>
      </c>
      <c r="O617" s="1169">
        <f t="shared" si="630"/>
        <v>0</v>
      </c>
      <c r="P617" s="1169">
        <f t="shared" si="630"/>
        <v>0</v>
      </c>
      <c r="Q617" s="1169">
        <f t="shared" si="630"/>
        <v>0</v>
      </c>
      <c r="R617" s="1169">
        <f t="shared" si="630"/>
        <v>0</v>
      </c>
      <c r="S617" s="1169">
        <f t="shared" si="630"/>
        <v>0</v>
      </c>
      <c r="T617" s="1169">
        <f t="shared" si="630"/>
        <v>0</v>
      </c>
      <c r="U617" s="1169">
        <f t="shared" si="630"/>
        <v>0</v>
      </c>
      <c r="V617" s="1169">
        <f t="shared" si="621"/>
        <v>0</v>
      </c>
      <c r="W617" s="1169">
        <f t="shared" si="630"/>
        <v>0</v>
      </c>
      <c r="X617" s="1169">
        <f t="shared" si="630"/>
        <v>0</v>
      </c>
      <c r="Y617" s="1169">
        <f t="shared" si="630"/>
        <v>0</v>
      </c>
      <c r="Z617" s="1169">
        <f t="shared" si="630"/>
        <v>0</v>
      </c>
      <c r="AA617" s="1169">
        <f t="shared" si="630"/>
        <v>0</v>
      </c>
      <c r="AB617" s="1169">
        <f t="shared" si="630"/>
        <v>0</v>
      </c>
      <c r="AD617" s="650">
        <f t="shared" si="619"/>
        <v>0</v>
      </c>
      <c r="AI617" s="1277">
        <f>VLOOKUP(K617,'[2]ผลการเบิกจ่ายสะสม พ.ย. 66'!$C:$N,12,0)</f>
        <v>0</v>
      </c>
      <c r="AJ617" s="1274">
        <f t="shared" si="620"/>
        <v>0</v>
      </c>
    </row>
    <row r="618" spans="1:36" ht="21" customHeight="1" outlineLevel="1" x14ac:dyDescent="0.35">
      <c r="A618" s="313"/>
      <c r="B618" s="293" t="s">
        <v>1186</v>
      </c>
      <c r="C618" s="274"/>
      <c r="D618" s="1168"/>
      <c r="E618" s="1171"/>
      <c r="F618" s="1171"/>
      <c r="G618" s="1171"/>
      <c r="H618" s="1171"/>
      <c r="I618" s="1172"/>
      <c r="J618" s="1172"/>
      <c r="K618" s="1033" t="s">
        <v>1384</v>
      </c>
      <c r="L618" s="1066" t="s">
        <v>1429</v>
      </c>
      <c r="M618" s="1171">
        <f t="shared" ref="M618:O618" si="631">SUM(M619:M640)</f>
        <v>0</v>
      </c>
      <c r="N618" s="1171">
        <f>SUM(N619:N640)</f>
        <v>0</v>
      </c>
      <c r="O618" s="1171">
        <f t="shared" si="631"/>
        <v>0</v>
      </c>
      <c r="P618" s="1171">
        <f t="shared" ref="P618:U618" si="632">SUM(P619:P640)</f>
        <v>0</v>
      </c>
      <c r="Q618" s="1171">
        <f t="shared" si="632"/>
        <v>0</v>
      </c>
      <c r="R618" s="1171">
        <f t="shared" si="632"/>
        <v>0</v>
      </c>
      <c r="S618" s="1171">
        <f t="shared" si="632"/>
        <v>0</v>
      </c>
      <c r="T618" s="1171">
        <f t="shared" si="632"/>
        <v>0</v>
      </c>
      <c r="U618" s="1171">
        <f t="shared" si="632"/>
        <v>0</v>
      </c>
      <c r="V618" s="1171">
        <f t="shared" si="621"/>
        <v>0</v>
      </c>
      <c r="W618" s="1171">
        <f t="shared" ref="W618:AB618" si="633">SUM(W619:W640)</f>
        <v>0</v>
      </c>
      <c r="X618" s="1171">
        <f t="shared" si="633"/>
        <v>0</v>
      </c>
      <c r="Y618" s="1171">
        <f t="shared" si="633"/>
        <v>0</v>
      </c>
      <c r="Z618" s="1171">
        <f t="shared" si="633"/>
        <v>0</v>
      </c>
      <c r="AA618" s="1171">
        <f t="shared" si="633"/>
        <v>0</v>
      </c>
      <c r="AB618" s="1171">
        <f t="shared" si="633"/>
        <v>0</v>
      </c>
      <c r="AD618" s="650">
        <f t="shared" si="619"/>
        <v>0</v>
      </c>
      <c r="AI618" s="1277" t="e">
        <f>VLOOKUP(K618,'[2]ผลการเบิกจ่ายสะสม พ.ย. 66'!$C:$N,12,0)</f>
        <v>#N/A</v>
      </c>
      <c r="AJ618" s="1274" t="e">
        <f t="shared" si="620"/>
        <v>#N/A</v>
      </c>
    </row>
    <row r="619" spans="1:36" ht="21" customHeight="1" outlineLevel="1" x14ac:dyDescent="0.35">
      <c r="A619" s="313"/>
      <c r="B619" s="293"/>
      <c r="C619" s="293" t="s">
        <v>1187</v>
      </c>
      <c r="D619" s="1168"/>
      <c r="E619" s="1171"/>
      <c r="F619" s="1171"/>
      <c r="G619" s="1171"/>
      <c r="H619" s="1171"/>
      <c r="I619" s="1172"/>
      <c r="J619" s="1172"/>
      <c r="K619" s="1047"/>
      <c r="L619" s="1047"/>
      <c r="M619" s="1171"/>
      <c r="N619" s="1171"/>
      <c r="O619" s="1171"/>
      <c r="P619" s="1171"/>
      <c r="Q619" s="1171"/>
      <c r="R619" s="1171"/>
      <c r="S619" s="1171"/>
      <c r="T619" s="1091">
        <f t="shared" ref="T619:T640" si="634">+R619+S619</f>
        <v>0</v>
      </c>
      <c r="U619" s="1091">
        <f t="shared" ref="U619:U640" si="635">+N619+O619-T619</f>
        <v>0</v>
      </c>
      <c r="V619" s="1091">
        <f t="shared" si="621"/>
        <v>0</v>
      </c>
      <c r="W619" s="1091"/>
      <c r="X619" s="1091">
        <f t="shared" ref="X619:X640" si="636">+T619+Q619</f>
        <v>0</v>
      </c>
      <c r="Y619" s="1091">
        <f t="shared" ref="Y619:Y640" si="637">+U619-Q619</f>
        <v>0</v>
      </c>
      <c r="Z619" s="1091">
        <f t="shared" ref="Z619:Z640" si="638">+T619+Q619+P619</f>
        <v>0</v>
      </c>
      <c r="AA619" s="1091">
        <f t="shared" ref="AA619:AA640" si="639">+U619-Q619-P619</f>
        <v>0</v>
      </c>
      <c r="AB619" s="1091">
        <f t="shared" ref="AB619:AB640" si="640">IFERROR(Z619*100/(N619+O619),0)</f>
        <v>0</v>
      </c>
      <c r="AD619" s="650">
        <f t="shared" si="619"/>
        <v>0</v>
      </c>
      <c r="AI619" s="1277">
        <f>VLOOKUP(K619,'[2]ผลการเบิกจ่ายสะสม พ.ย. 66'!$C:$N,12,0)</f>
        <v>0</v>
      </c>
      <c r="AJ619" s="1274">
        <f t="shared" si="620"/>
        <v>0</v>
      </c>
    </row>
    <row r="620" spans="1:36" ht="21" customHeight="1" outlineLevel="1" x14ac:dyDescent="0.35">
      <c r="A620" s="313"/>
      <c r="B620" s="293"/>
      <c r="C620" s="293" t="s">
        <v>1188</v>
      </c>
      <c r="D620" s="1168"/>
      <c r="E620" s="1171"/>
      <c r="F620" s="1171"/>
      <c r="G620" s="1171"/>
      <c r="H620" s="1171"/>
      <c r="I620" s="1172"/>
      <c r="J620" s="1172"/>
      <c r="K620" s="1047"/>
      <c r="L620" s="1047"/>
      <c r="M620" s="1171"/>
      <c r="N620" s="1171"/>
      <c r="O620" s="1171"/>
      <c r="P620" s="1171"/>
      <c r="Q620" s="1171"/>
      <c r="R620" s="1171"/>
      <c r="S620" s="1171"/>
      <c r="T620" s="1091">
        <f t="shared" si="634"/>
        <v>0</v>
      </c>
      <c r="U620" s="1091">
        <f t="shared" si="635"/>
        <v>0</v>
      </c>
      <c r="V620" s="1091">
        <f t="shared" si="621"/>
        <v>0</v>
      </c>
      <c r="W620" s="1091"/>
      <c r="X620" s="1091">
        <f t="shared" si="636"/>
        <v>0</v>
      </c>
      <c r="Y620" s="1091">
        <f t="shared" si="637"/>
        <v>0</v>
      </c>
      <c r="Z620" s="1091">
        <f t="shared" si="638"/>
        <v>0</v>
      </c>
      <c r="AA620" s="1091">
        <f t="shared" si="639"/>
        <v>0</v>
      </c>
      <c r="AB620" s="1091">
        <f t="shared" si="640"/>
        <v>0</v>
      </c>
      <c r="AD620" s="650">
        <f t="shared" si="619"/>
        <v>0</v>
      </c>
      <c r="AI620" s="1277">
        <f>VLOOKUP(K620,'[2]ผลการเบิกจ่ายสะสม พ.ย. 66'!$C:$N,12,0)</f>
        <v>0</v>
      </c>
      <c r="AJ620" s="1274">
        <f t="shared" si="620"/>
        <v>0</v>
      </c>
    </row>
    <row r="621" spans="1:36" ht="21" customHeight="1" outlineLevel="1" x14ac:dyDescent="0.35">
      <c r="A621" s="313"/>
      <c r="B621" s="293"/>
      <c r="C621" s="293" t="s">
        <v>1189</v>
      </c>
      <c r="D621" s="1168"/>
      <c r="E621" s="1171"/>
      <c r="F621" s="1171"/>
      <c r="G621" s="1171"/>
      <c r="H621" s="1171"/>
      <c r="I621" s="1172"/>
      <c r="J621" s="1172"/>
      <c r="K621" s="1047"/>
      <c r="L621" s="1047"/>
      <c r="M621" s="1171"/>
      <c r="N621" s="1171"/>
      <c r="O621" s="1171"/>
      <c r="P621" s="1171"/>
      <c r="Q621" s="1171"/>
      <c r="R621" s="1171"/>
      <c r="S621" s="1171"/>
      <c r="T621" s="1091">
        <f t="shared" si="634"/>
        <v>0</v>
      </c>
      <c r="U621" s="1091">
        <f t="shared" si="635"/>
        <v>0</v>
      </c>
      <c r="V621" s="1091">
        <f t="shared" si="621"/>
        <v>0</v>
      </c>
      <c r="W621" s="1091"/>
      <c r="X621" s="1091">
        <f t="shared" si="636"/>
        <v>0</v>
      </c>
      <c r="Y621" s="1091">
        <f t="shared" si="637"/>
        <v>0</v>
      </c>
      <c r="Z621" s="1091">
        <f t="shared" si="638"/>
        <v>0</v>
      </c>
      <c r="AA621" s="1091">
        <f t="shared" si="639"/>
        <v>0</v>
      </c>
      <c r="AB621" s="1091">
        <f t="shared" si="640"/>
        <v>0</v>
      </c>
      <c r="AD621" s="650">
        <f t="shared" si="619"/>
        <v>0</v>
      </c>
      <c r="AI621" s="1277">
        <f>VLOOKUP(K621,'[2]ผลการเบิกจ่ายสะสม พ.ย. 66'!$C:$N,12,0)</f>
        <v>0</v>
      </c>
      <c r="AJ621" s="1274">
        <f t="shared" si="620"/>
        <v>0</v>
      </c>
    </row>
    <row r="622" spans="1:36" ht="21" customHeight="1" outlineLevel="1" x14ac:dyDescent="0.35">
      <c r="A622" s="313"/>
      <c r="B622" s="293"/>
      <c r="C622" s="293" t="s">
        <v>1190</v>
      </c>
      <c r="D622" s="1168"/>
      <c r="E622" s="1171"/>
      <c r="F622" s="1171"/>
      <c r="G622" s="1171"/>
      <c r="H622" s="1171"/>
      <c r="I622" s="1172"/>
      <c r="J622" s="1172"/>
      <c r="K622" s="1047"/>
      <c r="L622" s="1047"/>
      <c r="M622" s="1171"/>
      <c r="N622" s="1171"/>
      <c r="O622" s="1171"/>
      <c r="P622" s="1171"/>
      <c r="Q622" s="1171"/>
      <c r="R622" s="1171"/>
      <c r="S622" s="1171"/>
      <c r="T622" s="1091">
        <f t="shared" si="634"/>
        <v>0</v>
      </c>
      <c r="U622" s="1091">
        <f t="shared" si="635"/>
        <v>0</v>
      </c>
      <c r="V622" s="1091">
        <f t="shared" si="621"/>
        <v>0</v>
      </c>
      <c r="W622" s="1091"/>
      <c r="X622" s="1091">
        <f t="shared" si="636"/>
        <v>0</v>
      </c>
      <c r="Y622" s="1091">
        <f t="shared" si="637"/>
        <v>0</v>
      </c>
      <c r="Z622" s="1091">
        <f t="shared" si="638"/>
        <v>0</v>
      </c>
      <c r="AA622" s="1091">
        <f t="shared" si="639"/>
        <v>0</v>
      </c>
      <c r="AB622" s="1091">
        <f t="shared" si="640"/>
        <v>0</v>
      </c>
      <c r="AD622" s="650">
        <f t="shared" si="619"/>
        <v>0</v>
      </c>
      <c r="AI622" s="1277">
        <f>VLOOKUP(K622,'[2]ผลการเบิกจ่ายสะสม พ.ย. 66'!$C:$N,12,0)</f>
        <v>0</v>
      </c>
      <c r="AJ622" s="1274">
        <f t="shared" si="620"/>
        <v>0</v>
      </c>
    </row>
    <row r="623" spans="1:36" ht="21" customHeight="1" outlineLevel="1" x14ac:dyDescent="0.35">
      <c r="A623" s="313"/>
      <c r="B623" s="293"/>
      <c r="C623" s="293" t="s">
        <v>1191</v>
      </c>
      <c r="D623" s="1168"/>
      <c r="E623" s="1171"/>
      <c r="F623" s="1171"/>
      <c r="G623" s="1171"/>
      <c r="H623" s="1171"/>
      <c r="I623" s="1172"/>
      <c r="J623" s="1172"/>
      <c r="K623" s="1047"/>
      <c r="L623" s="1047"/>
      <c r="M623" s="1171"/>
      <c r="N623" s="1171"/>
      <c r="O623" s="1171"/>
      <c r="P623" s="1171"/>
      <c r="Q623" s="1171"/>
      <c r="R623" s="1171"/>
      <c r="S623" s="1171"/>
      <c r="T623" s="1091">
        <f t="shared" si="634"/>
        <v>0</v>
      </c>
      <c r="U623" s="1091">
        <f t="shared" si="635"/>
        <v>0</v>
      </c>
      <c r="V623" s="1091">
        <f t="shared" si="621"/>
        <v>0</v>
      </c>
      <c r="W623" s="1091"/>
      <c r="X623" s="1091">
        <f t="shared" si="636"/>
        <v>0</v>
      </c>
      <c r="Y623" s="1091">
        <f t="shared" si="637"/>
        <v>0</v>
      </c>
      <c r="Z623" s="1091">
        <f t="shared" si="638"/>
        <v>0</v>
      </c>
      <c r="AA623" s="1091">
        <f t="shared" si="639"/>
        <v>0</v>
      </c>
      <c r="AB623" s="1091">
        <f t="shared" si="640"/>
        <v>0</v>
      </c>
      <c r="AD623" s="650">
        <f t="shared" si="619"/>
        <v>0</v>
      </c>
      <c r="AI623" s="1277">
        <f>VLOOKUP(K623,'[2]ผลการเบิกจ่ายสะสม พ.ย. 66'!$C:$N,12,0)</f>
        <v>0</v>
      </c>
      <c r="AJ623" s="1274">
        <f t="shared" si="620"/>
        <v>0</v>
      </c>
    </row>
    <row r="624" spans="1:36" ht="21" customHeight="1" outlineLevel="1" x14ac:dyDescent="0.35">
      <c r="A624" s="313"/>
      <c r="B624" s="293"/>
      <c r="C624" s="293" t="s">
        <v>1192</v>
      </c>
      <c r="D624" s="1168"/>
      <c r="E624" s="1171"/>
      <c r="F624" s="1171"/>
      <c r="G624" s="1171"/>
      <c r="H624" s="1171"/>
      <c r="I624" s="1172"/>
      <c r="J624" s="1172"/>
      <c r="K624" s="1047"/>
      <c r="L624" s="1047"/>
      <c r="M624" s="1171"/>
      <c r="N624" s="1171"/>
      <c r="O624" s="1171"/>
      <c r="P624" s="1171"/>
      <c r="Q624" s="1171"/>
      <c r="R624" s="1171"/>
      <c r="S624" s="1171"/>
      <c r="T624" s="1091">
        <f t="shared" si="634"/>
        <v>0</v>
      </c>
      <c r="U624" s="1091">
        <f t="shared" si="635"/>
        <v>0</v>
      </c>
      <c r="V624" s="1091">
        <f t="shared" si="621"/>
        <v>0</v>
      </c>
      <c r="W624" s="1091"/>
      <c r="X624" s="1091">
        <f t="shared" si="636"/>
        <v>0</v>
      </c>
      <c r="Y624" s="1091">
        <f t="shared" si="637"/>
        <v>0</v>
      </c>
      <c r="Z624" s="1091">
        <f t="shared" si="638"/>
        <v>0</v>
      </c>
      <c r="AA624" s="1091">
        <f t="shared" si="639"/>
        <v>0</v>
      </c>
      <c r="AB624" s="1091">
        <f t="shared" si="640"/>
        <v>0</v>
      </c>
      <c r="AD624" s="650">
        <f t="shared" si="619"/>
        <v>0</v>
      </c>
      <c r="AI624" s="1277">
        <f>VLOOKUP(K624,'[2]ผลการเบิกจ่ายสะสม พ.ย. 66'!$C:$N,12,0)</f>
        <v>0</v>
      </c>
      <c r="AJ624" s="1274">
        <f t="shared" si="620"/>
        <v>0</v>
      </c>
    </row>
    <row r="625" spans="1:36" ht="21" customHeight="1" outlineLevel="1" x14ac:dyDescent="0.35">
      <c r="A625" s="313"/>
      <c r="B625" s="293"/>
      <c r="C625" s="293" t="s">
        <v>1193</v>
      </c>
      <c r="D625" s="1168"/>
      <c r="E625" s="1171"/>
      <c r="F625" s="1171"/>
      <c r="G625" s="1171"/>
      <c r="H625" s="1171"/>
      <c r="I625" s="1172"/>
      <c r="J625" s="1172"/>
      <c r="K625" s="1047"/>
      <c r="L625" s="1047"/>
      <c r="M625" s="1171"/>
      <c r="N625" s="1171"/>
      <c r="O625" s="1171"/>
      <c r="P625" s="1171"/>
      <c r="Q625" s="1171"/>
      <c r="R625" s="1171"/>
      <c r="S625" s="1171"/>
      <c r="T625" s="1091">
        <f t="shared" si="634"/>
        <v>0</v>
      </c>
      <c r="U625" s="1091">
        <f t="shared" si="635"/>
        <v>0</v>
      </c>
      <c r="V625" s="1091">
        <f t="shared" si="621"/>
        <v>0</v>
      </c>
      <c r="W625" s="1091"/>
      <c r="X625" s="1091">
        <f t="shared" si="636"/>
        <v>0</v>
      </c>
      <c r="Y625" s="1091">
        <f t="shared" si="637"/>
        <v>0</v>
      </c>
      <c r="Z625" s="1091">
        <f t="shared" si="638"/>
        <v>0</v>
      </c>
      <c r="AA625" s="1091">
        <f t="shared" si="639"/>
        <v>0</v>
      </c>
      <c r="AB625" s="1091">
        <f t="shared" si="640"/>
        <v>0</v>
      </c>
      <c r="AD625" s="650">
        <f t="shared" si="619"/>
        <v>0</v>
      </c>
      <c r="AI625" s="1277">
        <f>VLOOKUP(K625,'[2]ผลการเบิกจ่ายสะสม พ.ย. 66'!$C:$N,12,0)</f>
        <v>0</v>
      </c>
      <c r="AJ625" s="1274">
        <f t="shared" si="620"/>
        <v>0</v>
      </c>
    </row>
    <row r="626" spans="1:36" ht="21" customHeight="1" outlineLevel="1" x14ac:dyDescent="0.35">
      <c r="A626" s="313"/>
      <c r="B626" s="293"/>
      <c r="C626" s="293" t="s">
        <v>1194</v>
      </c>
      <c r="D626" s="1168"/>
      <c r="E626" s="1171"/>
      <c r="F626" s="1171"/>
      <c r="G626" s="1171"/>
      <c r="H626" s="1171"/>
      <c r="I626" s="1172"/>
      <c r="J626" s="1172"/>
      <c r="K626" s="1047"/>
      <c r="L626" s="1047"/>
      <c r="M626" s="1171"/>
      <c r="N626" s="1171"/>
      <c r="O626" s="1171"/>
      <c r="P626" s="1171"/>
      <c r="Q626" s="1171"/>
      <c r="R626" s="1171"/>
      <c r="S626" s="1171"/>
      <c r="T626" s="1091">
        <f t="shared" si="634"/>
        <v>0</v>
      </c>
      <c r="U626" s="1091">
        <f t="shared" si="635"/>
        <v>0</v>
      </c>
      <c r="V626" s="1091">
        <f t="shared" si="621"/>
        <v>0</v>
      </c>
      <c r="W626" s="1091"/>
      <c r="X626" s="1091">
        <f t="shared" si="636"/>
        <v>0</v>
      </c>
      <c r="Y626" s="1091">
        <f t="shared" si="637"/>
        <v>0</v>
      </c>
      <c r="Z626" s="1091">
        <f t="shared" si="638"/>
        <v>0</v>
      </c>
      <c r="AA626" s="1091">
        <f t="shared" si="639"/>
        <v>0</v>
      </c>
      <c r="AB626" s="1091">
        <f t="shared" si="640"/>
        <v>0</v>
      </c>
      <c r="AD626" s="650">
        <f t="shared" si="619"/>
        <v>0</v>
      </c>
      <c r="AI626" s="1277">
        <f>VLOOKUP(K626,'[2]ผลการเบิกจ่ายสะสม พ.ย. 66'!$C:$N,12,0)</f>
        <v>0</v>
      </c>
      <c r="AJ626" s="1274">
        <f t="shared" si="620"/>
        <v>0</v>
      </c>
    </row>
    <row r="627" spans="1:36" ht="21" customHeight="1" outlineLevel="1" x14ac:dyDescent="0.35">
      <c r="A627" s="313"/>
      <c r="B627" s="293"/>
      <c r="C627" s="293" t="s">
        <v>1195</v>
      </c>
      <c r="D627" s="1168"/>
      <c r="E627" s="1171"/>
      <c r="F627" s="1171"/>
      <c r="G627" s="1171"/>
      <c r="H627" s="1171"/>
      <c r="I627" s="1172"/>
      <c r="J627" s="1172"/>
      <c r="K627" s="1047"/>
      <c r="L627" s="1047"/>
      <c r="M627" s="1171"/>
      <c r="N627" s="1171"/>
      <c r="O627" s="1171"/>
      <c r="P627" s="1171"/>
      <c r="Q627" s="1171"/>
      <c r="R627" s="1171"/>
      <c r="S627" s="1171"/>
      <c r="T627" s="1091">
        <f t="shared" si="634"/>
        <v>0</v>
      </c>
      <c r="U627" s="1091">
        <f t="shared" si="635"/>
        <v>0</v>
      </c>
      <c r="V627" s="1091">
        <f t="shared" si="621"/>
        <v>0</v>
      </c>
      <c r="W627" s="1091"/>
      <c r="X627" s="1091">
        <f t="shared" si="636"/>
        <v>0</v>
      </c>
      <c r="Y627" s="1091">
        <f t="shared" si="637"/>
        <v>0</v>
      </c>
      <c r="Z627" s="1091">
        <f t="shared" si="638"/>
        <v>0</v>
      </c>
      <c r="AA627" s="1091">
        <f t="shared" si="639"/>
        <v>0</v>
      </c>
      <c r="AB627" s="1091">
        <f t="shared" si="640"/>
        <v>0</v>
      </c>
      <c r="AD627" s="650">
        <f t="shared" si="619"/>
        <v>0</v>
      </c>
      <c r="AI627" s="1277">
        <f>VLOOKUP(K627,'[2]ผลการเบิกจ่ายสะสม พ.ย. 66'!$C:$N,12,0)</f>
        <v>0</v>
      </c>
      <c r="AJ627" s="1274">
        <f t="shared" si="620"/>
        <v>0</v>
      </c>
    </row>
    <row r="628" spans="1:36" ht="21" customHeight="1" outlineLevel="1" x14ac:dyDescent="0.35">
      <c r="A628" s="313"/>
      <c r="B628" s="293"/>
      <c r="C628" s="293" t="s">
        <v>1196</v>
      </c>
      <c r="D628" s="1168"/>
      <c r="E628" s="1171"/>
      <c r="F628" s="1171"/>
      <c r="G628" s="1171"/>
      <c r="H628" s="1171"/>
      <c r="I628" s="1172"/>
      <c r="J628" s="1172"/>
      <c r="K628" s="1047"/>
      <c r="L628" s="1047"/>
      <c r="M628" s="1171"/>
      <c r="N628" s="1171"/>
      <c r="O628" s="1171"/>
      <c r="P628" s="1171"/>
      <c r="Q628" s="1171"/>
      <c r="R628" s="1171"/>
      <c r="S628" s="1171"/>
      <c r="T628" s="1091">
        <f t="shared" si="634"/>
        <v>0</v>
      </c>
      <c r="U628" s="1091">
        <f t="shared" si="635"/>
        <v>0</v>
      </c>
      <c r="V628" s="1091">
        <f t="shared" si="621"/>
        <v>0</v>
      </c>
      <c r="W628" s="1091"/>
      <c r="X628" s="1091">
        <f t="shared" si="636"/>
        <v>0</v>
      </c>
      <c r="Y628" s="1091">
        <f t="shared" si="637"/>
        <v>0</v>
      </c>
      <c r="Z628" s="1091">
        <f t="shared" si="638"/>
        <v>0</v>
      </c>
      <c r="AA628" s="1091">
        <f t="shared" si="639"/>
        <v>0</v>
      </c>
      <c r="AB628" s="1091">
        <f t="shared" si="640"/>
        <v>0</v>
      </c>
      <c r="AD628" s="650">
        <f t="shared" si="619"/>
        <v>0</v>
      </c>
      <c r="AI628" s="1277">
        <f>VLOOKUP(K628,'[2]ผลการเบิกจ่ายสะสม พ.ย. 66'!$C:$N,12,0)</f>
        <v>0</v>
      </c>
      <c r="AJ628" s="1274">
        <f t="shared" si="620"/>
        <v>0</v>
      </c>
    </row>
    <row r="629" spans="1:36" ht="21" customHeight="1" outlineLevel="1" x14ac:dyDescent="0.35">
      <c r="A629" s="313"/>
      <c r="B629" s="293"/>
      <c r="C629" s="293" t="s">
        <v>1197</v>
      </c>
      <c r="D629" s="1168"/>
      <c r="E629" s="1171"/>
      <c r="F629" s="1171"/>
      <c r="G629" s="1171"/>
      <c r="H629" s="1171"/>
      <c r="I629" s="1172"/>
      <c r="J629" s="1172"/>
      <c r="K629" s="1047"/>
      <c r="L629" s="1047"/>
      <c r="M629" s="1171"/>
      <c r="N629" s="1171"/>
      <c r="O629" s="1171"/>
      <c r="P629" s="1171"/>
      <c r="Q629" s="1171"/>
      <c r="R629" s="1171"/>
      <c r="S629" s="1171"/>
      <c r="T629" s="1091">
        <f t="shared" si="634"/>
        <v>0</v>
      </c>
      <c r="U629" s="1091">
        <f t="shared" si="635"/>
        <v>0</v>
      </c>
      <c r="V629" s="1091">
        <f t="shared" si="621"/>
        <v>0</v>
      </c>
      <c r="W629" s="1091"/>
      <c r="X629" s="1091">
        <f t="shared" si="636"/>
        <v>0</v>
      </c>
      <c r="Y629" s="1091">
        <f t="shared" si="637"/>
        <v>0</v>
      </c>
      <c r="Z629" s="1091">
        <f t="shared" si="638"/>
        <v>0</v>
      </c>
      <c r="AA629" s="1091">
        <f t="shared" si="639"/>
        <v>0</v>
      </c>
      <c r="AB629" s="1091">
        <f t="shared" si="640"/>
        <v>0</v>
      </c>
      <c r="AD629" s="650">
        <f t="shared" si="619"/>
        <v>0</v>
      </c>
      <c r="AI629" s="1277">
        <f>VLOOKUP(K629,'[2]ผลการเบิกจ่ายสะสม พ.ย. 66'!$C:$N,12,0)</f>
        <v>0</v>
      </c>
      <c r="AJ629" s="1274">
        <f t="shared" si="620"/>
        <v>0</v>
      </c>
    </row>
    <row r="630" spans="1:36" ht="21" customHeight="1" outlineLevel="1" x14ac:dyDescent="0.35">
      <c r="A630" s="313"/>
      <c r="B630" s="293"/>
      <c r="C630" s="293" t="s">
        <v>1198</v>
      </c>
      <c r="D630" s="1168"/>
      <c r="E630" s="1171"/>
      <c r="F630" s="1171"/>
      <c r="G630" s="1171"/>
      <c r="H630" s="1171"/>
      <c r="I630" s="1172"/>
      <c r="J630" s="1172"/>
      <c r="K630" s="1047"/>
      <c r="L630" s="1047"/>
      <c r="M630" s="1171"/>
      <c r="N630" s="1171"/>
      <c r="O630" s="1171"/>
      <c r="P630" s="1171"/>
      <c r="Q630" s="1171"/>
      <c r="R630" s="1171"/>
      <c r="S630" s="1171"/>
      <c r="T630" s="1091">
        <f t="shared" si="634"/>
        <v>0</v>
      </c>
      <c r="U630" s="1091">
        <f t="shared" si="635"/>
        <v>0</v>
      </c>
      <c r="V630" s="1091">
        <f t="shared" si="621"/>
        <v>0</v>
      </c>
      <c r="W630" s="1091"/>
      <c r="X630" s="1091">
        <f t="shared" si="636"/>
        <v>0</v>
      </c>
      <c r="Y630" s="1091">
        <f t="shared" si="637"/>
        <v>0</v>
      </c>
      <c r="Z630" s="1091">
        <f t="shared" si="638"/>
        <v>0</v>
      </c>
      <c r="AA630" s="1091">
        <f t="shared" si="639"/>
        <v>0</v>
      </c>
      <c r="AB630" s="1091">
        <f t="shared" si="640"/>
        <v>0</v>
      </c>
      <c r="AD630" s="650">
        <f t="shared" si="619"/>
        <v>0</v>
      </c>
      <c r="AI630" s="1277">
        <f>VLOOKUP(K630,'[2]ผลการเบิกจ่ายสะสม พ.ย. 66'!$C:$N,12,0)</f>
        <v>0</v>
      </c>
      <c r="AJ630" s="1274">
        <f t="shared" si="620"/>
        <v>0</v>
      </c>
    </row>
    <row r="631" spans="1:36" ht="21" customHeight="1" outlineLevel="1" x14ac:dyDescent="0.35">
      <c r="A631" s="313"/>
      <c r="B631" s="293"/>
      <c r="C631" s="293" t="s">
        <v>1199</v>
      </c>
      <c r="D631" s="1168"/>
      <c r="E631" s="1171"/>
      <c r="F631" s="1171"/>
      <c r="G631" s="1171"/>
      <c r="H631" s="1171"/>
      <c r="I631" s="1172"/>
      <c r="J631" s="1172"/>
      <c r="K631" s="1047"/>
      <c r="L631" s="1047"/>
      <c r="M631" s="1171"/>
      <c r="N631" s="1171"/>
      <c r="O631" s="1171"/>
      <c r="P631" s="1171"/>
      <c r="Q631" s="1171"/>
      <c r="R631" s="1171"/>
      <c r="S631" s="1171"/>
      <c r="T631" s="1091">
        <f t="shared" si="634"/>
        <v>0</v>
      </c>
      <c r="U631" s="1091">
        <f t="shared" si="635"/>
        <v>0</v>
      </c>
      <c r="V631" s="1091">
        <f t="shared" si="621"/>
        <v>0</v>
      </c>
      <c r="W631" s="1091"/>
      <c r="X631" s="1091">
        <f t="shared" si="636"/>
        <v>0</v>
      </c>
      <c r="Y631" s="1091">
        <f t="shared" si="637"/>
        <v>0</v>
      </c>
      <c r="Z631" s="1091">
        <f t="shared" si="638"/>
        <v>0</v>
      </c>
      <c r="AA631" s="1091">
        <f t="shared" si="639"/>
        <v>0</v>
      </c>
      <c r="AB631" s="1091">
        <f t="shared" si="640"/>
        <v>0</v>
      </c>
      <c r="AD631" s="650">
        <f t="shared" si="619"/>
        <v>0</v>
      </c>
      <c r="AI631" s="1277">
        <f>VLOOKUP(K631,'[2]ผลการเบิกจ่ายสะสม พ.ย. 66'!$C:$N,12,0)</f>
        <v>0</v>
      </c>
      <c r="AJ631" s="1274">
        <f t="shared" si="620"/>
        <v>0</v>
      </c>
    </row>
    <row r="632" spans="1:36" ht="21" customHeight="1" outlineLevel="1" x14ac:dyDescent="0.35">
      <c r="A632" s="313"/>
      <c r="B632" s="293"/>
      <c r="C632" s="293" t="s">
        <v>1200</v>
      </c>
      <c r="D632" s="1168"/>
      <c r="E632" s="1171"/>
      <c r="F632" s="1171"/>
      <c r="G632" s="1171"/>
      <c r="H632" s="1171"/>
      <c r="I632" s="1172"/>
      <c r="J632" s="1172"/>
      <c r="K632" s="1047"/>
      <c r="L632" s="1047"/>
      <c r="M632" s="1171"/>
      <c r="N632" s="1171"/>
      <c r="O632" s="1171"/>
      <c r="P632" s="1171"/>
      <c r="Q632" s="1171"/>
      <c r="R632" s="1171"/>
      <c r="S632" s="1171"/>
      <c r="T632" s="1091">
        <f t="shared" si="634"/>
        <v>0</v>
      </c>
      <c r="U632" s="1091">
        <f t="shared" si="635"/>
        <v>0</v>
      </c>
      <c r="V632" s="1091">
        <f t="shared" si="621"/>
        <v>0</v>
      </c>
      <c r="W632" s="1091"/>
      <c r="X632" s="1091">
        <f t="shared" si="636"/>
        <v>0</v>
      </c>
      <c r="Y632" s="1091">
        <f t="shared" si="637"/>
        <v>0</v>
      </c>
      <c r="Z632" s="1091">
        <f t="shared" si="638"/>
        <v>0</v>
      </c>
      <c r="AA632" s="1091">
        <f t="shared" si="639"/>
        <v>0</v>
      </c>
      <c r="AB632" s="1091">
        <f t="shared" si="640"/>
        <v>0</v>
      </c>
      <c r="AD632" s="650">
        <f t="shared" si="619"/>
        <v>0</v>
      </c>
      <c r="AI632" s="1277">
        <f>VLOOKUP(K632,'[2]ผลการเบิกจ่ายสะสม พ.ย. 66'!$C:$N,12,0)</f>
        <v>0</v>
      </c>
      <c r="AJ632" s="1274">
        <f t="shared" si="620"/>
        <v>0</v>
      </c>
    </row>
    <row r="633" spans="1:36" ht="21" customHeight="1" outlineLevel="1" x14ac:dyDescent="0.35">
      <c r="A633" s="313"/>
      <c r="B633" s="293"/>
      <c r="C633" s="293" t="s">
        <v>1201</v>
      </c>
      <c r="D633" s="1168"/>
      <c r="E633" s="1171"/>
      <c r="F633" s="1171"/>
      <c r="G633" s="1171"/>
      <c r="H633" s="1171"/>
      <c r="I633" s="1172"/>
      <c r="J633" s="1172"/>
      <c r="K633" s="1047"/>
      <c r="L633" s="1047"/>
      <c r="M633" s="1171"/>
      <c r="N633" s="1171"/>
      <c r="O633" s="1171"/>
      <c r="P633" s="1171"/>
      <c r="Q633" s="1171"/>
      <c r="R633" s="1171"/>
      <c r="S633" s="1171"/>
      <c r="T633" s="1091">
        <f t="shared" si="634"/>
        <v>0</v>
      </c>
      <c r="U633" s="1091">
        <f t="shared" si="635"/>
        <v>0</v>
      </c>
      <c r="V633" s="1091">
        <f t="shared" si="621"/>
        <v>0</v>
      </c>
      <c r="W633" s="1091"/>
      <c r="X633" s="1091">
        <f t="shared" si="636"/>
        <v>0</v>
      </c>
      <c r="Y633" s="1091">
        <f t="shared" si="637"/>
        <v>0</v>
      </c>
      <c r="Z633" s="1091">
        <f t="shared" si="638"/>
        <v>0</v>
      </c>
      <c r="AA633" s="1091">
        <f t="shared" si="639"/>
        <v>0</v>
      </c>
      <c r="AB633" s="1091">
        <f t="shared" si="640"/>
        <v>0</v>
      </c>
      <c r="AD633" s="650">
        <f t="shared" si="619"/>
        <v>0</v>
      </c>
      <c r="AI633" s="1277">
        <f>VLOOKUP(K633,'[2]ผลการเบิกจ่ายสะสม พ.ย. 66'!$C:$N,12,0)</f>
        <v>0</v>
      </c>
      <c r="AJ633" s="1274">
        <f t="shared" si="620"/>
        <v>0</v>
      </c>
    </row>
    <row r="634" spans="1:36" ht="21" customHeight="1" outlineLevel="1" x14ac:dyDescent="0.35">
      <c r="A634" s="313"/>
      <c r="B634" s="293"/>
      <c r="C634" s="293" t="s">
        <v>1202</v>
      </c>
      <c r="D634" s="1168"/>
      <c r="E634" s="1171"/>
      <c r="F634" s="1171"/>
      <c r="G634" s="1171"/>
      <c r="H634" s="1171"/>
      <c r="I634" s="1172"/>
      <c r="J634" s="1172"/>
      <c r="K634" s="1047"/>
      <c r="L634" s="1047"/>
      <c r="M634" s="1171"/>
      <c r="N634" s="1171"/>
      <c r="O634" s="1171"/>
      <c r="P634" s="1171"/>
      <c r="Q634" s="1171"/>
      <c r="R634" s="1171"/>
      <c r="S634" s="1171"/>
      <c r="T634" s="1091">
        <f t="shared" si="634"/>
        <v>0</v>
      </c>
      <c r="U634" s="1091">
        <f t="shared" si="635"/>
        <v>0</v>
      </c>
      <c r="V634" s="1091">
        <f t="shared" si="621"/>
        <v>0</v>
      </c>
      <c r="W634" s="1091"/>
      <c r="X634" s="1091">
        <f t="shared" si="636"/>
        <v>0</v>
      </c>
      <c r="Y634" s="1091">
        <f t="shared" si="637"/>
        <v>0</v>
      </c>
      <c r="Z634" s="1091">
        <f t="shared" si="638"/>
        <v>0</v>
      </c>
      <c r="AA634" s="1091">
        <f t="shared" si="639"/>
        <v>0</v>
      </c>
      <c r="AB634" s="1091">
        <f t="shared" si="640"/>
        <v>0</v>
      </c>
      <c r="AD634" s="650">
        <f t="shared" si="619"/>
        <v>0</v>
      </c>
      <c r="AI634" s="1277">
        <f>VLOOKUP(K634,'[2]ผลการเบิกจ่ายสะสม พ.ย. 66'!$C:$N,12,0)</f>
        <v>0</v>
      </c>
      <c r="AJ634" s="1274">
        <f t="shared" si="620"/>
        <v>0</v>
      </c>
    </row>
    <row r="635" spans="1:36" ht="21" customHeight="1" outlineLevel="1" x14ac:dyDescent="0.35">
      <c r="A635" s="313"/>
      <c r="B635" s="293"/>
      <c r="C635" s="293" t="s">
        <v>1203</v>
      </c>
      <c r="D635" s="1168"/>
      <c r="E635" s="1171"/>
      <c r="F635" s="1171"/>
      <c r="G635" s="1171"/>
      <c r="H635" s="1171"/>
      <c r="I635" s="1172"/>
      <c r="J635" s="1172"/>
      <c r="K635" s="1047"/>
      <c r="L635" s="1047"/>
      <c r="M635" s="1171"/>
      <c r="N635" s="1171"/>
      <c r="O635" s="1171"/>
      <c r="P635" s="1171"/>
      <c r="Q635" s="1171"/>
      <c r="R635" s="1171"/>
      <c r="S635" s="1171"/>
      <c r="T635" s="1091">
        <f t="shared" si="634"/>
        <v>0</v>
      </c>
      <c r="U635" s="1091">
        <f t="shared" si="635"/>
        <v>0</v>
      </c>
      <c r="V635" s="1091">
        <f t="shared" si="621"/>
        <v>0</v>
      </c>
      <c r="W635" s="1091"/>
      <c r="X635" s="1091">
        <f t="shared" si="636"/>
        <v>0</v>
      </c>
      <c r="Y635" s="1091">
        <f t="shared" si="637"/>
        <v>0</v>
      </c>
      <c r="Z635" s="1091">
        <f t="shared" si="638"/>
        <v>0</v>
      </c>
      <c r="AA635" s="1091">
        <f t="shared" si="639"/>
        <v>0</v>
      </c>
      <c r="AB635" s="1091">
        <f t="shared" si="640"/>
        <v>0</v>
      </c>
      <c r="AD635" s="650">
        <f t="shared" si="619"/>
        <v>0</v>
      </c>
      <c r="AI635" s="1277">
        <f>VLOOKUP(K635,'[2]ผลการเบิกจ่ายสะสม พ.ย. 66'!$C:$N,12,0)</f>
        <v>0</v>
      </c>
      <c r="AJ635" s="1274">
        <f t="shared" si="620"/>
        <v>0</v>
      </c>
    </row>
    <row r="636" spans="1:36" ht="21" customHeight="1" outlineLevel="1" x14ac:dyDescent="0.35">
      <c r="A636" s="313"/>
      <c r="B636" s="293"/>
      <c r="C636" s="293" t="s">
        <v>1204</v>
      </c>
      <c r="D636" s="1168"/>
      <c r="E636" s="1171"/>
      <c r="F636" s="1171"/>
      <c r="G636" s="1171"/>
      <c r="H636" s="1171"/>
      <c r="I636" s="1172"/>
      <c r="J636" s="1172"/>
      <c r="K636" s="1047"/>
      <c r="L636" s="1047"/>
      <c r="M636" s="1171"/>
      <c r="N636" s="1171"/>
      <c r="O636" s="1171"/>
      <c r="P636" s="1171"/>
      <c r="Q636" s="1171"/>
      <c r="R636" s="1171"/>
      <c r="S636" s="1171"/>
      <c r="T636" s="1091">
        <f t="shared" si="634"/>
        <v>0</v>
      </c>
      <c r="U636" s="1091">
        <f t="shared" si="635"/>
        <v>0</v>
      </c>
      <c r="V636" s="1091">
        <f t="shared" si="621"/>
        <v>0</v>
      </c>
      <c r="W636" s="1091"/>
      <c r="X636" s="1091">
        <f t="shared" si="636"/>
        <v>0</v>
      </c>
      <c r="Y636" s="1091">
        <f t="shared" si="637"/>
        <v>0</v>
      </c>
      <c r="Z636" s="1091">
        <f t="shared" si="638"/>
        <v>0</v>
      </c>
      <c r="AA636" s="1091">
        <f t="shared" si="639"/>
        <v>0</v>
      </c>
      <c r="AB636" s="1091">
        <f t="shared" si="640"/>
        <v>0</v>
      </c>
      <c r="AD636" s="650">
        <f t="shared" si="619"/>
        <v>0</v>
      </c>
      <c r="AI636" s="1277">
        <f>VLOOKUP(K636,'[2]ผลการเบิกจ่ายสะสม พ.ย. 66'!$C:$N,12,0)</f>
        <v>0</v>
      </c>
      <c r="AJ636" s="1274">
        <f t="shared" si="620"/>
        <v>0</v>
      </c>
    </row>
    <row r="637" spans="1:36" ht="21" customHeight="1" outlineLevel="1" x14ac:dyDescent="0.35">
      <c r="A637" s="313"/>
      <c r="B637" s="293"/>
      <c r="C637" s="293" t="s">
        <v>1205</v>
      </c>
      <c r="D637" s="1168"/>
      <c r="E637" s="1171"/>
      <c r="F637" s="1171"/>
      <c r="G637" s="1171"/>
      <c r="H637" s="1171"/>
      <c r="I637" s="1172"/>
      <c r="J637" s="1172"/>
      <c r="K637" s="1047"/>
      <c r="L637" s="1047"/>
      <c r="M637" s="1171"/>
      <c r="N637" s="1171"/>
      <c r="O637" s="1171"/>
      <c r="P637" s="1171"/>
      <c r="Q637" s="1171"/>
      <c r="R637" s="1171"/>
      <c r="S637" s="1171"/>
      <c r="T637" s="1091">
        <f t="shared" si="634"/>
        <v>0</v>
      </c>
      <c r="U637" s="1091">
        <f t="shared" si="635"/>
        <v>0</v>
      </c>
      <c r="V637" s="1091">
        <f t="shared" si="621"/>
        <v>0</v>
      </c>
      <c r="W637" s="1091"/>
      <c r="X637" s="1091">
        <f t="shared" si="636"/>
        <v>0</v>
      </c>
      <c r="Y637" s="1091">
        <f t="shared" si="637"/>
        <v>0</v>
      </c>
      <c r="Z637" s="1091">
        <f t="shared" si="638"/>
        <v>0</v>
      </c>
      <c r="AA637" s="1091">
        <f t="shared" si="639"/>
        <v>0</v>
      </c>
      <c r="AB637" s="1091">
        <f t="shared" si="640"/>
        <v>0</v>
      </c>
      <c r="AD637" s="650">
        <f t="shared" si="619"/>
        <v>0</v>
      </c>
      <c r="AI637" s="1277">
        <f>VLOOKUP(K637,'[2]ผลการเบิกจ่ายสะสม พ.ย. 66'!$C:$N,12,0)</f>
        <v>0</v>
      </c>
      <c r="AJ637" s="1274">
        <f t="shared" si="620"/>
        <v>0</v>
      </c>
    </row>
    <row r="638" spans="1:36" ht="21" customHeight="1" outlineLevel="1" x14ac:dyDescent="0.35">
      <c r="A638" s="313"/>
      <c r="B638" s="293"/>
      <c r="C638" s="293" t="s">
        <v>1206</v>
      </c>
      <c r="D638" s="1168"/>
      <c r="E638" s="1171"/>
      <c r="F638" s="1171"/>
      <c r="G638" s="1171"/>
      <c r="H638" s="1171"/>
      <c r="I638" s="1172"/>
      <c r="J638" s="1172"/>
      <c r="K638" s="1047"/>
      <c r="L638" s="1047"/>
      <c r="M638" s="1171"/>
      <c r="N638" s="1171"/>
      <c r="O638" s="1171"/>
      <c r="P638" s="1171"/>
      <c r="Q638" s="1171"/>
      <c r="R638" s="1171"/>
      <c r="S638" s="1171"/>
      <c r="T638" s="1091">
        <f t="shared" si="634"/>
        <v>0</v>
      </c>
      <c r="U638" s="1091">
        <f t="shared" si="635"/>
        <v>0</v>
      </c>
      <c r="V638" s="1091">
        <f t="shared" si="621"/>
        <v>0</v>
      </c>
      <c r="W638" s="1091"/>
      <c r="X638" s="1091">
        <f t="shared" si="636"/>
        <v>0</v>
      </c>
      <c r="Y638" s="1091">
        <f t="shared" si="637"/>
        <v>0</v>
      </c>
      <c r="Z638" s="1091">
        <f t="shared" si="638"/>
        <v>0</v>
      </c>
      <c r="AA638" s="1091">
        <f t="shared" si="639"/>
        <v>0</v>
      </c>
      <c r="AB638" s="1091">
        <f t="shared" si="640"/>
        <v>0</v>
      </c>
      <c r="AD638" s="650">
        <f t="shared" si="619"/>
        <v>0</v>
      </c>
      <c r="AI638" s="1277">
        <f>VLOOKUP(K638,'[2]ผลการเบิกจ่ายสะสม พ.ย. 66'!$C:$N,12,0)</f>
        <v>0</v>
      </c>
      <c r="AJ638" s="1274">
        <f t="shared" si="620"/>
        <v>0</v>
      </c>
    </row>
    <row r="639" spans="1:36" ht="21" customHeight="1" outlineLevel="1" x14ac:dyDescent="0.35">
      <c r="A639" s="313"/>
      <c r="B639" s="293"/>
      <c r="C639" s="293" t="s">
        <v>1207</v>
      </c>
      <c r="D639" s="1168"/>
      <c r="E639" s="1171"/>
      <c r="F639" s="1171"/>
      <c r="G639" s="1171"/>
      <c r="H639" s="1171"/>
      <c r="I639" s="1172"/>
      <c r="J639" s="1172"/>
      <c r="K639" s="1047"/>
      <c r="L639" s="1047"/>
      <c r="M639" s="1171"/>
      <c r="N639" s="1171"/>
      <c r="O639" s="1171"/>
      <c r="P639" s="1171"/>
      <c r="Q639" s="1171"/>
      <c r="R639" s="1171"/>
      <c r="S639" s="1171"/>
      <c r="T639" s="1091">
        <f t="shared" si="634"/>
        <v>0</v>
      </c>
      <c r="U639" s="1091">
        <f t="shared" si="635"/>
        <v>0</v>
      </c>
      <c r="V639" s="1091">
        <f t="shared" si="621"/>
        <v>0</v>
      </c>
      <c r="W639" s="1091"/>
      <c r="X639" s="1091">
        <f t="shared" si="636"/>
        <v>0</v>
      </c>
      <c r="Y639" s="1091">
        <f t="shared" si="637"/>
        <v>0</v>
      </c>
      <c r="Z639" s="1091">
        <f t="shared" si="638"/>
        <v>0</v>
      </c>
      <c r="AA639" s="1091">
        <f t="shared" si="639"/>
        <v>0</v>
      </c>
      <c r="AB639" s="1091">
        <f t="shared" si="640"/>
        <v>0</v>
      </c>
      <c r="AD639" s="650">
        <f t="shared" si="619"/>
        <v>0</v>
      </c>
      <c r="AI639" s="1277">
        <f>VLOOKUP(K639,'[2]ผลการเบิกจ่ายสะสม พ.ย. 66'!$C:$N,12,0)</f>
        <v>0</v>
      </c>
      <c r="AJ639" s="1274">
        <f t="shared" si="620"/>
        <v>0</v>
      </c>
    </row>
    <row r="640" spans="1:36" ht="21" customHeight="1" outlineLevel="1" x14ac:dyDescent="0.35">
      <c r="A640" s="313"/>
      <c r="B640" s="293"/>
      <c r="C640" s="293" t="s">
        <v>1208</v>
      </c>
      <c r="D640" s="1168"/>
      <c r="E640" s="1171"/>
      <c r="F640" s="1171"/>
      <c r="G640" s="1171"/>
      <c r="H640" s="1171"/>
      <c r="I640" s="1172"/>
      <c r="J640" s="1172"/>
      <c r="K640" s="1047"/>
      <c r="L640" s="1047"/>
      <c r="M640" s="1171"/>
      <c r="N640" s="1171"/>
      <c r="O640" s="1171"/>
      <c r="P640" s="1171"/>
      <c r="Q640" s="1171"/>
      <c r="R640" s="1171"/>
      <c r="S640" s="1171"/>
      <c r="T640" s="1091">
        <f t="shared" si="634"/>
        <v>0</v>
      </c>
      <c r="U640" s="1091">
        <f t="shared" si="635"/>
        <v>0</v>
      </c>
      <c r="V640" s="1091">
        <f t="shared" si="621"/>
        <v>0</v>
      </c>
      <c r="W640" s="1091"/>
      <c r="X640" s="1091">
        <f t="shared" si="636"/>
        <v>0</v>
      </c>
      <c r="Y640" s="1091">
        <f t="shared" si="637"/>
        <v>0</v>
      </c>
      <c r="Z640" s="1091">
        <f t="shared" si="638"/>
        <v>0</v>
      </c>
      <c r="AA640" s="1091">
        <f t="shared" si="639"/>
        <v>0</v>
      </c>
      <c r="AB640" s="1091">
        <f t="shared" si="640"/>
        <v>0</v>
      </c>
      <c r="AD640" s="650">
        <f t="shared" si="619"/>
        <v>0</v>
      </c>
      <c r="AI640" s="1277">
        <f>VLOOKUP(K640,'[2]ผลการเบิกจ่ายสะสม พ.ย. 66'!$C:$N,12,0)</f>
        <v>0</v>
      </c>
      <c r="AJ640" s="1274">
        <f t="shared" si="620"/>
        <v>0</v>
      </c>
    </row>
    <row r="641" spans="1:36" ht="21" customHeight="1" outlineLevel="1" x14ac:dyDescent="0.35">
      <c r="A641" s="313"/>
      <c r="B641" s="72" t="s">
        <v>556</v>
      </c>
      <c r="C641" s="274"/>
      <c r="D641" s="1168"/>
      <c r="E641" s="1169"/>
      <c r="F641" s="1169"/>
      <c r="G641" s="1169"/>
      <c r="H641" s="1169"/>
      <c r="I641" s="1170">
        <v>704400</v>
      </c>
      <c r="J641" s="1170">
        <v>333600</v>
      </c>
      <c r="K641" s="1046"/>
      <c r="L641" s="1046"/>
      <c r="M641" s="1169">
        <f t="shared" ref="M641:AB641" si="641">+M642</f>
        <v>0</v>
      </c>
      <c r="N641" s="1169">
        <f>+N642</f>
        <v>0</v>
      </c>
      <c r="O641" s="1169">
        <f t="shared" si="641"/>
        <v>0</v>
      </c>
      <c r="P641" s="1169">
        <f t="shared" si="641"/>
        <v>0</v>
      </c>
      <c r="Q641" s="1169">
        <f t="shared" si="641"/>
        <v>0</v>
      </c>
      <c r="R641" s="1169">
        <f t="shared" si="641"/>
        <v>0</v>
      </c>
      <c r="S641" s="1169">
        <f t="shared" si="641"/>
        <v>0</v>
      </c>
      <c r="T641" s="1169">
        <f t="shared" si="641"/>
        <v>0</v>
      </c>
      <c r="U641" s="1169">
        <f t="shared" si="641"/>
        <v>0</v>
      </c>
      <c r="V641" s="1169">
        <f t="shared" si="621"/>
        <v>0</v>
      </c>
      <c r="W641" s="1169">
        <f t="shared" si="641"/>
        <v>0</v>
      </c>
      <c r="X641" s="1169">
        <f t="shared" si="641"/>
        <v>0</v>
      </c>
      <c r="Y641" s="1169">
        <f t="shared" si="641"/>
        <v>0</v>
      </c>
      <c r="Z641" s="1169">
        <f t="shared" si="641"/>
        <v>0</v>
      </c>
      <c r="AA641" s="1169">
        <f t="shared" si="641"/>
        <v>0</v>
      </c>
      <c r="AB641" s="1169">
        <f t="shared" si="641"/>
        <v>0</v>
      </c>
      <c r="AD641" s="650">
        <f t="shared" si="619"/>
        <v>0</v>
      </c>
      <c r="AI641" s="1277">
        <f>VLOOKUP(K641,'[2]ผลการเบิกจ่ายสะสม พ.ย. 66'!$C:$N,12,0)</f>
        <v>0</v>
      </c>
      <c r="AJ641" s="1274">
        <f t="shared" si="620"/>
        <v>0</v>
      </c>
    </row>
    <row r="642" spans="1:36" ht="21" customHeight="1" outlineLevel="1" x14ac:dyDescent="0.35">
      <c r="A642" s="313"/>
      <c r="B642" s="293" t="s">
        <v>1209</v>
      </c>
      <c r="C642" s="274"/>
      <c r="D642" s="1168"/>
      <c r="E642" s="1171"/>
      <c r="F642" s="1171"/>
      <c r="G642" s="1171"/>
      <c r="H642" s="1171"/>
      <c r="I642" s="1172"/>
      <c r="J642" s="1172"/>
      <c r="K642" s="1033" t="s">
        <v>1385</v>
      </c>
      <c r="L642" s="1066" t="s">
        <v>1429</v>
      </c>
      <c r="M642" s="1171">
        <f t="shared" ref="M642:O642" si="642">SUM(M643:M649)</f>
        <v>0</v>
      </c>
      <c r="N642" s="1171">
        <f>SUM(N643:N649)</f>
        <v>0</v>
      </c>
      <c r="O642" s="1171">
        <f t="shared" si="642"/>
        <v>0</v>
      </c>
      <c r="P642" s="1171">
        <f t="shared" ref="P642:U642" si="643">SUM(P643:P649)</f>
        <v>0</v>
      </c>
      <c r="Q642" s="1171">
        <f t="shared" si="643"/>
        <v>0</v>
      </c>
      <c r="R642" s="1171">
        <f t="shared" si="643"/>
        <v>0</v>
      </c>
      <c r="S642" s="1171">
        <f t="shared" si="643"/>
        <v>0</v>
      </c>
      <c r="T642" s="1171">
        <f t="shared" si="643"/>
        <v>0</v>
      </c>
      <c r="U642" s="1171">
        <f t="shared" si="643"/>
        <v>0</v>
      </c>
      <c r="V642" s="1171">
        <f t="shared" si="621"/>
        <v>0</v>
      </c>
      <c r="W642" s="1171">
        <f t="shared" ref="W642:AB642" si="644">SUM(W643:W649)</f>
        <v>0</v>
      </c>
      <c r="X642" s="1171">
        <f t="shared" si="644"/>
        <v>0</v>
      </c>
      <c r="Y642" s="1171">
        <f t="shared" si="644"/>
        <v>0</v>
      </c>
      <c r="Z642" s="1171">
        <f t="shared" si="644"/>
        <v>0</v>
      </c>
      <c r="AA642" s="1171">
        <f t="shared" si="644"/>
        <v>0</v>
      </c>
      <c r="AB642" s="1171">
        <f t="shared" si="644"/>
        <v>0</v>
      </c>
      <c r="AD642" s="650">
        <f t="shared" si="619"/>
        <v>0</v>
      </c>
      <c r="AI642" s="1277" t="e">
        <f>VLOOKUP(K642,'[2]ผลการเบิกจ่ายสะสม พ.ย. 66'!$C:$N,12,0)</f>
        <v>#N/A</v>
      </c>
      <c r="AJ642" s="1274" t="e">
        <f t="shared" si="620"/>
        <v>#N/A</v>
      </c>
    </row>
    <row r="643" spans="1:36" ht="21" customHeight="1" outlineLevel="1" x14ac:dyDescent="0.35">
      <c r="A643" s="313"/>
      <c r="B643" s="293"/>
      <c r="C643" s="293" t="s">
        <v>1210</v>
      </c>
      <c r="D643" s="1168"/>
      <c r="E643" s="1171"/>
      <c r="F643" s="1171"/>
      <c r="G643" s="1171"/>
      <c r="H643" s="1171"/>
      <c r="I643" s="1172"/>
      <c r="J643" s="1172"/>
      <c r="K643" s="1047"/>
      <c r="L643" s="1047"/>
      <c r="M643" s="1171"/>
      <c r="N643" s="1171"/>
      <c r="O643" s="1171"/>
      <c r="P643" s="1171"/>
      <c r="Q643" s="1171"/>
      <c r="R643" s="1171"/>
      <c r="S643" s="1171"/>
      <c r="T643" s="1091">
        <f t="shared" ref="T643:T649" si="645">+R643+S643</f>
        <v>0</v>
      </c>
      <c r="U643" s="1091">
        <f t="shared" ref="U643:U649" si="646">+N643+O643-T643</f>
        <v>0</v>
      </c>
      <c r="V643" s="1091">
        <f t="shared" si="621"/>
        <v>0</v>
      </c>
      <c r="W643" s="1091"/>
      <c r="X643" s="1091">
        <f t="shared" ref="X643:X649" si="647">+T643+Q643</f>
        <v>0</v>
      </c>
      <c r="Y643" s="1091">
        <f t="shared" ref="Y643:Y649" si="648">+U643-Q643</f>
        <v>0</v>
      </c>
      <c r="Z643" s="1091">
        <f t="shared" ref="Z643:Z649" si="649">+T643+Q643+P643</f>
        <v>0</v>
      </c>
      <c r="AA643" s="1091">
        <f t="shared" ref="AA643:AA649" si="650">+U643-Q643-P643</f>
        <v>0</v>
      </c>
      <c r="AB643" s="1091">
        <f t="shared" ref="AB643:AB649" si="651">IFERROR(Z643*100/(N643+O643),0)</f>
        <v>0</v>
      </c>
      <c r="AD643" s="650">
        <f t="shared" si="619"/>
        <v>0</v>
      </c>
      <c r="AI643" s="1277">
        <f>VLOOKUP(K643,'[2]ผลการเบิกจ่ายสะสม พ.ย. 66'!$C:$N,12,0)</f>
        <v>0</v>
      </c>
      <c r="AJ643" s="1274">
        <f t="shared" si="620"/>
        <v>0</v>
      </c>
    </row>
    <row r="644" spans="1:36" ht="21" customHeight="1" outlineLevel="1" x14ac:dyDescent="0.35">
      <c r="A644" s="313"/>
      <c r="B644" s="293"/>
      <c r="C644" s="293" t="s">
        <v>1211</v>
      </c>
      <c r="D644" s="1168"/>
      <c r="E644" s="1171"/>
      <c r="F644" s="1171"/>
      <c r="G644" s="1171"/>
      <c r="H644" s="1171"/>
      <c r="I644" s="1172"/>
      <c r="J644" s="1172"/>
      <c r="K644" s="1047"/>
      <c r="L644" s="1047"/>
      <c r="M644" s="1171"/>
      <c r="N644" s="1171"/>
      <c r="O644" s="1171"/>
      <c r="P644" s="1171"/>
      <c r="Q644" s="1171"/>
      <c r="R644" s="1171"/>
      <c r="S644" s="1171"/>
      <c r="T644" s="1091">
        <f t="shared" si="645"/>
        <v>0</v>
      </c>
      <c r="U644" s="1091">
        <f t="shared" si="646"/>
        <v>0</v>
      </c>
      <c r="V644" s="1091">
        <f t="shared" si="621"/>
        <v>0</v>
      </c>
      <c r="W644" s="1091"/>
      <c r="X644" s="1091">
        <f t="shared" si="647"/>
        <v>0</v>
      </c>
      <c r="Y644" s="1091">
        <f t="shared" si="648"/>
        <v>0</v>
      </c>
      <c r="Z644" s="1091">
        <f t="shared" si="649"/>
        <v>0</v>
      </c>
      <c r="AA644" s="1091">
        <f t="shared" si="650"/>
        <v>0</v>
      </c>
      <c r="AB644" s="1091">
        <f t="shared" si="651"/>
        <v>0</v>
      </c>
      <c r="AD644" s="650">
        <f t="shared" si="619"/>
        <v>0</v>
      </c>
      <c r="AI644" s="1277">
        <f>VLOOKUP(K644,'[2]ผลการเบิกจ่ายสะสม พ.ย. 66'!$C:$N,12,0)</f>
        <v>0</v>
      </c>
      <c r="AJ644" s="1274">
        <f t="shared" si="620"/>
        <v>0</v>
      </c>
    </row>
    <row r="645" spans="1:36" ht="21" customHeight="1" outlineLevel="1" x14ac:dyDescent="0.35">
      <c r="A645" s="313"/>
      <c r="B645" s="293"/>
      <c r="C645" s="293" t="s">
        <v>1212</v>
      </c>
      <c r="D645" s="1168"/>
      <c r="E645" s="1171"/>
      <c r="F645" s="1171"/>
      <c r="G645" s="1171"/>
      <c r="H645" s="1171"/>
      <c r="I645" s="1172"/>
      <c r="J645" s="1172"/>
      <c r="K645" s="1047"/>
      <c r="L645" s="1047"/>
      <c r="M645" s="1171"/>
      <c r="N645" s="1171"/>
      <c r="O645" s="1171"/>
      <c r="P645" s="1171"/>
      <c r="Q645" s="1171"/>
      <c r="R645" s="1171"/>
      <c r="S645" s="1171"/>
      <c r="T645" s="1091">
        <f t="shared" si="645"/>
        <v>0</v>
      </c>
      <c r="U645" s="1091">
        <f t="shared" si="646"/>
        <v>0</v>
      </c>
      <c r="V645" s="1091">
        <f t="shared" si="621"/>
        <v>0</v>
      </c>
      <c r="W645" s="1091"/>
      <c r="X645" s="1091">
        <f t="shared" si="647"/>
        <v>0</v>
      </c>
      <c r="Y645" s="1091">
        <f t="shared" si="648"/>
        <v>0</v>
      </c>
      <c r="Z645" s="1091">
        <f t="shared" si="649"/>
        <v>0</v>
      </c>
      <c r="AA645" s="1091">
        <f t="shared" si="650"/>
        <v>0</v>
      </c>
      <c r="AB645" s="1091">
        <f t="shared" si="651"/>
        <v>0</v>
      </c>
      <c r="AD645" s="650">
        <f t="shared" si="619"/>
        <v>0</v>
      </c>
      <c r="AI645" s="1277">
        <f>VLOOKUP(K645,'[2]ผลการเบิกจ่ายสะสม พ.ย. 66'!$C:$N,12,0)</f>
        <v>0</v>
      </c>
      <c r="AJ645" s="1274">
        <f t="shared" si="620"/>
        <v>0</v>
      </c>
    </row>
    <row r="646" spans="1:36" ht="21" customHeight="1" outlineLevel="1" x14ac:dyDescent="0.35">
      <c r="A646" s="313"/>
      <c r="B646" s="293"/>
      <c r="C646" s="293" t="s">
        <v>1213</v>
      </c>
      <c r="D646" s="1168"/>
      <c r="E646" s="1171"/>
      <c r="F646" s="1171"/>
      <c r="G646" s="1171"/>
      <c r="H646" s="1171"/>
      <c r="I646" s="1172"/>
      <c r="J646" s="1172"/>
      <c r="K646" s="1047"/>
      <c r="L646" s="1047"/>
      <c r="M646" s="1171"/>
      <c r="N646" s="1171"/>
      <c r="O646" s="1171"/>
      <c r="P646" s="1171"/>
      <c r="Q646" s="1171"/>
      <c r="R646" s="1171"/>
      <c r="S646" s="1171"/>
      <c r="T646" s="1091">
        <f t="shared" si="645"/>
        <v>0</v>
      </c>
      <c r="U646" s="1091">
        <f t="shared" si="646"/>
        <v>0</v>
      </c>
      <c r="V646" s="1091">
        <f t="shared" si="621"/>
        <v>0</v>
      </c>
      <c r="W646" s="1091"/>
      <c r="X646" s="1091">
        <f t="shared" si="647"/>
        <v>0</v>
      </c>
      <c r="Y646" s="1091">
        <f t="shared" si="648"/>
        <v>0</v>
      </c>
      <c r="Z646" s="1091">
        <f t="shared" si="649"/>
        <v>0</v>
      </c>
      <c r="AA646" s="1091">
        <f t="shared" si="650"/>
        <v>0</v>
      </c>
      <c r="AB646" s="1091">
        <f t="shared" si="651"/>
        <v>0</v>
      </c>
      <c r="AD646" s="650">
        <f t="shared" si="619"/>
        <v>0</v>
      </c>
      <c r="AI646" s="1277">
        <f>VLOOKUP(K646,'[2]ผลการเบิกจ่ายสะสม พ.ย. 66'!$C:$N,12,0)</f>
        <v>0</v>
      </c>
      <c r="AJ646" s="1274">
        <f t="shared" si="620"/>
        <v>0</v>
      </c>
    </row>
    <row r="647" spans="1:36" ht="21" customHeight="1" outlineLevel="1" x14ac:dyDescent="0.35">
      <c r="A647" s="313"/>
      <c r="B647" s="293"/>
      <c r="C647" s="293" t="s">
        <v>1214</v>
      </c>
      <c r="D647" s="1168"/>
      <c r="E647" s="1171"/>
      <c r="F647" s="1171"/>
      <c r="G647" s="1171"/>
      <c r="H647" s="1171"/>
      <c r="I647" s="1172"/>
      <c r="J647" s="1172"/>
      <c r="K647" s="1047"/>
      <c r="L647" s="1047"/>
      <c r="M647" s="1171"/>
      <c r="N647" s="1171"/>
      <c r="O647" s="1171"/>
      <c r="P647" s="1171"/>
      <c r="Q647" s="1171"/>
      <c r="R647" s="1171"/>
      <c r="S647" s="1171"/>
      <c r="T647" s="1091">
        <f t="shared" si="645"/>
        <v>0</v>
      </c>
      <c r="U647" s="1091">
        <f t="shared" si="646"/>
        <v>0</v>
      </c>
      <c r="V647" s="1091">
        <f t="shared" si="621"/>
        <v>0</v>
      </c>
      <c r="W647" s="1091"/>
      <c r="X647" s="1091">
        <f t="shared" si="647"/>
        <v>0</v>
      </c>
      <c r="Y647" s="1091">
        <f t="shared" si="648"/>
        <v>0</v>
      </c>
      <c r="Z647" s="1091">
        <f t="shared" si="649"/>
        <v>0</v>
      </c>
      <c r="AA647" s="1091">
        <f t="shared" si="650"/>
        <v>0</v>
      </c>
      <c r="AB647" s="1091">
        <f t="shared" si="651"/>
        <v>0</v>
      </c>
      <c r="AD647" s="650">
        <f t="shared" si="619"/>
        <v>0</v>
      </c>
      <c r="AI647" s="1277">
        <f>VLOOKUP(K647,'[2]ผลการเบิกจ่ายสะสม พ.ย. 66'!$C:$N,12,0)</f>
        <v>0</v>
      </c>
      <c r="AJ647" s="1274">
        <f t="shared" si="620"/>
        <v>0</v>
      </c>
    </row>
    <row r="648" spans="1:36" ht="21" customHeight="1" outlineLevel="1" x14ac:dyDescent="0.35">
      <c r="A648" s="313"/>
      <c r="B648" s="293"/>
      <c r="C648" s="293" t="s">
        <v>1215</v>
      </c>
      <c r="D648" s="1168"/>
      <c r="E648" s="1171"/>
      <c r="F648" s="1171"/>
      <c r="G648" s="1171"/>
      <c r="H648" s="1171"/>
      <c r="I648" s="1172"/>
      <c r="J648" s="1172"/>
      <c r="K648" s="1047"/>
      <c r="L648" s="1047"/>
      <c r="M648" s="1171"/>
      <c r="N648" s="1171"/>
      <c r="O648" s="1171"/>
      <c r="P648" s="1171"/>
      <c r="Q648" s="1171"/>
      <c r="R648" s="1171"/>
      <c r="S648" s="1171"/>
      <c r="T648" s="1091">
        <f t="shared" si="645"/>
        <v>0</v>
      </c>
      <c r="U648" s="1091">
        <f t="shared" si="646"/>
        <v>0</v>
      </c>
      <c r="V648" s="1091">
        <f t="shared" si="621"/>
        <v>0</v>
      </c>
      <c r="W648" s="1091"/>
      <c r="X648" s="1091">
        <f t="shared" si="647"/>
        <v>0</v>
      </c>
      <c r="Y648" s="1091">
        <f t="shared" si="648"/>
        <v>0</v>
      </c>
      <c r="Z648" s="1091">
        <f t="shared" si="649"/>
        <v>0</v>
      </c>
      <c r="AA648" s="1091">
        <f t="shared" si="650"/>
        <v>0</v>
      </c>
      <c r="AB648" s="1091">
        <f t="shared" si="651"/>
        <v>0</v>
      </c>
      <c r="AD648" s="650">
        <f t="shared" si="619"/>
        <v>0</v>
      </c>
      <c r="AI648" s="1277">
        <f>VLOOKUP(K648,'[2]ผลการเบิกจ่ายสะสม พ.ย. 66'!$C:$N,12,0)</f>
        <v>0</v>
      </c>
      <c r="AJ648" s="1274">
        <f t="shared" si="620"/>
        <v>0</v>
      </c>
    </row>
    <row r="649" spans="1:36" ht="21" customHeight="1" outlineLevel="1" x14ac:dyDescent="0.35">
      <c r="A649" s="313"/>
      <c r="B649" s="293"/>
      <c r="C649" s="293" t="s">
        <v>1216</v>
      </c>
      <c r="D649" s="1168"/>
      <c r="E649" s="1171"/>
      <c r="F649" s="1171"/>
      <c r="G649" s="1171"/>
      <c r="H649" s="1171"/>
      <c r="I649" s="1172"/>
      <c r="J649" s="1172"/>
      <c r="K649" s="1047"/>
      <c r="L649" s="1047"/>
      <c r="M649" s="1171"/>
      <c r="N649" s="1171"/>
      <c r="O649" s="1171"/>
      <c r="P649" s="1171"/>
      <c r="Q649" s="1171"/>
      <c r="R649" s="1171"/>
      <c r="S649" s="1171"/>
      <c r="T649" s="1091">
        <f t="shared" si="645"/>
        <v>0</v>
      </c>
      <c r="U649" s="1091">
        <f t="shared" si="646"/>
        <v>0</v>
      </c>
      <c r="V649" s="1091">
        <f t="shared" si="621"/>
        <v>0</v>
      </c>
      <c r="W649" s="1091"/>
      <c r="X649" s="1091">
        <f t="shared" si="647"/>
        <v>0</v>
      </c>
      <c r="Y649" s="1091">
        <f t="shared" si="648"/>
        <v>0</v>
      </c>
      <c r="Z649" s="1091">
        <f t="shared" si="649"/>
        <v>0</v>
      </c>
      <c r="AA649" s="1091">
        <f t="shared" si="650"/>
        <v>0</v>
      </c>
      <c r="AB649" s="1091">
        <f t="shared" si="651"/>
        <v>0</v>
      </c>
      <c r="AD649" s="650">
        <f t="shared" si="619"/>
        <v>0</v>
      </c>
      <c r="AI649" s="1277">
        <f>VLOOKUP(K649,'[2]ผลการเบิกจ่ายสะสม พ.ย. 66'!$C:$N,12,0)</f>
        <v>0</v>
      </c>
      <c r="AJ649" s="1274">
        <f t="shared" si="620"/>
        <v>0</v>
      </c>
    </row>
    <row r="650" spans="1:36" ht="21" customHeight="1" outlineLevel="1" x14ac:dyDescent="0.35">
      <c r="A650" s="313"/>
      <c r="B650" s="72" t="s">
        <v>604</v>
      </c>
      <c r="C650" s="274"/>
      <c r="D650" s="1168"/>
      <c r="E650" s="1169"/>
      <c r="F650" s="1169"/>
      <c r="G650" s="1169"/>
      <c r="H650" s="1169"/>
      <c r="I650" s="1170">
        <v>2871400</v>
      </c>
      <c r="J650" s="1170">
        <v>2226100</v>
      </c>
      <c r="K650" s="1046"/>
      <c r="L650" s="1046"/>
      <c r="M650" s="1169">
        <f t="shared" ref="M650:U650" si="652">+M651+M653</f>
        <v>0</v>
      </c>
      <c r="N650" s="1169">
        <f>+N651+N653</f>
        <v>0</v>
      </c>
      <c r="O650" s="1169">
        <f t="shared" si="652"/>
        <v>0</v>
      </c>
      <c r="P650" s="1169">
        <f t="shared" si="652"/>
        <v>0</v>
      </c>
      <c r="Q650" s="1169">
        <f t="shared" si="652"/>
        <v>0</v>
      </c>
      <c r="R650" s="1169">
        <f t="shared" si="652"/>
        <v>0</v>
      </c>
      <c r="S650" s="1169">
        <f t="shared" si="652"/>
        <v>0</v>
      </c>
      <c r="T650" s="1169">
        <f t="shared" si="652"/>
        <v>0</v>
      </c>
      <c r="U650" s="1169">
        <f t="shared" si="652"/>
        <v>0</v>
      </c>
      <c r="V650" s="1169">
        <f t="shared" si="621"/>
        <v>0</v>
      </c>
      <c r="W650" s="1169">
        <f t="shared" ref="W650:AB650" si="653">+W651+W653</f>
        <v>0</v>
      </c>
      <c r="X650" s="1169">
        <f t="shared" si="653"/>
        <v>0</v>
      </c>
      <c r="Y650" s="1169">
        <f t="shared" si="653"/>
        <v>0</v>
      </c>
      <c r="Z650" s="1169">
        <f t="shared" si="653"/>
        <v>0</v>
      </c>
      <c r="AA650" s="1169">
        <f t="shared" si="653"/>
        <v>0</v>
      </c>
      <c r="AB650" s="1169">
        <f t="shared" si="653"/>
        <v>0</v>
      </c>
      <c r="AD650" s="650">
        <f t="shared" si="619"/>
        <v>0</v>
      </c>
      <c r="AI650" s="1277">
        <f>VLOOKUP(K650,'[2]ผลการเบิกจ่ายสะสม พ.ย. 66'!$C:$N,12,0)</f>
        <v>0</v>
      </c>
      <c r="AJ650" s="1274">
        <f t="shared" si="620"/>
        <v>0</v>
      </c>
    </row>
    <row r="651" spans="1:36" ht="21" customHeight="1" outlineLevel="1" x14ac:dyDescent="0.35">
      <c r="A651" s="313"/>
      <c r="B651" s="293" t="s">
        <v>1217</v>
      </c>
      <c r="C651" s="274"/>
      <c r="D651" s="1168"/>
      <c r="E651" s="1171"/>
      <c r="F651" s="1171"/>
      <c r="G651" s="1171"/>
      <c r="H651" s="1171"/>
      <c r="I651" s="1172"/>
      <c r="J651" s="1172"/>
      <c r="K651" s="1033" t="s">
        <v>1386</v>
      </c>
      <c r="L651" s="1066" t="s">
        <v>1429</v>
      </c>
      <c r="M651" s="1171">
        <f t="shared" ref="M651:AB651" si="654">+M652</f>
        <v>0</v>
      </c>
      <c r="N651" s="1171">
        <f>+N652</f>
        <v>0</v>
      </c>
      <c r="O651" s="1171">
        <f t="shared" si="654"/>
        <v>0</v>
      </c>
      <c r="P651" s="1171">
        <f t="shared" si="654"/>
        <v>0</v>
      </c>
      <c r="Q651" s="1171">
        <f t="shared" si="654"/>
        <v>0</v>
      </c>
      <c r="R651" s="1171">
        <f t="shared" si="654"/>
        <v>0</v>
      </c>
      <c r="S651" s="1171">
        <f t="shared" si="654"/>
        <v>0</v>
      </c>
      <c r="T651" s="1171">
        <f t="shared" si="654"/>
        <v>0</v>
      </c>
      <c r="U651" s="1171">
        <f t="shared" si="654"/>
        <v>0</v>
      </c>
      <c r="V651" s="1171">
        <f t="shared" si="621"/>
        <v>0</v>
      </c>
      <c r="W651" s="1171">
        <f t="shared" si="654"/>
        <v>0</v>
      </c>
      <c r="X651" s="1171">
        <f t="shared" si="654"/>
        <v>0</v>
      </c>
      <c r="Y651" s="1171">
        <f t="shared" si="654"/>
        <v>0</v>
      </c>
      <c r="Z651" s="1171">
        <f t="shared" si="654"/>
        <v>0</v>
      </c>
      <c r="AA651" s="1171">
        <f t="shared" si="654"/>
        <v>0</v>
      </c>
      <c r="AB651" s="1171">
        <f t="shared" si="654"/>
        <v>0</v>
      </c>
      <c r="AD651" s="650">
        <f t="shared" si="619"/>
        <v>0</v>
      </c>
      <c r="AI651" s="1277" t="e">
        <f>VLOOKUP(K651,'[2]ผลการเบิกจ่ายสะสม พ.ย. 66'!$C:$N,12,0)</f>
        <v>#N/A</v>
      </c>
      <c r="AJ651" s="1274" t="e">
        <f t="shared" si="620"/>
        <v>#N/A</v>
      </c>
    </row>
    <row r="652" spans="1:36" ht="21" customHeight="1" outlineLevel="1" x14ac:dyDescent="0.35">
      <c r="A652" s="313"/>
      <c r="B652" s="293"/>
      <c r="C652" s="293" t="s">
        <v>1218</v>
      </c>
      <c r="D652" s="1168"/>
      <c r="E652" s="1171"/>
      <c r="F652" s="1171"/>
      <c r="G652" s="1171"/>
      <c r="H652" s="1171"/>
      <c r="I652" s="1172"/>
      <c r="J652" s="1172"/>
      <c r="K652" s="1047"/>
      <c r="L652" s="1047"/>
      <c r="M652" s="1171"/>
      <c r="N652" s="1171"/>
      <c r="O652" s="1171"/>
      <c r="P652" s="1171"/>
      <c r="Q652" s="1171"/>
      <c r="R652" s="1171"/>
      <c r="S652" s="1171"/>
      <c r="T652" s="1091">
        <f t="shared" ref="T652" si="655">+R652+S652</f>
        <v>0</v>
      </c>
      <c r="U652" s="1091">
        <f t="shared" ref="U652" si="656">+N652+O652-T652</f>
        <v>0</v>
      </c>
      <c r="V652" s="1091">
        <f t="shared" si="621"/>
        <v>0</v>
      </c>
      <c r="W652" s="1091"/>
      <c r="X652" s="1091">
        <f t="shared" ref="X652" si="657">+T652+Q652</f>
        <v>0</v>
      </c>
      <c r="Y652" s="1091">
        <f t="shared" ref="Y652" si="658">+U652-Q652</f>
        <v>0</v>
      </c>
      <c r="Z652" s="1091">
        <f t="shared" ref="Z652" si="659">+T652+Q652+P652</f>
        <v>0</v>
      </c>
      <c r="AA652" s="1091">
        <f t="shared" ref="AA652" si="660">+U652-Q652-P652</f>
        <v>0</v>
      </c>
      <c r="AB652" s="1091">
        <f t="shared" ref="AB652" si="661">IFERROR(Z652*100/(N652+O652),0)</f>
        <v>0</v>
      </c>
      <c r="AD652" s="650">
        <f t="shared" si="619"/>
        <v>0</v>
      </c>
      <c r="AI652" s="1277">
        <f>VLOOKUP(K652,'[2]ผลการเบิกจ่ายสะสม พ.ย. 66'!$C:$N,12,0)</f>
        <v>0</v>
      </c>
      <c r="AJ652" s="1274">
        <f t="shared" si="620"/>
        <v>0</v>
      </c>
    </row>
    <row r="653" spans="1:36" ht="21" customHeight="1" outlineLevel="1" x14ac:dyDescent="0.35">
      <c r="A653" s="313"/>
      <c r="B653" s="293" t="s">
        <v>1219</v>
      </c>
      <c r="C653" s="293"/>
      <c r="D653" s="1168"/>
      <c r="E653" s="1171"/>
      <c r="F653" s="1171"/>
      <c r="G653" s="1171"/>
      <c r="H653" s="1171"/>
      <c r="I653" s="1172"/>
      <c r="J653" s="1172"/>
      <c r="K653" s="1047"/>
      <c r="L653" s="1047"/>
      <c r="M653" s="1171">
        <f t="shared" ref="M653:AB653" si="662">+M654</f>
        <v>0</v>
      </c>
      <c r="N653" s="1171">
        <f>+N654</f>
        <v>0</v>
      </c>
      <c r="O653" s="1171">
        <f t="shared" si="662"/>
        <v>0</v>
      </c>
      <c r="P653" s="1171">
        <f t="shared" si="662"/>
        <v>0</v>
      </c>
      <c r="Q653" s="1171">
        <f t="shared" si="662"/>
        <v>0</v>
      </c>
      <c r="R653" s="1171">
        <f t="shared" si="662"/>
        <v>0</v>
      </c>
      <c r="S653" s="1171">
        <f t="shared" si="662"/>
        <v>0</v>
      </c>
      <c r="T653" s="1171">
        <f t="shared" si="662"/>
        <v>0</v>
      </c>
      <c r="U653" s="1171">
        <f t="shared" si="662"/>
        <v>0</v>
      </c>
      <c r="V653" s="1171">
        <f t="shared" si="621"/>
        <v>0</v>
      </c>
      <c r="W653" s="1171">
        <f t="shared" si="662"/>
        <v>0</v>
      </c>
      <c r="X653" s="1171">
        <f t="shared" si="662"/>
        <v>0</v>
      </c>
      <c r="Y653" s="1171">
        <f t="shared" si="662"/>
        <v>0</v>
      </c>
      <c r="Z653" s="1171">
        <f t="shared" si="662"/>
        <v>0</v>
      </c>
      <c r="AA653" s="1171">
        <f t="shared" si="662"/>
        <v>0</v>
      </c>
      <c r="AB653" s="1171">
        <f t="shared" si="662"/>
        <v>0</v>
      </c>
      <c r="AD653" s="650">
        <f t="shared" si="619"/>
        <v>0</v>
      </c>
      <c r="AI653" s="1277">
        <f>VLOOKUP(K653,'[2]ผลการเบิกจ่ายสะสม พ.ย. 66'!$C:$N,12,0)</f>
        <v>0</v>
      </c>
      <c r="AJ653" s="1274">
        <f t="shared" si="620"/>
        <v>0</v>
      </c>
    </row>
    <row r="654" spans="1:36" ht="21" customHeight="1" outlineLevel="1" x14ac:dyDescent="0.35">
      <c r="A654" s="313"/>
      <c r="B654" s="293"/>
      <c r="C654" s="293" t="s">
        <v>1220</v>
      </c>
      <c r="D654" s="1168"/>
      <c r="E654" s="1171"/>
      <c r="F654" s="1171"/>
      <c r="G654" s="1171"/>
      <c r="H654" s="1171"/>
      <c r="I654" s="1172"/>
      <c r="J654" s="1172"/>
      <c r="K654" s="1033" t="s">
        <v>1387</v>
      </c>
      <c r="L654" s="1066" t="s">
        <v>1429</v>
      </c>
      <c r="M654" s="1171"/>
      <c r="N654" s="1171"/>
      <c r="O654" s="1171"/>
      <c r="P654" s="1171"/>
      <c r="Q654" s="1171"/>
      <c r="R654" s="1171"/>
      <c r="S654" s="1171"/>
      <c r="T654" s="1091">
        <f t="shared" ref="T654" si="663">+R654+S654</f>
        <v>0</v>
      </c>
      <c r="U654" s="1091">
        <f t="shared" ref="U654" si="664">+N654+O654-T654</f>
        <v>0</v>
      </c>
      <c r="V654" s="1091">
        <f t="shared" si="621"/>
        <v>0</v>
      </c>
      <c r="W654" s="1091"/>
      <c r="X654" s="1091">
        <f t="shared" ref="X654" si="665">+T654+Q654</f>
        <v>0</v>
      </c>
      <c r="Y654" s="1091">
        <f t="shared" ref="Y654" si="666">+U654-Q654</f>
        <v>0</v>
      </c>
      <c r="Z654" s="1091">
        <f t="shared" ref="Z654" si="667">+T654+Q654+P654</f>
        <v>0</v>
      </c>
      <c r="AA654" s="1091">
        <f t="shared" ref="AA654" si="668">+U654-Q654-P654</f>
        <v>0</v>
      </c>
      <c r="AB654" s="1091">
        <f t="shared" ref="AB654" si="669">IFERROR(Z654*100/(N654+O654),0)</f>
        <v>0</v>
      </c>
      <c r="AD654" s="650">
        <f t="shared" ref="AD654:AD717" si="670">+N654+O654-R654-S654-U654</f>
        <v>0</v>
      </c>
      <c r="AI654" s="1277" t="e">
        <f>VLOOKUP(K654,'[2]ผลการเบิกจ่ายสะสม พ.ย. 66'!$C:$N,12,0)</f>
        <v>#N/A</v>
      </c>
      <c r="AJ654" s="1274" t="e">
        <f t="shared" si="620"/>
        <v>#N/A</v>
      </c>
    </row>
    <row r="655" spans="1:36" s="938" customFormat="1" ht="21" customHeight="1" outlineLevel="1" x14ac:dyDescent="0.35">
      <c r="A655" s="20"/>
      <c r="B655" s="998" t="s">
        <v>888</v>
      </c>
      <c r="C655" s="999"/>
      <c r="D655" s="1174"/>
      <c r="E655" s="1175"/>
      <c r="F655" s="1175"/>
      <c r="G655" s="1175"/>
      <c r="H655" s="1175"/>
      <c r="I655" s="1176">
        <v>20200</v>
      </c>
      <c r="J655" s="1176">
        <v>0</v>
      </c>
      <c r="K655" s="1048"/>
      <c r="L655" s="1048"/>
      <c r="M655" s="1175"/>
      <c r="N655" s="1175"/>
      <c r="O655" s="1175"/>
      <c r="P655" s="1175"/>
      <c r="Q655" s="1175"/>
      <c r="R655" s="1175"/>
      <c r="S655" s="1175"/>
      <c r="T655" s="1175"/>
      <c r="U655" s="1175"/>
      <c r="V655" s="1175">
        <f t="shared" si="621"/>
        <v>0</v>
      </c>
      <c r="W655" s="1175"/>
      <c r="X655" s="1175"/>
      <c r="Y655" s="1175"/>
      <c r="Z655" s="1175"/>
      <c r="AA655" s="1175"/>
      <c r="AB655" s="1175"/>
      <c r="AD655" s="650">
        <f t="shared" si="670"/>
        <v>0</v>
      </c>
      <c r="AI655" s="1277">
        <f>VLOOKUP(K655,'[2]ผลการเบิกจ่ายสะสม พ.ย. 66'!$C:$N,12,0)</f>
        <v>0</v>
      </c>
      <c r="AJ655" s="1274">
        <f t="shared" ref="AJ655:AJ718" si="671">+AI655-S655</f>
        <v>0</v>
      </c>
    </row>
    <row r="656" spans="1:36" s="938" customFormat="1" ht="21" customHeight="1" outlineLevel="1" x14ac:dyDescent="0.35">
      <c r="A656" s="20"/>
      <c r="B656" s="1000" t="s">
        <v>889</v>
      </c>
      <c r="C656" s="999"/>
      <c r="D656" s="1174"/>
      <c r="E656" s="1177"/>
      <c r="F656" s="1177"/>
      <c r="G656" s="1177"/>
      <c r="H656" s="1177"/>
      <c r="I656" s="1178"/>
      <c r="J656" s="1178"/>
      <c r="K656" s="1049"/>
      <c r="L656" s="1049"/>
      <c r="M656" s="1177"/>
      <c r="N656" s="1177"/>
      <c r="O656" s="1177"/>
      <c r="P656" s="1177"/>
      <c r="Q656" s="1177"/>
      <c r="R656" s="1177"/>
      <c r="S656" s="1177"/>
      <c r="T656" s="1177"/>
      <c r="U656" s="1177"/>
      <c r="V656" s="1177">
        <f t="shared" si="621"/>
        <v>0</v>
      </c>
      <c r="W656" s="1177"/>
      <c r="X656" s="1177"/>
      <c r="Y656" s="1177"/>
      <c r="Z656" s="1177"/>
      <c r="AA656" s="1177"/>
      <c r="AB656" s="1177"/>
      <c r="AD656" s="650">
        <f t="shared" si="670"/>
        <v>0</v>
      </c>
      <c r="AI656" s="1277">
        <f>VLOOKUP(K656,'[2]ผลการเบิกจ่ายสะสม พ.ย. 66'!$C:$N,12,0)</f>
        <v>0</v>
      </c>
      <c r="AJ656" s="1274">
        <f t="shared" si="671"/>
        <v>0</v>
      </c>
    </row>
    <row r="657" spans="1:36" s="938" customFormat="1" ht="21" customHeight="1" outlineLevel="1" x14ac:dyDescent="0.35">
      <c r="A657" s="20"/>
      <c r="B657" s="998" t="s">
        <v>890</v>
      </c>
      <c r="C657" s="999"/>
      <c r="D657" s="1174"/>
      <c r="E657" s="1175"/>
      <c r="F657" s="1175"/>
      <c r="G657" s="1175"/>
      <c r="H657" s="1175"/>
      <c r="I657" s="1176">
        <v>38000</v>
      </c>
      <c r="J657" s="1176">
        <v>0</v>
      </c>
      <c r="K657" s="1048"/>
      <c r="L657" s="1048"/>
      <c r="M657" s="1175"/>
      <c r="N657" s="1175"/>
      <c r="O657" s="1175"/>
      <c r="P657" s="1175"/>
      <c r="Q657" s="1175"/>
      <c r="R657" s="1175"/>
      <c r="S657" s="1175"/>
      <c r="T657" s="1175"/>
      <c r="U657" s="1175"/>
      <c r="V657" s="1175">
        <f t="shared" si="621"/>
        <v>0</v>
      </c>
      <c r="W657" s="1175"/>
      <c r="X657" s="1175"/>
      <c r="Y657" s="1175"/>
      <c r="Z657" s="1175"/>
      <c r="AA657" s="1175"/>
      <c r="AB657" s="1175"/>
      <c r="AD657" s="650">
        <f t="shared" si="670"/>
        <v>0</v>
      </c>
      <c r="AI657" s="1277">
        <f>VLOOKUP(K657,'[2]ผลการเบิกจ่ายสะสม พ.ย. 66'!$C:$N,12,0)</f>
        <v>0</v>
      </c>
      <c r="AJ657" s="1274">
        <f t="shared" si="671"/>
        <v>0</v>
      </c>
    </row>
    <row r="658" spans="1:36" s="938" customFormat="1" ht="21" customHeight="1" outlineLevel="1" x14ac:dyDescent="0.35">
      <c r="A658" s="20"/>
      <c r="B658" s="1000" t="s">
        <v>891</v>
      </c>
      <c r="C658" s="999"/>
      <c r="D658" s="1174"/>
      <c r="E658" s="1177"/>
      <c r="F658" s="1177"/>
      <c r="G658" s="1177"/>
      <c r="H658" s="1177"/>
      <c r="I658" s="1178"/>
      <c r="J658" s="1178"/>
      <c r="K658" s="1049"/>
      <c r="L658" s="1049"/>
      <c r="M658" s="1177"/>
      <c r="N658" s="1177"/>
      <c r="O658" s="1177"/>
      <c r="P658" s="1177"/>
      <c r="Q658" s="1177"/>
      <c r="R658" s="1177"/>
      <c r="S658" s="1177"/>
      <c r="T658" s="1177"/>
      <c r="U658" s="1177"/>
      <c r="V658" s="1177">
        <f t="shared" ref="V658:V720" si="672">IFERROR(T658*100/(N658+O658),0)</f>
        <v>0</v>
      </c>
      <c r="W658" s="1177"/>
      <c r="X658" s="1177"/>
      <c r="Y658" s="1177"/>
      <c r="Z658" s="1177"/>
      <c r="AA658" s="1177"/>
      <c r="AB658" s="1177"/>
      <c r="AD658" s="650">
        <f t="shared" si="670"/>
        <v>0</v>
      </c>
      <c r="AI658" s="1277">
        <f>VLOOKUP(K658,'[2]ผลการเบิกจ่ายสะสม พ.ย. 66'!$C:$N,12,0)</f>
        <v>0</v>
      </c>
      <c r="AJ658" s="1274">
        <f t="shared" si="671"/>
        <v>0</v>
      </c>
    </row>
    <row r="659" spans="1:36" ht="21" customHeight="1" outlineLevel="1" x14ac:dyDescent="0.35">
      <c r="A659" s="313"/>
      <c r="B659" s="72" t="s">
        <v>656</v>
      </c>
      <c r="C659" s="274"/>
      <c r="D659" s="1168"/>
      <c r="E659" s="1169"/>
      <c r="F659" s="1169"/>
      <c r="G659" s="1169"/>
      <c r="H659" s="1169"/>
      <c r="I659" s="1170">
        <v>6000000</v>
      </c>
      <c r="J659" s="1170">
        <v>6000000</v>
      </c>
      <c r="K659" s="1046"/>
      <c r="L659" s="1046"/>
      <c r="M659" s="1169">
        <f t="shared" ref="M659:AB659" si="673">+M660</f>
        <v>0</v>
      </c>
      <c r="N659" s="1169">
        <f>+N660</f>
        <v>0</v>
      </c>
      <c r="O659" s="1169">
        <f t="shared" si="673"/>
        <v>0</v>
      </c>
      <c r="P659" s="1169">
        <f t="shared" si="673"/>
        <v>0</v>
      </c>
      <c r="Q659" s="1169">
        <f t="shared" si="673"/>
        <v>0</v>
      </c>
      <c r="R659" s="1169">
        <f t="shared" si="673"/>
        <v>0</v>
      </c>
      <c r="S659" s="1169">
        <f t="shared" si="673"/>
        <v>0</v>
      </c>
      <c r="T659" s="1169">
        <f t="shared" si="673"/>
        <v>0</v>
      </c>
      <c r="U659" s="1169">
        <f t="shared" si="673"/>
        <v>0</v>
      </c>
      <c r="V659" s="1169">
        <f t="shared" si="672"/>
        <v>0</v>
      </c>
      <c r="W659" s="1169">
        <f t="shared" si="673"/>
        <v>0</v>
      </c>
      <c r="X659" s="1169">
        <f t="shared" si="673"/>
        <v>0</v>
      </c>
      <c r="Y659" s="1169">
        <f t="shared" si="673"/>
        <v>0</v>
      </c>
      <c r="Z659" s="1169">
        <f t="shared" si="673"/>
        <v>0</v>
      </c>
      <c r="AA659" s="1169">
        <f t="shared" si="673"/>
        <v>0</v>
      </c>
      <c r="AB659" s="1169">
        <f t="shared" si="673"/>
        <v>0</v>
      </c>
      <c r="AD659" s="650">
        <f t="shared" si="670"/>
        <v>0</v>
      </c>
      <c r="AI659" s="1277">
        <f>VLOOKUP(K659,'[2]ผลการเบิกจ่ายสะสม พ.ย. 66'!$C:$N,12,0)</f>
        <v>0</v>
      </c>
      <c r="AJ659" s="1274">
        <f t="shared" si="671"/>
        <v>0</v>
      </c>
    </row>
    <row r="660" spans="1:36" ht="21" customHeight="1" outlineLevel="1" x14ac:dyDescent="0.35">
      <c r="A660" s="313"/>
      <c r="B660" s="293" t="s">
        <v>1221</v>
      </c>
      <c r="C660" s="274"/>
      <c r="D660" s="1168"/>
      <c r="E660" s="1171"/>
      <c r="F660" s="1171"/>
      <c r="G660" s="1171"/>
      <c r="H660" s="1171"/>
      <c r="I660" s="1172"/>
      <c r="J660" s="1172"/>
      <c r="K660" s="1047"/>
      <c r="L660" s="1047"/>
      <c r="M660" s="1171">
        <f t="shared" ref="M660:O660" si="674">SUM(M661:M662)</f>
        <v>0</v>
      </c>
      <c r="N660" s="1171">
        <f>SUM(N661:N662)</f>
        <v>0</v>
      </c>
      <c r="O660" s="1171">
        <f t="shared" si="674"/>
        <v>0</v>
      </c>
      <c r="P660" s="1171">
        <f t="shared" ref="P660:U660" si="675">SUM(P661:P662)</f>
        <v>0</v>
      </c>
      <c r="Q660" s="1171">
        <f t="shared" si="675"/>
        <v>0</v>
      </c>
      <c r="R660" s="1171">
        <f t="shared" si="675"/>
        <v>0</v>
      </c>
      <c r="S660" s="1171">
        <f t="shared" si="675"/>
        <v>0</v>
      </c>
      <c r="T660" s="1171">
        <f t="shared" si="675"/>
        <v>0</v>
      </c>
      <c r="U660" s="1171">
        <f t="shared" si="675"/>
        <v>0</v>
      </c>
      <c r="V660" s="1171">
        <f t="shared" si="672"/>
        <v>0</v>
      </c>
      <c r="W660" s="1171">
        <f t="shared" ref="W660:AB660" si="676">SUM(W661:W662)</f>
        <v>0</v>
      </c>
      <c r="X660" s="1171">
        <f t="shared" si="676"/>
        <v>0</v>
      </c>
      <c r="Y660" s="1171">
        <f t="shared" si="676"/>
        <v>0</v>
      </c>
      <c r="Z660" s="1171">
        <f t="shared" si="676"/>
        <v>0</v>
      </c>
      <c r="AA660" s="1171">
        <f t="shared" si="676"/>
        <v>0</v>
      </c>
      <c r="AB660" s="1171">
        <f t="shared" si="676"/>
        <v>0</v>
      </c>
      <c r="AD660" s="650">
        <f t="shared" si="670"/>
        <v>0</v>
      </c>
      <c r="AI660" s="1277">
        <f>VLOOKUP(K660,'[2]ผลการเบิกจ่ายสะสม พ.ย. 66'!$C:$N,12,0)</f>
        <v>0</v>
      </c>
      <c r="AJ660" s="1274">
        <f t="shared" si="671"/>
        <v>0</v>
      </c>
    </row>
    <row r="661" spans="1:36" ht="42" customHeight="1" outlineLevel="1" x14ac:dyDescent="0.35">
      <c r="A661" s="313"/>
      <c r="B661" s="293"/>
      <c r="C661" s="929" t="s">
        <v>1222</v>
      </c>
      <c r="D661" s="1168"/>
      <c r="E661" s="1171"/>
      <c r="F661" s="1171"/>
      <c r="G661" s="1171"/>
      <c r="H661" s="1171"/>
      <c r="I661" s="1172"/>
      <c r="J661" s="1172"/>
      <c r="K661" s="1033" t="s">
        <v>1388</v>
      </c>
      <c r="L661" s="1066" t="s">
        <v>1429</v>
      </c>
      <c r="M661" s="1171"/>
      <c r="N661" s="1171"/>
      <c r="O661" s="1171"/>
      <c r="P661" s="1171"/>
      <c r="Q661" s="1171"/>
      <c r="R661" s="1171"/>
      <c r="S661" s="1171"/>
      <c r="T661" s="1091">
        <f t="shared" ref="T661:T662" si="677">+R661+S661</f>
        <v>0</v>
      </c>
      <c r="U661" s="1091">
        <f t="shared" ref="U661:U662" si="678">+N661+O661-T661</f>
        <v>0</v>
      </c>
      <c r="V661" s="1091">
        <f t="shared" si="672"/>
        <v>0</v>
      </c>
      <c r="W661" s="1091"/>
      <c r="X661" s="1091">
        <f t="shared" ref="X661:X662" si="679">+T661+Q661</f>
        <v>0</v>
      </c>
      <c r="Y661" s="1091">
        <f t="shared" ref="Y661:Y662" si="680">+U661-Q661</f>
        <v>0</v>
      </c>
      <c r="Z661" s="1091">
        <f t="shared" ref="Z661:Z662" si="681">+T661+Q661+P661</f>
        <v>0</v>
      </c>
      <c r="AA661" s="1091">
        <f t="shared" ref="AA661:AA662" si="682">+U661-Q661-P661</f>
        <v>0</v>
      </c>
      <c r="AB661" s="1091">
        <f t="shared" ref="AB661:AB662" si="683">IFERROR(Z661*100/(N661+O661),0)</f>
        <v>0</v>
      </c>
      <c r="AD661" s="650">
        <f t="shared" si="670"/>
        <v>0</v>
      </c>
      <c r="AI661" s="1277" t="e">
        <f>VLOOKUP(K661,'[2]ผลการเบิกจ่ายสะสม พ.ย. 66'!$C:$N,12,0)</f>
        <v>#N/A</v>
      </c>
      <c r="AJ661" s="1274" t="e">
        <f t="shared" si="671"/>
        <v>#N/A</v>
      </c>
    </row>
    <row r="662" spans="1:36" ht="42" customHeight="1" outlineLevel="1" x14ac:dyDescent="0.35">
      <c r="A662" s="313"/>
      <c r="B662" s="293"/>
      <c r="C662" s="929" t="s">
        <v>1223</v>
      </c>
      <c r="D662" s="1168"/>
      <c r="E662" s="1171"/>
      <c r="F662" s="1171"/>
      <c r="G662" s="1171"/>
      <c r="H662" s="1171"/>
      <c r="I662" s="1172"/>
      <c r="J662" s="1172"/>
      <c r="K662" s="1033" t="s">
        <v>1389</v>
      </c>
      <c r="L662" s="1066" t="s">
        <v>1429</v>
      </c>
      <c r="M662" s="1171"/>
      <c r="N662" s="1171"/>
      <c r="O662" s="1171"/>
      <c r="P662" s="1171"/>
      <c r="Q662" s="1171"/>
      <c r="R662" s="1171"/>
      <c r="S662" s="1171"/>
      <c r="T662" s="1091">
        <f t="shared" si="677"/>
        <v>0</v>
      </c>
      <c r="U662" s="1091">
        <f t="shared" si="678"/>
        <v>0</v>
      </c>
      <c r="V662" s="1091">
        <f t="shared" si="672"/>
        <v>0</v>
      </c>
      <c r="W662" s="1091"/>
      <c r="X662" s="1091">
        <f t="shared" si="679"/>
        <v>0</v>
      </c>
      <c r="Y662" s="1091">
        <f t="shared" si="680"/>
        <v>0</v>
      </c>
      <c r="Z662" s="1091">
        <f t="shared" si="681"/>
        <v>0</v>
      </c>
      <c r="AA662" s="1091">
        <f t="shared" si="682"/>
        <v>0</v>
      </c>
      <c r="AB662" s="1091">
        <f t="shared" si="683"/>
        <v>0</v>
      </c>
      <c r="AD662" s="650">
        <f t="shared" si="670"/>
        <v>0</v>
      </c>
      <c r="AI662" s="1277" t="e">
        <f>VLOOKUP(K662,'[2]ผลการเบิกจ่ายสะสม พ.ย. 66'!$C:$N,12,0)</f>
        <v>#N/A</v>
      </c>
      <c r="AJ662" s="1274" t="e">
        <f t="shared" si="671"/>
        <v>#N/A</v>
      </c>
    </row>
    <row r="663" spans="1:36" s="4" customFormat="1" x14ac:dyDescent="0.2">
      <c r="A663" s="931"/>
      <c r="B663" s="932" t="s">
        <v>111</v>
      </c>
      <c r="C663" s="933"/>
      <c r="D663" s="1179">
        <v>243663000</v>
      </c>
      <c r="E663" s="1166">
        <v>126461170.37000002</v>
      </c>
      <c r="F663" s="1166"/>
      <c r="G663" s="1166"/>
      <c r="H663" s="1166">
        <v>164053800</v>
      </c>
      <c r="I663" s="1167">
        <v>352881800</v>
      </c>
      <c r="J663" s="1167">
        <f>+J681+J672+J669+J693+J708+J675+J678</f>
        <v>171758800</v>
      </c>
      <c r="K663" s="1045"/>
      <c r="L663" s="1045"/>
      <c r="M663" s="1233">
        <f t="shared" ref="M663:U663" si="684">+M681+M672+M669+M693+M708+M675+M678</f>
        <v>0</v>
      </c>
      <c r="N663" s="1233">
        <f>+N681+N672+N669+N693+N708+N675+N678</f>
        <v>46062000</v>
      </c>
      <c r="O663" s="1233">
        <f t="shared" si="684"/>
        <v>0</v>
      </c>
      <c r="P663" s="1233">
        <f t="shared" si="684"/>
        <v>0</v>
      </c>
      <c r="Q663" s="1233">
        <f t="shared" si="684"/>
        <v>0</v>
      </c>
      <c r="R663" s="1233">
        <f t="shared" si="684"/>
        <v>0</v>
      </c>
      <c r="S663" s="1233">
        <f t="shared" si="684"/>
        <v>0</v>
      </c>
      <c r="T663" s="1233">
        <f t="shared" si="684"/>
        <v>0</v>
      </c>
      <c r="U663" s="1233">
        <f t="shared" si="684"/>
        <v>46062000</v>
      </c>
      <c r="V663" s="1233">
        <f t="shared" si="672"/>
        <v>0</v>
      </c>
      <c r="W663" s="1233">
        <f t="shared" ref="W663:AB663" si="685">+W681+W672+W669+W693+W708+W675+W678</f>
        <v>0</v>
      </c>
      <c r="X663" s="1233">
        <f t="shared" si="685"/>
        <v>0</v>
      </c>
      <c r="Y663" s="1233">
        <f t="shared" si="685"/>
        <v>46062000</v>
      </c>
      <c r="Z663" s="1233">
        <f t="shared" si="685"/>
        <v>0</v>
      </c>
      <c r="AA663" s="1233">
        <f t="shared" si="685"/>
        <v>46062000</v>
      </c>
      <c r="AB663" s="1233">
        <f t="shared" si="685"/>
        <v>0</v>
      </c>
      <c r="AD663" s="650">
        <f t="shared" si="670"/>
        <v>0</v>
      </c>
      <c r="AI663" s="1277">
        <f>VLOOKUP(K663,'[2]ผลการเบิกจ่ายสะสม พ.ย. 66'!$C:$N,12,0)</f>
        <v>0</v>
      </c>
      <c r="AJ663" s="1274">
        <f t="shared" si="671"/>
        <v>0</v>
      </c>
    </row>
    <row r="664" spans="1:36" x14ac:dyDescent="0.35">
      <c r="A664" s="313"/>
      <c r="B664" s="72" t="s">
        <v>892</v>
      </c>
      <c r="C664" s="274"/>
      <c r="D664" s="1168"/>
      <c r="E664" s="1169"/>
      <c r="F664" s="1169"/>
      <c r="G664" s="1169"/>
      <c r="H664" s="1169"/>
      <c r="I664" s="1170">
        <v>93600000</v>
      </c>
      <c r="J664" s="1170"/>
      <c r="K664" s="1046"/>
      <c r="L664" s="1046"/>
      <c r="M664" s="1169"/>
      <c r="N664" s="1169"/>
      <c r="O664" s="1169"/>
      <c r="P664" s="1169"/>
      <c r="Q664" s="1169"/>
      <c r="R664" s="1169"/>
      <c r="S664" s="1169"/>
      <c r="T664" s="1169"/>
      <c r="U664" s="1169"/>
      <c r="V664" s="1169">
        <f t="shared" si="672"/>
        <v>0</v>
      </c>
      <c r="W664" s="1169"/>
      <c r="X664" s="1169"/>
      <c r="Y664" s="1169"/>
      <c r="Z664" s="1169"/>
      <c r="AA664" s="1169"/>
      <c r="AB664" s="1169"/>
      <c r="AD664" s="650">
        <f t="shared" si="670"/>
        <v>0</v>
      </c>
      <c r="AI664" s="1277">
        <f>VLOOKUP(K664,'[2]ผลการเบิกจ่ายสะสม พ.ย. 66'!$C:$N,12,0)</f>
        <v>0</v>
      </c>
      <c r="AJ664" s="1274">
        <f t="shared" si="671"/>
        <v>0</v>
      </c>
    </row>
    <row r="665" spans="1:36" ht="24.6" customHeight="1" x14ac:dyDescent="0.35">
      <c r="A665" s="313"/>
      <c r="B665" s="293"/>
      <c r="C665" s="934" t="s">
        <v>650</v>
      </c>
      <c r="D665" s="1168"/>
      <c r="E665" s="1171"/>
      <c r="F665" s="1171"/>
      <c r="G665" s="1171"/>
      <c r="H665" s="1171"/>
      <c r="I665" s="1172"/>
      <c r="J665" s="1172"/>
      <c r="K665" s="1047"/>
      <c r="L665" s="1047"/>
      <c r="M665" s="1171"/>
      <c r="N665" s="1171"/>
      <c r="O665" s="1171"/>
      <c r="P665" s="1171"/>
      <c r="Q665" s="1171"/>
      <c r="R665" s="1171"/>
      <c r="S665" s="1171"/>
      <c r="T665" s="1171"/>
      <c r="U665" s="1171"/>
      <c r="V665" s="1171">
        <f t="shared" si="672"/>
        <v>0</v>
      </c>
      <c r="W665" s="1171"/>
      <c r="X665" s="1171"/>
      <c r="Y665" s="1171"/>
      <c r="Z665" s="1171"/>
      <c r="AA665" s="1171"/>
      <c r="AB665" s="1171"/>
      <c r="AD665" s="650">
        <f t="shared" si="670"/>
        <v>0</v>
      </c>
      <c r="AI665" s="1277">
        <f>VLOOKUP(K665,'[2]ผลการเบิกจ่ายสะสม พ.ย. 66'!$C:$N,12,0)</f>
        <v>0</v>
      </c>
      <c r="AJ665" s="1274">
        <f t="shared" si="671"/>
        <v>0</v>
      </c>
    </row>
    <row r="666" spans="1:36" x14ac:dyDescent="0.35">
      <c r="A666" s="313"/>
      <c r="B666" s="72" t="s">
        <v>893</v>
      </c>
      <c r="C666" s="274"/>
      <c r="D666" s="1168"/>
      <c r="E666" s="1169"/>
      <c r="F666" s="1169"/>
      <c r="G666" s="1169"/>
      <c r="H666" s="1169"/>
      <c r="I666" s="1170">
        <v>7956000</v>
      </c>
      <c r="J666" s="1170"/>
      <c r="K666" s="1046"/>
      <c r="L666" s="1046"/>
      <c r="M666" s="1169"/>
      <c r="N666" s="1169"/>
      <c r="O666" s="1169"/>
      <c r="P666" s="1169"/>
      <c r="Q666" s="1169"/>
      <c r="R666" s="1169"/>
      <c r="S666" s="1169"/>
      <c r="T666" s="1169"/>
      <c r="U666" s="1169"/>
      <c r="V666" s="1169">
        <f t="shared" si="672"/>
        <v>0</v>
      </c>
      <c r="W666" s="1169"/>
      <c r="X666" s="1169"/>
      <c r="Y666" s="1169"/>
      <c r="Z666" s="1169"/>
      <c r="AA666" s="1169"/>
      <c r="AB666" s="1169"/>
      <c r="AD666" s="650">
        <f t="shared" si="670"/>
        <v>0</v>
      </c>
      <c r="AI666" s="1277">
        <f>VLOOKUP(K666,'[2]ผลการเบิกจ่ายสะสม พ.ย. 66'!$C:$N,12,0)</f>
        <v>0</v>
      </c>
      <c r="AJ666" s="1274">
        <f t="shared" si="671"/>
        <v>0</v>
      </c>
    </row>
    <row r="667" spans="1:36" ht="24.6" customHeight="1" x14ac:dyDescent="0.35">
      <c r="A667" s="313"/>
      <c r="B667" s="293"/>
      <c r="C667" s="934" t="s">
        <v>685</v>
      </c>
      <c r="D667" s="1168"/>
      <c r="E667" s="1171"/>
      <c r="F667" s="1171"/>
      <c r="G667" s="1171"/>
      <c r="H667" s="1171"/>
      <c r="I667" s="1172"/>
      <c r="J667" s="1172"/>
      <c r="K667" s="1047"/>
      <c r="L667" s="1047"/>
      <c r="M667" s="1171"/>
      <c r="N667" s="1171"/>
      <c r="O667" s="1171"/>
      <c r="P667" s="1171"/>
      <c r="Q667" s="1171"/>
      <c r="R667" s="1171"/>
      <c r="S667" s="1171"/>
      <c r="T667" s="1171"/>
      <c r="U667" s="1171"/>
      <c r="V667" s="1171">
        <f t="shared" si="672"/>
        <v>0</v>
      </c>
      <c r="W667" s="1171"/>
      <c r="X667" s="1171"/>
      <c r="Y667" s="1171"/>
      <c r="Z667" s="1171"/>
      <c r="AA667" s="1171"/>
      <c r="AB667" s="1171"/>
      <c r="AD667" s="650">
        <f t="shared" si="670"/>
        <v>0</v>
      </c>
      <c r="AI667" s="1277">
        <f>VLOOKUP(K667,'[2]ผลการเบิกจ่ายสะสม พ.ย. 66'!$C:$N,12,0)</f>
        <v>0</v>
      </c>
      <c r="AJ667" s="1274">
        <f t="shared" si="671"/>
        <v>0</v>
      </c>
    </row>
    <row r="668" spans="1:36" x14ac:dyDescent="0.35">
      <c r="A668" s="313"/>
      <c r="B668" s="293"/>
      <c r="C668" s="929"/>
      <c r="D668" s="1168"/>
      <c r="E668" s="1171"/>
      <c r="F668" s="1171"/>
      <c r="G668" s="1171"/>
      <c r="H668" s="1171"/>
      <c r="I668" s="1172"/>
      <c r="J668" s="1172"/>
      <c r="K668" s="1047"/>
      <c r="L668" s="1047"/>
      <c r="M668" s="1171"/>
      <c r="N668" s="1171"/>
      <c r="O668" s="1171"/>
      <c r="P668" s="1171"/>
      <c r="Q668" s="1171"/>
      <c r="R668" s="1171"/>
      <c r="S668" s="1171"/>
      <c r="T668" s="1171"/>
      <c r="U668" s="1171"/>
      <c r="V668" s="1171">
        <f t="shared" si="672"/>
        <v>0</v>
      </c>
      <c r="W668" s="1171"/>
      <c r="X668" s="1171"/>
      <c r="Y668" s="1171"/>
      <c r="Z668" s="1171"/>
      <c r="AA668" s="1171"/>
      <c r="AB668" s="1171"/>
      <c r="AD668" s="650">
        <f t="shared" si="670"/>
        <v>0</v>
      </c>
      <c r="AI668" s="1277">
        <f>VLOOKUP(K668,'[2]ผลการเบิกจ่ายสะสม พ.ย. 66'!$C:$N,12,0)</f>
        <v>0</v>
      </c>
      <c r="AJ668" s="1274">
        <f t="shared" si="671"/>
        <v>0</v>
      </c>
    </row>
    <row r="669" spans="1:36" ht="21" customHeight="1" outlineLevel="1" x14ac:dyDescent="0.35">
      <c r="A669" s="313"/>
      <c r="B669" s="72" t="s">
        <v>892</v>
      </c>
      <c r="C669" s="274"/>
      <c r="D669" s="1168"/>
      <c r="E669" s="1171"/>
      <c r="F669" s="1171"/>
      <c r="G669" s="1171"/>
      <c r="H669" s="1171"/>
      <c r="I669" s="1172"/>
      <c r="J669" s="1172">
        <f>+J670</f>
        <v>41200000</v>
      </c>
      <c r="K669" s="1046"/>
      <c r="L669" s="1065"/>
      <c r="M669" s="1169">
        <f t="shared" ref="M669:AB670" si="686">+M670</f>
        <v>0</v>
      </c>
      <c r="N669" s="1169">
        <f>+N670</f>
        <v>41200000</v>
      </c>
      <c r="O669" s="1169">
        <f t="shared" si="686"/>
        <v>0</v>
      </c>
      <c r="P669" s="1169">
        <f t="shared" si="686"/>
        <v>0</v>
      </c>
      <c r="Q669" s="1169">
        <f t="shared" si="686"/>
        <v>0</v>
      </c>
      <c r="R669" s="1169">
        <f t="shared" si="686"/>
        <v>0</v>
      </c>
      <c r="S669" s="1169">
        <f t="shared" si="686"/>
        <v>0</v>
      </c>
      <c r="T669" s="1169">
        <f t="shared" si="686"/>
        <v>0</v>
      </c>
      <c r="U669" s="1169">
        <f t="shared" si="686"/>
        <v>41200000</v>
      </c>
      <c r="V669" s="1169">
        <f t="shared" si="672"/>
        <v>0</v>
      </c>
      <c r="W669" s="1169">
        <f t="shared" si="686"/>
        <v>0</v>
      </c>
      <c r="X669" s="1169">
        <f t="shared" si="686"/>
        <v>0</v>
      </c>
      <c r="Y669" s="1169">
        <f t="shared" si="686"/>
        <v>41200000</v>
      </c>
      <c r="Z669" s="1169">
        <f t="shared" si="686"/>
        <v>0</v>
      </c>
      <c r="AA669" s="1169">
        <f t="shared" si="686"/>
        <v>41200000</v>
      </c>
      <c r="AB669" s="1169">
        <f t="shared" si="686"/>
        <v>0</v>
      </c>
      <c r="AD669" s="650">
        <f t="shared" si="670"/>
        <v>0</v>
      </c>
      <c r="AI669" s="1277">
        <f>VLOOKUP(K669,'[2]ผลการเบิกจ่ายสะสม พ.ย. 66'!$C:$N,12,0)</f>
        <v>0</v>
      </c>
      <c r="AJ669" s="1274">
        <f t="shared" si="671"/>
        <v>0</v>
      </c>
    </row>
    <row r="670" spans="1:36" ht="21" customHeight="1" outlineLevel="1" x14ac:dyDescent="0.35">
      <c r="A670" s="313"/>
      <c r="B670" s="293"/>
      <c r="C670" s="935" t="s">
        <v>1240</v>
      </c>
      <c r="D670" s="1168"/>
      <c r="E670" s="1171"/>
      <c r="F670" s="1171"/>
      <c r="G670" s="1171"/>
      <c r="H670" s="1171"/>
      <c r="I670" s="1172"/>
      <c r="J670" s="1172">
        <f>+J671</f>
        <v>41200000</v>
      </c>
      <c r="K670" s="1047"/>
      <c r="L670" s="1065"/>
      <c r="M670" s="1171">
        <f t="shared" si="686"/>
        <v>0</v>
      </c>
      <c r="N670" s="1171">
        <f>+N671</f>
        <v>41200000</v>
      </c>
      <c r="O670" s="1171">
        <f t="shared" si="686"/>
        <v>0</v>
      </c>
      <c r="P670" s="1171">
        <f t="shared" si="686"/>
        <v>0</v>
      </c>
      <c r="Q670" s="1171">
        <f t="shared" si="686"/>
        <v>0</v>
      </c>
      <c r="R670" s="1171">
        <f t="shared" si="686"/>
        <v>0</v>
      </c>
      <c r="S670" s="1171">
        <f t="shared" si="686"/>
        <v>0</v>
      </c>
      <c r="T670" s="1171">
        <f t="shared" si="686"/>
        <v>0</v>
      </c>
      <c r="U670" s="1171">
        <f t="shared" si="686"/>
        <v>41200000</v>
      </c>
      <c r="V670" s="1171">
        <f t="shared" si="672"/>
        <v>0</v>
      </c>
      <c r="W670" s="1171">
        <f t="shared" si="686"/>
        <v>0</v>
      </c>
      <c r="X670" s="1171">
        <f t="shared" si="686"/>
        <v>0</v>
      </c>
      <c r="Y670" s="1171">
        <f t="shared" si="686"/>
        <v>41200000</v>
      </c>
      <c r="Z670" s="1171">
        <f t="shared" si="686"/>
        <v>0</v>
      </c>
      <c r="AA670" s="1171">
        <f t="shared" si="686"/>
        <v>41200000</v>
      </c>
      <c r="AB670" s="1171">
        <f t="shared" si="686"/>
        <v>0</v>
      </c>
      <c r="AD670" s="650">
        <f t="shared" si="670"/>
        <v>0</v>
      </c>
      <c r="AI670" s="1277">
        <f>VLOOKUP(K670,'[2]ผลการเบิกจ่ายสะสม พ.ย. 66'!$C:$N,12,0)</f>
        <v>0</v>
      </c>
      <c r="AJ670" s="1274">
        <f t="shared" si="671"/>
        <v>0</v>
      </c>
    </row>
    <row r="671" spans="1:36" ht="42" customHeight="1" outlineLevel="1" x14ac:dyDescent="0.35">
      <c r="A671" s="313"/>
      <c r="B671" s="293"/>
      <c r="C671" s="929" t="s">
        <v>894</v>
      </c>
      <c r="D671" s="1168"/>
      <c r="E671" s="1171"/>
      <c r="F671" s="1171"/>
      <c r="G671" s="1171"/>
      <c r="H671" s="1171"/>
      <c r="I671" s="1172"/>
      <c r="J671" s="1172">
        <v>41200000</v>
      </c>
      <c r="K671" s="1033" t="s">
        <v>1390</v>
      </c>
      <c r="L671" s="1066" t="s">
        <v>1429</v>
      </c>
      <c r="M671" s="1171"/>
      <c r="N671" s="1171">
        <v>41200000</v>
      </c>
      <c r="O671" s="1171"/>
      <c r="P671" s="1171"/>
      <c r="Q671" s="1171"/>
      <c r="R671" s="1171"/>
      <c r="S671" s="1171"/>
      <c r="T671" s="1091">
        <f t="shared" ref="T671" si="687">+R671+S671</f>
        <v>0</v>
      </c>
      <c r="U671" s="1091">
        <f t="shared" ref="U671" si="688">+N671+O671-T671</f>
        <v>41200000</v>
      </c>
      <c r="V671" s="1091">
        <f t="shared" si="672"/>
        <v>0</v>
      </c>
      <c r="W671" s="1091"/>
      <c r="X671" s="1091">
        <f t="shared" ref="X671" si="689">+T671+Q671</f>
        <v>0</v>
      </c>
      <c r="Y671" s="1091">
        <f t="shared" ref="Y671" si="690">+U671-Q671</f>
        <v>41200000</v>
      </c>
      <c r="Z671" s="1091">
        <f t="shared" ref="Z671" si="691">+T671+Q671+P671</f>
        <v>0</v>
      </c>
      <c r="AA671" s="1091">
        <f t="shared" ref="AA671" si="692">+U671-Q671-P671</f>
        <v>41200000</v>
      </c>
      <c r="AB671" s="1091">
        <f t="shared" ref="AB671" si="693">IFERROR(Z671*100/(N671+O671),0)</f>
        <v>0</v>
      </c>
      <c r="AD671" s="650">
        <f t="shared" si="670"/>
        <v>0</v>
      </c>
      <c r="AI671" s="1277" t="e">
        <f>VLOOKUP(K671,'[2]ผลการเบิกจ่ายสะสม พ.ย. 66'!$C:$N,12,0)</f>
        <v>#N/A</v>
      </c>
      <c r="AJ671" s="1274" t="e">
        <f t="shared" si="671"/>
        <v>#N/A</v>
      </c>
    </row>
    <row r="672" spans="1:36" ht="21" customHeight="1" outlineLevel="1" x14ac:dyDescent="0.35">
      <c r="A672" s="313"/>
      <c r="B672" s="72" t="s">
        <v>895</v>
      </c>
      <c r="C672" s="274"/>
      <c r="D672" s="1168"/>
      <c r="E672" s="1169"/>
      <c r="F672" s="1169"/>
      <c r="G672" s="1169"/>
      <c r="H672" s="1169"/>
      <c r="I672" s="1170"/>
      <c r="J672" s="1170">
        <f>+J673</f>
        <v>218400</v>
      </c>
      <c r="K672" s="1046"/>
      <c r="L672" s="1046"/>
      <c r="M672" s="1169">
        <f t="shared" ref="M672:AB673" si="694">+M673</f>
        <v>0</v>
      </c>
      <c r="N672" s="1169">
        <f>+N673</f>
        <v>0</v>
      </c>
      <c r="O672" s="1169">
        <f t="shared" si="694"/>
        <v>0</v>
      </c>
      <c r="P672" s="1169">
        <f t="shared" si="694"/>
        <v>0</v>
      </c>
      <c r="Q672" s="1169">
        <f t="shared" si="694"/>
        <v>0</v>
      </c>
      <c r="R672" s="1169">
        <f t="shared" si="694"/>
        <v>0</v>
      </c>
      <c r="S672" s="1169">
        <f t="shared" si="694"/>
        <v>0</v>
      </c>
      <c r="T672" s="1169">
        <f t="shared" si="694"/>
        <v>0</v>
      </c>
      <c r="U672" s="1169">
        <f t="shared" si="694"/>
        <v>0</v>
      </c>
      <c r="V672" s="1169">
        <f t="shared" si="672"/>
        <v>0</v>
      </c>
      <c r="W672" s="1169">
        <f t="shared" si="694"/>
        <v>0</v>
      </c>
      <c r="X672" s="1169">
        <f t="shared" si="694"/>
        <v>0</v>
      </c>
      <c r="Y672" s="1169">
        <f t="shared" si="694"/>
        <v>0</v>
      </c>
      <c r="Z672" s="1169">
        <f t="shared" si="694"/>
        <v>0</v>
      </c>
      <c r="AA672" s="1169">
        <f t="shared" si="694"/>
        <v>0</v>
      </c>
      <c r="AB672" s="1169">
        <f t="shared" si="694"/>
        <v>0</v>
      </c>
      <c r="AD672" s="650">
        <f t="shared" si="670"/>
        <v>0</v>
      </c>
      <c r="AI672" s="1277">
        <f>VLOOKUP(K672,'[2]ผลการเบิกจ่ายสะสม พ.ย. 66'!$C:$N,12,0)</f>
        <v>0</v>
      </c>
      <c r="AJ672" s="1274">
        <f t="shared" si="671"/>
        <v>0</v>
      </c>
    </row>
    <row r="673" spans="1:36" ht="21" customHeight="1" outlineLevel="1" x14ac:dyDescent="0.35">
      <c r="A673" s="313"/>
      <c r="B673" s="293"/>
      <c r="C673" s="935" t="s">
        <v>896</v>
      </c>
      <c r="D673" s="1168"/>
      <c r="E673" s="1171"/>
      <c r="F673" s="1171"/>
      <c r="G673" s="1171"/>
      <c r="H673" s="1171"/>
      <c r="I673" s="1172"/>
      <c r="J673" s="1172">
        <f>+J674</f>
        <v>218400</v>
      </c>
      <c r="K673" s="1033" t="s">
        <v>1391</v>
      </c>
      <c r="L673" s="1066" t="s">
        <v>1429</v>
      </c>
      <c r="M673" s="1171">
        <f t="shared" si="694"/>
        <v>0</v>
      </c>
      <c r="N673" s="1171">
        <f>+N674</f>
        <v>0</v>
      </c>
      <c r="O673" s="1171">
        <f t="shared" si="694"/>
        <v>0</v>
      </c>
      <c r="P673" s="1171">
        <f t="shared" si="694"/>
        <v>0</v>
      </c>
      <c r="Q673" s="1171">
        <f t="shared" si="694"/>
        <v>0</v>
      </c>
      <c r="R673" s="1171">
        <f t="shared" si="694"/>
        <v>0</v>
      </c>
      <c r="S673" s="1171">
        <f t="shared" si="694"/>
        <v>0</v>
      </c>
      <c r="T673" s="1171">
        <f t="shared" si="694"/>
        <v>0</v>
      </c>
      <c r="U673" s="1171">
        <f t="shared" si="694"/>
        <v>0</v>
      </c>
      <c r="V673" s="1171">
        <f t="shared" si="672"/>
        <v>0</v>
      </c>
      <c r="W673" s="1171">
        <f t="shared" si="694"/>
        <v>0</v>
      </c>
      <c r="X673" s="1171">
        <f t="shared" si="694"/>
        <v>0</v>
      </c>
      <c r="Y673" s="1171">
        <f t="shared" si="694"/>
        <v>0</v>
      </c>
      <c r="Z673" s="1171">
        <f t="shared" si="694"/>
        <v>0</v>
      </c>
      <c r="AA673" s="1171">
        <f t="shared" si="694"/>
        <v>0</v>
      </c>
      <c r="AB673" s="1171">
        <f t="shared" si="694"/>
        <v>0</v>
      </c>
      <c r="AD673" s="650">
        <f t="shared" si="670"/>
        <v>0</v>
      </c>
      <c r="AI673" s="1277" t="e">
        <f>VLOOKUP(K673,'[2]ผลการเบิกจ่ายสะสม พ.ย. 66'!$C:$N,12,0)</f>
        <v>#N/A</v>
      </c>
      <c r="AJ673" s="1274" t="e">
        <f t="shared" si="671"/>
        <v>#N/A</v>
      </c>
    </row>
    <row r="674" spans="1:36" ht="21" customHeight="1" outlineLevel="1" x14ac:dyDescent="0.35">
      <c r="A674" s="313"/>
      <c r="B674" s="293"/>
      <c r="C674" s="929" t="s">
        <v>897</v>
      </c>
      <c r="D674" s="1168"/>
      <c r="E674" s="1171"/>
      <c r="F674" s="1171"/>
      <c r="G674" s="1171"/>
      <c r="H674" s="1171"/>
      <c r="I674" s="1172"/>
      <c r="J674" s="1172">
        <v>218400</v>
      </c>
      <c r="K674" s="1047"/>
      <c r="L674" s="1047"/>
      <c r="M674" s="1171"/>
      <c r="N674" s="1171">
        <v>0</v>
      </c>
      <c r="O674" s="1171"/>
      <c r="P674" s="1171"/>
      <c r="Q674" s="1171"/>
      <c r="R674" s="1171"/>
      <c r="S674" s="1171"/>
      <c r="T674" s="1091">
        <f t="shared" ref="T674" si="695">+R674+S674</f>
        <v>0</v>
      </c>
      <c r="U674" s="1091">
        <f t="shared" ref="U674" si="696">+N674+O674-T674</f>
        <v>0</v>
      </c>
      <c r="V674" s="1091">
        <f t="shared" si="672"/>
        <v>0</v>
      </c>
      <c r="W674" s="1091"/>
      <c r="X674" s="1091">
        <f t="shared" ref="X674" si="697">+T674+Q674</f>
        <v>0</v>
      </c>
      <c r="Y674" s="1091">
        <f t="shared" ref="Y674" si="698">+U674-Q674</f>
        <v>0</v>
      </c>
      <c r="Z674" s="1091">
        <f t="shared" ref="Z674" si="699">+T674+Q674+P674</f>
        <v>0</v>
      </c>
      <c r="AA674" s="1091">
        <f t="shared" ref="AA674" si="700">+U674-Q674-P674</f>
        <v>0</v>
      </c>
      <c r="AB674" s="1091">
        <f t="shared" ref="AB674" si="701">IFERROR(Z674*100/(N674+O674),0)</f>
        <v>0</v>
      </c>
      <c r="AD674" s="650">
        <f t="shared" si="670"/>
        <v>0</v>
      </c>
      <c r="AI674" s="1277">
        <f>VLOOKUP(K674,'[2]ผลการเบิกจ่ายสะสม พ.ย. 66'!$C:$N,12,0)</f>
        <v>0</v>
      </c>
      <c r="AJ674" s="1274">
        <f t="shared" si="671"/>
        <v>0</v>
      </c>
    </row>
    <row r="675" spans="1:36" ht="21" customHeight="1" outlineLevel="1" x14ac:dyDescent="0.35">
      <c r="A675" s="313"/>
      <c r="B675" s="72" t="s">
        <v>898</v>
      </c>
      <c r="C675" s="274"/>
      <c r="D675" s="1168"/>
      <c r="E675" s="1169"/>
      <c r="F675" s="1169"/>
      <c r="G675" s="1169"/>
      <c r="H675" s="1169"/>
      <c r="I675" s="1170"/>
      <c r="J675" s="1170">
        <f>+J676</f>
        <v>4862000</v>
      </c>
      <c r="K675" s="1046"/>
      <c r="L675" s="1046"/>
      <c r="M675" s="1169">
        <f t="shared" ref="M675:AB676" si="702">+M676</f>
        <v>0</v>
      </c>
      <c r="N675" s="1169">
        <f>+N676</f>
        <v>4862000</v>
      </c>
      <c r="O675" s="1169">
        <f t="shared" si="702"/>
        <v>0</v>
      </c>
      <c r="P675" s="1169">
        <f t="shared" si="702"/>
        <v>0</v>
      </c>
      <c r="Q675" s="1169">
        <f t="shared" si="702"/>
        <v>0</v>
      </c>
      <c r="R675" s="1169">
        <f t="shared" si="702"/>
        <v>0</v>
      </c>
      <c r="S675" s="1169">
        <f t="shared" si="702"/>
        <v>0</v>
      </c>
      <c r="T675" s="1169">
        <f t="shared" si="702"/>
        <v>0</v>
      </c>
      <c r="U675" s="1169">
        <f t="shared" si="702"/>
        <v>4862000</v>
      </c>
      <c r="V675" s="1169">
        <f t="shared" si="672"/>
        <v>0</v>
      </c>
      <c r="W675" s="1169">
        <f t="shared" si="702"/>
        <v>0</v>
      </c>
      <c r="X675" s="1169">
        <f t="shared" si="702"/>
        <v>0</v>
      </c>
      <c r="Y675" s="1169">
        <f t="shared" si="702"/>
        <v>4862000</v>
      </c>
      <c r="Z675" s="1169">
        <f t="shared" si="702"/>
        <v>0</v>
      </c>
      <c r="AA675" s="1169">
        <f t="shared" si="702"/>
        <v>4862000</v>
      </c>
      <c r="AB675" s="1169">
        <f t="shared" si="702"/>
        <v>0</v>
      </c>
      <c r="AD675" s="650">
        <f t="shared" si="670"/>
        <v>0</v>
      </c>
      <c r="AI675" s="1277">
        <f>VLOOKUP(K675,'[2]ผลการเบิกจ่ายสะสม พ.ย. 66'!$C:$N,12,0)</f>
        <v>0</v>
      </c>
      <c r="AJ675" s="1274">
        <f t="shared" si="671"/>
        <v>0</v>
      </c>
    </row>
    <row r="676" spans="1:36" ht="21" customHeight="1" outlineLevel="1" x14ac:dyDescent="0.35">
      <c r="A676" s="313"/>
      <c r="B676" s="293"/>
      <c r="C676" s="935" t="s">
        <v>899</v>
      </c>
      <c r="D676" s="1168"/>
      <c r="E676" s="1171"/>
      <c r="F676" s="1171"/>
      <c r="G676" s="1171"/>
      <c r="H676" s="1171"/>
      <c r="I676" s="1172"/>
      <c r="J676" s="1172">
        <f>+J677</f>
        <v>4862000</v>
      </c>
      <c r="K676" s="1047"/>
      <c r="L676" s="1047"/>
      <c r="M676" s="1171">
        <f t="shared" si="702"/>
        <v>0</v>
      </c>
      <c r="N676" s="1171">
        <f>+N677</f>
        <v>4862000</v>
      </c>
      <c r="O676" s="1171">
        <f t="shared" si="702"/>
        <v>0</v>
      </c>
      <c r="P676" s="1171">
        <f t="shared" si="702"/>
        <v>0</v>
      </c>
      <c r="Q676" s="1171">
        <f t="shared" si="702"/>
        <v>0</v>
      </c>
      <c r="R676" s="1171">
        <f t="shared" si="702"/>
        <v>0</v>
      </c>
      <c r="S676" s="1171">
        <f t="shared" si="702"/>
        <v>0</v>
      </c>
      <c r="T676" s="1171">
        <f t="shared" si="702"/>
        <v>0</v>
      </c>
      <c r="U676" s="1171">
        <f t="shared" si="702"/>
        <v>4862000</v>
      </c>
      <c r="V676" s="1171">
        <f t="shared" si="672"/>
        <v>0</v>
      </c>
      <c r="W676" s="1171">
        <f t="shared" si="702"/>
        <v>0</v>
      </c>
      <c r="X676" s="1171">
        <f t="shared" si="702"/>
        <v>0</v>
      </c>
      <c r="Y676" s="1171">
        <f t="shared" si="702"/>
        <v>4862000</v>
      </c>
      <c r="Z676" s="1171">
        <f t="shared" si="702"/>
        <v>0</v>
      </c>
      <c r="AA676" s="1171">
        <f t="shared" si="702"/>
        <v>4862000</v>
      </c>
      <c r="AB676" s="1171">
        <f t="shared" si="702"/>
        <v>0</v>
      </c>
      <c r="AD676" s="650">
        <f t="shared" si="670"/>
        <v>0</v>
      </c>
      <c r="AI676" s="1277">
        <f>VLOOKUP(K676,'[2]ผลการเบิกจ่ายสะสม พ.ย. 66'!$C:$N,12,0)</f>
        <v>0</v>
      </c>
      <c r="AJ676" s="1274">
        <f t="shared" si="671"/>
        <v>0</v>
      </c>
    </row>
    <row r="677" spans="1:36" ht="42" customHeight="1" outlineLevel="1" x14ac:dyDescent="0.35">
      <c r="A677" s="313"/>
      <c r="B677" s="293"/>
      <c r="C677" s="929" t="s">
        <v>1241</v>
      </c>
      <c r="D677" s="1168"/>
      <c r="E677" s="1171"/>
      <c r="F677" s="1171"/>
      <c r="G677" s="1171"/>
      <c r="H677" s="1171"/>
      <c r="I677" s="1172"/>
      <c r="J677" s="1172">
        <v>4862000</v>
      </c>
      <c r="K677" s="1033" t="s">
        <v>1392</v>
      </c>
      <c r="L677" s="1066" t="s">
        <v>1429</v>
      </c>
      <c r="M677" s="1171"/>
      <c r="N677" s="1171">
        <v>4862000</v>
      </c>
      <c r="O677" s="1171"/>
      <c r="P677" s="1171"/>
      <c r="Q677" s="1171"/>
      <c r="R677" s="1171"/>
      <c r="S677" s="1171"/>
      <c r="T677" s="1091">
        <f t="shared" ref="T677" si="703">+R677+S677</f>
        <v>0</v>
      </c>
      <c r="U677" s="1091">
        <f t="shared" ref="U677" si="704">+N677+O677-T677</f>
        <v>4862000</v>
      </c>
      <c r="V677" s="1091">
        <f t="shared" si="672"/>
        <v>0</v>
      </c>
      <c r="W677" s="1091"/>
      <c r="X677" s="1091">
        <f t="shared" ref="X677" si="705">+T677+Q677</f>
        <v>0</v>
      </c>
      <c r="Y677" s="1091">
        <f t="shared" ref="Y677" si="706">+U677-Q677</f>
        <v>4862000</v>
      </c>
      <c r="Z677" s="1091">
        <f t="shared" ref="Z677" si="707">+T677+Q677+P677</f>
        <v>0</v>
      </c>
      <c r="AA677" s="1091">
        <f t="shared" ref="AA677" si="708">+U677-Q677-P677</f>
        <v>4862000</v>
      </c>
      <c r="AB677" s="1091">
        <f t="shared" ref="AB677" si="709">IFERROR(Z677*100/(N677+O677),0)</f>
        <v>0</v>
      </c>
      <c r="AD677" s="650">
        <f t="shared" si="670"/>
        <v>0</v>
      </c>
      <c r="AI677" s="1277" t="e">
        <f>VLOOKUP(K677,'[2]ผลการเบิกจ่ายสะสม พ.ย. 66'!$C:$N,12,0)</f>
        <v>#N/A</v>
      </c>
      <c r="AJ677" s="1274" t="e">
        <f t="shared" si="671"/>
        <v>#N/A</v>
      </c>
    </row>
    <row r="678" spans="1:36" ht="21" customHeight="1" outlineLevel="1" x14ac:dyDescent="0.35">
      <c r="A678" s="313"/>
      <c r="B678" s="72" t="s">
        <v>900</v>
      </c>
      <c r="C678" s="274"/>
      <c r="D678" s="1168"/>
      <c r="E678" s="1169"/>
      <c r="F678" s="1169"/>
      <c r="G678" s="1169"/>
      <c r="H678" s="1169"/>
      <c r="I678" s="1170"/>
      <c r="J678" s="1170">
        <f>+J679</f>
        <v>38100</v>
      </c>
      <c r="K678" s="1046"/>
      <c r="L678" s="1046"/>
      <c r="M678" s="1169">
        <f t="shared" ref="M678:AB679" si="710">+M679</f>
        <v>0</v>
      </c>
      <c r="N678" s="1169">
        <f>+N679</f>
        <v>0</v>
      </c>
      <c r="O678" s="1169">
        <f t="shared" si="710"/>
        <v>0</v>
      </c>
      <c r="P678" s="1169">
        <f t="shared" si="710"/>
        <v>0</v>
      </c>
      <c r="Q678" s="1169">
        <f t="shared" si="710"/>
        <v>0</v>
      </c>
      <c r="R678" s="1169">
        <f t="shared" si="710"/>
        <v>0</v>
      </c>
      <c r="S678" s="1169">
        <f t="shared" si="710"/>
        <v>0</v>
      </c>
      <c r="T678" s="1169">
        <f t="shared" si="710"/>
        <v>0</v>
      </c>
      <c r="U678" s="1169">
        <f t="shared" si="710"/>
        <v>0</v>
      </c>
      <c r="V678" s="1169">
        <f t="shared" si="672"/>
        <v>0</v>
      </c>
      <c r="W678" s="1169">
        <f t="shared" si="710"/>
        <v>0</v>
      </c>
      <c r="X678" s="1169">
        <f t="shared" si="710"/>
        <v>0</v>
      </c>
      <c r="Y678" s="1169">
        <f t="shared" si="710"/>
        <v>0</v>
      </c>
      <c r="Z678" s="1169">
        <f t="shared" si="710"/>
        <v>0</v>
      </c>
      <c r="AA678" s="1169">
        <f t="shared" si="710"/>
        <v>0</v>
      </c>
      <c r="AB678" s="1169">
        <f t="shared" si="710"/>
        <v>0</v>
      </c>
      <c r="AD678" s="650">
        <f t="shared" si="670"/>
        <v>0</v>
      </c>
      <c r="AI678" s="1277">
        <f>VLOOKUP(K678,'[2]ผลการเบิกจ่ายสะสม พ.ย. 66'!$C:$N,12,0)</f>
        <v>0</v>
      </c>
      <c r="AJ678" s="1274">
        <f t="shared" si="671"/>
        <v>0</v>
      </c>
    </row>
    <row r="679" spans="1:36" ht="21" customHeight="1" outlineLevel="1" x14ac:dyDescent="0.35">
      <c r="A679" s="313"/>
      <c r="B679" s="293"/>
      <c r="C679" s="935" t="s">
        <v>901</v>
      </c>
      <c r="D679" s="1168"/>
      <c r="E679" s="1171"/>
      <c r="F679" s="1171"/>
      <c r="G679" s="1171"/>
      <c r="H679" s="1171"/>
      <c r="I679" s="1172"/>
      <c r="J679" s="1172">
        <f>+J680</f>
        <v>38100</v>
      </c>
      <c r="K679" s="1033" t="s">
        <v>1393</v>
      </c>
      <c r="L679" s="1066" t="s">
        <v>1429</v>
      </c>
      <c r="M679" s="1171">
        <f t="shared" si="710"/>
        <v>0</v>
      </c>
      <c r="N679" s="1171">
        <f>+N680</f>
        <v>0</v>
      </c>
      <c r="O679" s="1171">
        <f t="shared" si="710"/>
        <v>0</v>
      </c>
      <c r="P679" s="1171">
        <f t="shared" si="710"/>
        <v>0</v>
      </c>
      <c r="Q679" s="1171">
        <f t="shared" si="710"/>
        <v>0</v>
      </c>
      <c r="R679" s="1171">
        <f t="shared" si="710"/>
        <v>0</v>
      </c>
      <c r="S679" s="1171">
        <f t="shared" si="710"/>
        <v>0</v>
      </c>
      <c r="T679" s="1171">
        <f t="shared" si="710"/>
        <v>0</v>
      </c>
      <c r="U679" s="1171">
        <f t="shared" si="710"/>
        <v>0</v>
      </c>
      <c r="V679" s="1171">
        <f t="shared" si="672"/>
        <v>0</v>
      </c>
      <c r="W679" s="1171">
        <f t="shared" si="710"/>
        <v>0</v>
      </c>
      <c r="X679" s="1171">
        <f t="shared" si="710"/>
        <v>0</v>
      </c>
      <c r="Y679" s="1171">
        <f t="shared" si="710"/>
        <v>0</v>
      </c>
      <c r="Z679" s="1171">
        <f t="shared" si="710"/>
        <v>0</v>
      </c>
      <c r="AA679" s="1171">
        <f t="shared" si="710"/>
        <v>0</v>
      </c>
      <c r="AB679" s="1171">
        <f t="shared" si="710"/>
        <v>0</v>
      </c>
      <c r="AD679" s="650">
        <f t="shared" si="670"/>
        <v>0</v>
      </c>
      <c r="AI679" s="1277" t="e">
        <f>VLOOKUP(K679,'[2]ผลการเบิกจ่ายสะสม พ.ย. 66'!$C:$N,12,0)</f>
        <v>#N/A</v>
      </c>
      <c r="AJ679" s="1274" t="e">
        <f t="shared" si="671"/>
        <v>#N/A</v>
      </c>
    </row>
    <row r="680" spans="1:36" ht="42" customHeight="1" outlineLevel="1" x14ac:dyDescent="0.35">
      <c r="A680" s="313"/>
      <c r="B680" s="293"/>
      <c r="C680" s="929" t="s">
        <v>902</v>
      </c>
      <c r="D680" s="1168"/>
      <c r="E680" s="1171"/>
      <c r="F680" s="1171"/>
      <c r="G680" s="1171"/>
      <c r="H680" s="1171"/>
      <c r="I680" s="1172"/>
      <c r="J680" s="1172">
        <v>38100</v>
      </c>
      <c r="K680" s="1047"/>
      <c r="L680" s="1047"/>
      <c r="M680" s="1171"/>
      <c r="N680" s="1171"/>
      <c r="O680" s="1171"/>
      <c r="P680" s="1171"/>
      <c r="Q680" s="1171"/>
      <c r="R680" s="1171"/>
      <c r="S680" s="1171"/>
      <c r="T680" s="1091">
        <f t="shared" ref="T680" si="711">+R680+S680</f>
        <v>0</v>
      </c>
      <c r="U680" s="1091">
        <f t="shared" ref="U680" si="712">+N680+O680-T680</f>
        <v>0</v>
      </c>
      <c r="V680" s="1091">
        <f t="shared" si="672"/>
        <v>0</v>
      </c>
      <c r="W680" s="1091"/>
      <c r="X680" s="1091">
        <f t="shared" ref="X680" si="713">+T680+Q680</f>
        <v>0</v>
      </c>
      <c r="Y680" s="1091">
        <f t="shared" ref="Y680" si="714">+U680-Q680</f>
        <v>0</v>
      </c>
      <c r="Z680" s="1091">
        <f t="shared" ref="Z680" si="715">+T680+Q680+P680</f>
        <v>0</v>
      </c>
      <c r="AA680" s="1091">
        <f t="shared" ref="AA680" si="716">+U680-Q680-P680</f>
        <v>0</v>
      </c>
      <c r="AB680" s="1091">
        <f t="shared" ref="AB680" si="717">IFERROR(Z680*100/(N680+O680),0)</f>
        <v>0</v>
      </c>
      <c r="AD680" s="650">
        <f t="shared" si="670"/>
        <v>0</v>
      </c>
      <c r="AI680" s="1277">
        <f>VLOOKUP(K680,'[2]ผลการเบิกจ่ายสะสม พ.ย. 66'!$C:$N,12,0)</f>
        <v>0</v>
      </c>
      <c r="AJ680" s="1274">
        <f t="shared" si="671"/>
        <v>0</v>
      </c>
    </row>
    <row r="681" spans="1:36" ht="21" customHeight="1" outlineLevel="1" x14ac:dyDescent="0.35">
      <c r="A681" s="313"/>
      <c r="B681" s="72" t="s">
        <v>903</v>
      </c>
      <c r="C681" s="274"/>
      <c r="D681" s="1168"/>
      <c r="E681" s="1169"/>
      <c r="F681" s="1169"/>
      <c r="G681" s="1169"/>
      <c r="H681" s="1169"/>
      <c r="I681" s="1170"/>
      <c r="J681" s="1170">
        <f>+J682+J691</f>
        <v>39824000</v>
      </c>
      <c r="K681" s="1046"/>
      <c r="L681" s="1046"/>
      <c r="M681" s="1169">
        <f t="shared" ref="M681:U681" si="718">+M682+M691</f>
        <v>0</v>
      </c>
      <c r="N681" s="1169">
        <f>+N682+N691</f>
        <v>0</v>
      </c>
      <c r="O681" s="1169">
        <f t="shared" si="718"/>
        <v>0</v>
      </c>
      <c r="P681" s="1169">
        <f t="shared" si="718"/>
        <v>0</v>
      </c>
      <c r="Q681" s="1169">
        <f t="shared" si="718"/>
        <v>0</v>
      </c>
      <c r="R681" s="1169">
        <f t="shared" si="718"/>
        <v>0</v>
      </c>
      <c r="S681" s="1169">
        <f t="shared" si="718"/>
        <v>0</v>
      </c>
      <c r="T681" s="1169">
        <f t="shared" si="718"/>
        <v>0</v>
      </c>
      <c r="U681" s="1169">
        <f t="shared" si="718"/>
        <v>0</v>
      </c>
      <c r="V681" s="1169">
        <f t="shared" si="672"/>
        <v>0</v>
      </c>
      <c r="W681" s="1169">
        <f t="shared" ref="W681:AB681" si="719">+W682+W691</f>
        <v>0</v>
      </c>
      <c r="X681" s="1169">
        <f t="shared" si="719"/>
        <v>0</v>
      </c>
      <c r="Y681" s="1169">
        <f t="shared" si="719"/>
        <v>0</v>
      </c>
      <c r="Z681" s="1169">
        <f t="shared" si="719"/>
        <v>0</v>
      </c>
      <c r="AA681" s="1169">
        <f t="shared" si="719"/>
        <v>0</v>
      </c>
      <c r="AB681" s="1169">
        <f t="shared" si="719"/>
        <v>0</v>
      </c>
      <c r="AD681" s="650">
        <f t="shared" si="670"/>
        <v>0</v>
      </c>
      <c r="AI681" s="1277">
        <f>VLOOKUP(K681,'[2]ผลการเบิกจ่ายสะสม พ.ย. 66'!$C:$N,12,0)</f>
        <v>0</v>
      </c>
      <c r="AJ681" s="1274">
        <f t="shared" si="671"/>
        <v>0</v>
      </c>
    </row>
    <row r="682" spans="1:36" ht="21" customHeight="1" outlineLevel="1" x14ac:dyDescent="0.35">
      <c r="A682" s="313"/>
      <c r="B682" s="293"/>
      <c r="C682" s="935" t="s">
        <v>904</v>
      </c>
      <c r="D682" s="1168"/>
      <c r="E682" s="1171"/>
      <c r="F682" s="1171"/>
      <c r="G682" s="1171"/>
      <c r="H682" s="1171"/>
      <c r="I682" s="1172"/>
      <c r="J682" s="1172">
        <f>SUM(J683:J690)</f>
        <v>9472000</v>
      </c>
      <c r="K682" s="1033" t="s">
        <v>1394</v>
      </c>
      <c r="L682" s="1066" t="s">
        <v>1429</v>
      </c>
      <c r="M682" s="1171">
        <f t="shared" ref="M682:U682" si="720">SUM(M683:M690)</f>
        <v>0</v>
      </c>
      <c r="N682" s="1171">
        <f>SUM(N683:N690)</f>
        <v>0</v>
      </c>
      <c r="O682" s="1171">
        <f t="shared" si="720"/>
        <v>0</v>
      </c>
      <c r="P682" s="1171">
        <f t="shared" si="720"/>
        <v>0</v>
      </c>
      <c r="Q682" s="1171">
        <f t="shared" si="720"/>
        <v>0</v>
      </c>
      <c r="R682" s="1171">
        <f t="shared" si="720"/>
        <v>0</v>
      </c>
      <c r="S682" s="1171">
        <f t="shared" si="720"/>
        <v>0</v>
      </c>
      <c r="T682" s="1171">
        <f t="shared" si="720"/>
        <v>0</v>
      </c>
      <c r="U682" s="1171">
        <f t="shared" si="720"/>
        <v>0</v>
      </c>
      <c r="V682" s="1171">
        <f t="shared" si="672"/>
        <v>0</v>
      </c>
      <c r="W682" s="1171">
        <f t="shared" ref="W682:AB682" si="721">SUM(W683:W690)</f>
        <v>0</v>
      </c>
      <c r="X682" s="1171">
        <f t="shared" si="721"/>
        <v>0</v>
      </c>
      <c r="Y682" s="1171">
        <f t="shared" si="721"/>
        <v>0</v>
      </c>
      <c r="Z682" s="1171">
        <f t="shared" si="721"/>
        <v>0</v>
      </c>
      <c r="AA682" s="1171">
        <f t="shared" si="721"/>
        <v>0</v>
      </c>
      <c r="AB682" s="1171">
        <f t="shared" si="721"/>
        <v>0</v>
      </c>
      <c r="AD682" s="650">
        <f t="shared" si="670"/>
        <v>0</v>
      </c>
      <c r="AI682" s="1277" t="e">
        <f>VLOOKUP(K682,'[2]ผลการเบิกจ่ายสะสม พ.ย. 66'!$C:$N,12,0)</f>
        <v>#N/A</v>
      </c>
      <c r="AJ682" s="1274" t="e">
        <f t="shared" si="671"/>
        <v>#N/A</v>
      </c>
    </row>
    <row r="683" spans="1:36" ht="21" customHeight="1" outlineLevel="1" x14ac:dyDescent="0.35">
      <c r="A683" s="313"/>
      <c r="B683" s="293"/>
      <c r="C683" s="929" t="s">
        <v>905</v>
      </c>
      <c r="D683" s="1168"/>
      <c r="E683" s="1171"/>
      <c r="F683" s="1171"/>
      <c r="G683" s="1171"/>
      <c r="H683" s="1171"/>
      <c r="I683" s="1172"/>
      <c r="J683" s="1172">
        <v>470900</v>
      </c>
      <c r="K683" s="1047"/>
      <c r="L683" s="1047"/>
      <c r="M683" s="1171"/>
      <c r="N683" s="1171"/>
      <c r="O683" s="1171"/>
      <c r="P683" s="1171"/>
      <c r="Q683" s="1171"/>
      <c r="R683" s="1171"/>
      <c r="S683" s="1171"/>
      <c r="T683" s="1091">
        <f t="shared" ref="T683:T690" si="722">+R683+S683</f>
        <v>0</v>
      </c>
      <c r="U683" s="1091">
        <f t="shared" ref="U683:U690" si="723">+N683+O683-T683</f>
        <v>0</v>
      </c>
      <c r="V683" s="1091">
        <f t="shared" si="672"/>
        <v>0</v>
      </c>
      <c r="W683" s="1091"/>
      <c r="X683" s="1091">
        <f t="shared" ref="X683:X690" si="724">+T683+Q683</f>
        <v>0</v>
      </c>
      <c r="Y683" s="1091">
        <f t="shared" ref="Y683:Y690" si="725">+U683-Q683</f>
        <v>0</v>
      </c>
      <c r="Z683" s="1091">
        <f t="shared" ref="Z683:Z690" si="726">+T683+Q683+P683</f>
        <v>0</v>
      </c>
      <c r="AA683" s="1091">
        <f t="shared" ref="AA683:AA690" si="727">+U683-Q683-P683</f>
        <v>0</v>
      </c>
      <c r="AB683" s="1091">
        <f t="shared" ref="AB683:AB690" si="728">IFERROR(Z683*100/(N683+O683),0)</f>
        <v>0</v>
      </c>
      <c r="AD683" s="650">
        <f t="shared" si="670"/>
        <v>0</v>
      </c>
      <c r="AI683" s="1277">
        <f>VLOOKUP(K683,'[2]ผลการเบิกจ่ายสะสม พ.ย. 66'!$C:$N,12,0)</f>
        <v>0</v>
      </c>
      <c r="AJ683" s="1274">
        <f t="shared" si="671"/>
        <v>0</v>
      </c>
    </row>
    <row r="684" spans="1:36" ht="42" customHeight="1" outlineLevel="1" x14ac:dyDescent="0.35">
      <c r="A684" s="313"/>
      <c r="B684" s="293"/>
      <c r="C684" s="929" t="s">
        <v>906</v>
      </c>
      <c r="D684" s="1168"/>
      <c r="E684" s="1171"/>
      <c r="F684" s="1171"/>
      <c r="G684" s="1171"/>
      <c r="H684" s="1171"/>
      <c r="I684" s="1172"/>
      <c r="J684" s="1172">
        <v>286500</v>
      </c>
      <c r="K684" s="1047"/>
      <c r="L684" s="1047"/>
      <c r="M684" s="1171"/>
      <c r="N684" s="1171"/>
      <c r="O684" s="1171"/>
      <c r="P684" s="1171"/>
      <c r="Q684" s="1171"/>
      <c r="R684" s="1171"/>
      <c r="S684" s="1171"/>
      <c r="T684" s="1091">
        <f t="shared" si="722"/>
        <v>0</v>
      </c>
      <c r="U684" s="1091">
        <f t="shared" si="723"/>
        <v>0</v>
      </c>
      <c r="V684" s="1091">
        <f t="shared" si="672"/>
        <v>0</v>
      </c>
      <c r="W684" s="1091"/>
      <c r="X684" s="1091">
        <f t="shared" si="724"/>
        <v>0</v>
      </c>
      <c r="Y684" s="1091">
        <f t="shared" si="725"/>
        <v>0</v>
      </c>
      <c r="Z684" s="1091">
        <f t="shared" si="726"/>
        <v>0</v>
      </c>
      <c r="AA684" s="1091">
        <f t="shared" si="727"/>
        <v>0</v>
      </c>
      <c r="AB684" s="1091">
        <f t="shared" si="728"/>
        <v>0</v>
      </c>
      <c r="AD684" s="650">
        <f t="shared" si="670"/>
        <v>0</v>
      </c>
      <c r="AI684" s="1277">
        <f>VLOOKUP(K684,'[2]ผลการเบิกจ่ายสะสม พ.ย. 66'!$C:$N,12,0)</f>
        <v>0</v>
      </c>
      <c r="AJ684" s="1274">
        <f t="shared" si="671"/>
        <v>0</v>
      </c>
    </row>
    <row r="685" spans="1:36" ht="42" customHeight="1" outlineLevel="1" x14ac:dyDescent="0.35">
      <c r="A685" s="313"/>
      <c r="B685" s="293"/>
      <c r="C685" s="929" t="s">
        <v>907</v>
      </c>
      <c r="D685" s="1168"/>
      <c r="E685" s="1171"/>
      <c r="F685" s="1171"/>
      <c r="G685" s="1171"/>
      <c r="H685" s="1171"/>
      <c r="I685" s="1172"/>
      <c r="J685" s="1172">
        <v>1141000</v>
      </c>
      <c r="K685" s="1047"/>
      <c r="L685" s="1047"/>
      <c r="M685" s="1171"/>
      <c r="N685" s="1171"/>
      <c r="O685" s="1171"/>
      <c r="P685" s="1171"/>
      <c r="Q685" s="1171"/>
      <c r="R685" s="1171"/>
      <c r="S685" s="1171"/>
      <c r="T685" s="1091">
        <f t="shared" si="722"/>
        <v>0</v>
      </c>
      <c r="U685" s="1091">
        <f t="shared" si="723"/>
        <v>0</v>
      </c>
      <c r="V685" s="1091">
        <f t="shared" si="672"/>
        <v>0</v>
      </c>
      <c r="W685" s="1091"/>
      <c r="X685" s="1091">
        <f t="shared" si="724"/>
        <v>0</v>
      </c>
      <c r="Y685" s="1091">
        <f t="shared" si="725"/>
        <v>0</v>
      </c>
      <c r="Z685" s="1091">
        <f t="shared" si="726"/>
        <v>0</v>
      </c>
      <c r="AA685" s="1091">
        <f t="shared" si="727"/>
        <v>0</v>
      </c>
      <c r="AB685" s="1091">
        <f t="shared" si="728"/>
        <v>0</v>
      </c>
      <c r="AD685" s="650">
        <f t="shared" si="670"/>
        <v>0</v>
      </c>
      <c r="AI685" s="1277">
        <f>VLOOKUP(K685,'[2]ผลการเบิกจ่ายสะสม พ.ย. 66'!$C:$N,12,0)</f>
        <v>0</v>
      </c>
      <c r="AJ685" s="1274">
        <f t="shared" si="671"/>
        <v>0</v>
      </c>
    </row>
    <row r="686" spans="1:36" ht="21" customHeight="1" outlineLevel="1" x14ac:dyDescent="0.35">
      <c r="A686" s="313"/>
      <c r="B686" s="293"/>
      <c r="C686" s="929" t="s">
        <v>908</v>
      </c>
      <c r="D686" s="1168"/>
      <c r="E686" s="1171"/>
      <c r="F686" s="1171"/>
      <c r="G686" s="1171"/>
      <c r="H686" s="1171"/>
      <c r="I686" s="1172"/>
      <c r="J686" s="1172">
        <v>4000000</v>
      </c>
      <c r="K686" s="1047"/>
      <c r="L686" s="1047"/>
      <c r="M686" s="1171"/>
      <c r="N686" s="1171"/>
      <c r="O686" s="1171"/>
      <c r="P686" s="1171"/>
      <c r="Q686" s="1171"/>
      <c r="R686" s="1171"/>
      <c r="S686" s="1171"/>
      <c r="T686" s="1091">
        <f t="shared" si="722"/>
        <v>0</v>
      </c>
      <c r="U686" s="1091">
        <f t="shared" si="723"/>
        <v>0</v>
      </c>
      <c r="V686" s="1091">
        <f t="shared" si="672"/>
        <v>0</v>
      </c>
      <c r="W686" s="1091"/>
      <c r="X686" s="1091">
        <f t="shared" si="724"/>
        <v>0</v>
      </c>
      <c r="Y686" s="1091">
        <f t="shared" si="725"/>
        <v>0</v>
      </c>
      <c r="Z686" s="1091">
        <f t="shared" si="726"/>
        <v>0</v>
      </c>
      <c r="AA686" s="1091">
        <f t="shared" si="727"/>
        <v>0</v>
      </c>
      <c r="AB686" s="1091">
        <f t="shared" si="728"/>
        <v>0</v>
      </c>
      <c r="AD686" s="650">
        <f t="shared" si="670"/>
        <v>0</v>
      </c>
      <c r="AI686" s="1277">
        <f>VLOOKUP(K686,'[2]ผลการเบิกจ่ายสะสม พ.ย. 66'!$C:$N,12,0)</f>
        <v>0</v>
      </c>
      <c r="AJ686" s="1274">
        <f t="shared" si="671"/>
        <v>0</v>
      </c>
    </row>
    <row r="687" spans="1:36" ht="21" customHeight="1" outlineLevel="1" x14ac:dyDescent="0.35">
      <c r="A687" s="313"/>
      <c r="B687" s="293"/>
      <c r="C687" s="929" t="s">
        <v>909</v>
      </c>
      <c r="D687" s="1168"/>
      <c r="E687" s="1171"/>
      <c r="F687" s="1171"/>
      <c r="G687" s="1171"/>
      <c r="H687" s="1171"/>
      <c r="I687" s="1172"/>
      <c r="J687" s="1172">
        <v>1470400</v>
      </c>
      <c r="K687" s="1047"/>
      <c r="L687" s="1047"/>
      <c r="M687" s="1171"/>
      <c r="N687" s="1171"/>
      <c r="O687" s="1171"/>
      <c r="P687" s="1171"/>
      <c r="Q687" s="1171"/>
      <c r="R687" s="1171"/>
      <c r="S687" s="1171"/>
      <c r="T687" s="1091">
        <f t="shared" si="722"/>
        <v>0</v>
      </c>
      <c r="U687" s="1091">
        <f t="shared" si="723"/>
        <v>0</v>
      </c>
      <c r="V687" s="1091">
        <f t="shared" si="672"/>
        <v>0</v>
      </c>
      <c r="W687" s="1091"/>
      <c r="X687" s="1091">
        <f t="shared" si="724"/>
        <v>0</v>
      </c>
      <c r="Y687" s="1091">
        <f t="shared" si="725"/>
        <v>0</v>
      </c>
      <c r="Z687" s="1091">
        <f t="shared" si="726"/>
        <v>0</v>
      </c>
      <c r="AA687" s="1091">
        <f t="shared" si="727"/>
        <v>0</v>
      </c>
      <c r="AB687" s="1091">
        <f t="shared" si="728"/>
        <v>0</v>
      </c>
      <c r="AD687" s="650">
        <f t="shared" si="670"/>
        <v>0</v>
      </c>
      <c r="AI687" s="1277">
        <f>VLOOKUP(K687,'[2]ผลการเบิกจ่ายสะสม พ.ย. 66'!$C:$N,12,0)</f>
        <v>0</v>
      </c>
      <c r="AJ687" s="1274">
        <f t="shared" si="671"/>
        <v>0</v>
      </c>
    </row>
    <row r="688" spans="1:36" ht="21" customHeight="1" outlineLevel="1" x14ac:dyDescent="0.35">
      <c r="A688" s="313"/>
      <c r="B688" s="293"/>
      <c r="C688" s="929" t="s">
        <v>910</v>
      </c>
      <c r="D688" s="1168"/>
      <c r="E688" s="1171"/>
      <c r="F688" s="1171"/>
      <c r="G688" s="1171"/>
      <c r="H688" s="1171"/>
      <c r="I688" s="1172"/>
      <c r="J688" s="1172">
        <v>976700</v>
      </c>
      <c r="K688" s="1047"/>
      <c r="L688" s="1047"/>
      <c r="M688" s="1171"/>
      <c r="N688" s="1171"/>
      <c r="O688" s="1171"/>
      <c r="P688" s="1171"/>
      <c r="Q688" s="1171"/>
      <c r="R688" s="1171"/>
      <c r="S688" s="1171"/>
      <c r="T688" s="1091">
        <f t="shared" si="722"/>
        <v>0</v>
      </c>
      <c r="U688" s="1091">
        <f t="shared" si="723"/>
        <v>0</v>
      </c>
      <c r="V688" s="1091">
        <f t="shared" si="672"/>
        <v>0</v>
      </c>
      <c r="W688" s="1091"/>
      <c r="X688" s="1091">
        <f t="shared" si="724"/>
        <v>0</v>
      </c>
      <c r="Y688" s="1091">
        <f t="shared" si="725"/>
        <v>0</v>
      </c>
      <c r="Z688" s="1091">
        <f t="shared" si="726"/>
        <v>0</v>
      </c>
      <c r="AA688" s="1091">
        <f t="shared" si="727"/>
        <v>0</v>
      </c>
      <c r="AB688" s="1091">
        <f t="shared" si="728"/>
        <v>0</v>
      </c>
      <c r="AD688" s="650">
        <f t="shared" si="670"/>
        <v>0</v>
      </c>
      <c r="AI688" s="1277">
        <f>VLOOKUP(K688,'[2]ผลการเบิกจ่ายสะสม พ.ย. 66'!$C:$N,12,0)</f>
        <v>0</v>
      </c>
      <c r="AJ688" s="1274">
        <f t="shared" si="671"/>
        <v>0</v>
      </c>
    </row>
    <row r="689" spans="1:36" ht="42" customHeight="1" outlineLevel="1" x14ac:dyDescent="0.35">
      <c r="A689" s="313"/>
      <c r="B689" s="293"/>
      <c r="C689" s="929" t="s">
        <v>911</v>
      </c>
      <c r="D689" s="1168"/>
      <c r="E689" s="1171"/>
      <c r="F689" s="1171"/>
      <c r="G689" s="1171"/>
      <c r="H689" s="1171"/>
      <c r="I689" s="1172"/>
      <c r="J689" s="1172">
        <v>398300</v>
      </c>
      <c r="K689" s="1047"/>
      <c r="L689" s="1047"/>
      <c r="M689" s="1171"/>
      <c r="N689" s="1171"/>
      <c r="O689" s="1171"/>
      <c r="P689" s="1171"/>
      <c r="Q689" s="1171"/>
      <c r="R689" s="1171"/>
      <c r="S689" s="1171"/>
      <c r="T689" s="1091">
        <f t="shared" si="722"/>
        <v>0</v>
      </c>
      <c r="U689" s="1091">
        <f t="shared" si="723"/>
        <v>0</v>
      </c>
      <c r="V689" s="1091">
        <f t="shared" si="672"/>
        <v>0</v>
      </c>
      <c r="W689" s="1091"/>
      <c r="X689" s="1091">
        <f t="shared" si="724"/>
        <v>0</v>
      </c>
      <c r="Y689" s="1091">
        <f t="shared" si="725"/>
        <v>0</v>
      </c>
      <c r="Z689" s="1091">
        <f t="shared" si="726"/>
        <v>0</v>
      </c>
      <c r="AA689" s="1091">
        <f t="shared" si="727"/>
        <v>0</v>
      </c>
      <c r="AB689" s="1091">
        <f t="shared" si="728"/>
        <v>0</v>
      </c>
      <c r="AD689" s="650">
        <f t="shared" si="670"/>
        <v>0</v>
      </c>
      <c r="AI689" s="1277">
        <f>VLOOKUP(K689,'[2]ผลการเบิกจ่ายสะสม พ.ย. 66'!$C:$N,12,0)</f>
        <v>0</v>
      </c>
      <c r="AJ689" s="1274">
        <f t="shared" si="671"/>
        <v>0</v>
      </c>
    </row>
    <row r="690" spans="1:36" ht="42" customHeight="1" outlineLevel="1" x14ac:dyDescent="0.35">
      <c r="A690" s="313"/>
      <c r="B690" s="293"/>
      <c r="C690" s="929" t="s">
        <v>912</v>
      </c>
      <c r="D690" s="1168"/>
      <c r="E690" s="1171"/>
      <c r="F690" s="1171"/>
      <c r="G690" s="1171"/>
      <c r="H690" s="1171"/>
      <c r="I690" s="1172"/>
      <c r="J690" s="1172">
        <v>728200</v>
      </c>
      <c r="K690" s="1047"/>
      <c r="L690" s="1047"/>
      <c r="M690" s="1171"/>
      <c r="N690" s="1171"/>
      <c r="O690" s="1171"/>
      <c r="P690" s="1171"/>
      <c r="Q690" s="1171"/>
      <c r="R690" s="1171"/>
      <c r="S690" s="1171"/>
      <c r="T690" s="1091">
        <f t="shared" si="722"/>
        <v>0</v>
      </c>
      <c r="U690" s="1091">
        <f t="shared" si="723"/>
        <v>0</v>
      </c>
      <c r="V690" s="1091">
        <f t="shared" si="672"/>
        <v>0</v>
      </c>
      <c r="W690" s="1091"/>
      <c r="X690" s="1091">
        <f t="shared" si="724"/>
        <v>0</v>
      </c>
      <c r="Y690" s="1091">
        <f t="shared" si="725"/>
        <v>0</v>
      </c>
      <c r="Z690" s="1091">
        <f t="shared" si="726"/>
        <v>0</v>
      </c>
      <c r="AA690" s="1091">
        <f t="shared" si="727"/>
        <v>0</v>
      </c>
      <c r="AB690" s="1091">
        <f t="shared" si="728"/>
        <v>0</v>
      </c>
      <c r="AD690" s="650">
        <f t="shared" si="670"/>
        <v>0</v>
      </c>
      <c r="AI690" s="1277">
        <f>VLOOKUP(K690,'[2]ผลการเบิกจ่ายสะสม พ.ย. 66'!$C:$N,12,0)</f>
        <v>0</v>
      </c>
      <c r="AJ690" s="1274">
        <f t="shared" si="671"/>
        <v>0</v>
      </c>
    </row>
    <row r="691" spans="1:36" ht="21" customHeight="1" outlineLevel="1" x14ac:dyDescent="0.35">
      <c r="A691" s="313"/>
      <c r="B691" s="293"/>
      <c r="C691" s="935" t="s">
        <v>913</v>
      </c>
      <c r="D691" s="1168"/>
      <c r="E691" s="1171"/>
      <c r="F691" s="1171"/>
      <c r="G691" s="1171"/>
      <c r="H691" s="1171"/>
      <c r="I691" s="1172"/>
      <c r="J691" s="1172">
        <f>+J692</f>
        <v>30352000</v>
      </c>
      <c r="K691" s="1047"/>
      <c r="L691" s="1047"/>
      <c r="M691" s="1171">
        <f t="shared" ref="M691:AB691" si="729">+M692</f>
        <v>0</v>
      </c>
      <c r="N691" s="1171">
        <f>+N692</f>
        <v>0</v>
      </c>
      <c r="O691" s="1171">
        <f t="shared" si="729"/>
        <v>0</v>
      </c>
      <c r="P691" s="1171">
        <f t="shared" si="729"/>
        <v>0</v>
      </c>
      <c r="Q691" s="1171">
        <f t="shared" si="729"/>
        <v>0</v>
      </c>
      <c r="R691" s="1171">
        <f t="shared" si="729"/>
        <v>0</v>
      </c>
      <c r="S691" s="1171">
        <f t="shared" si="729"/>
        <v>0</v>
      </c>
      <c r="T691" s="1171">
        <f t="shared" si="729"/>
        <v>0</v>
      </c>
      <c r="U691" s="1171">
        <f t="shared" si="729"/>
        <v>0</v>
      </c>
      <c r="V691" s="1171">
        <f t="shared" si="672"/>
        <v>0</v>
      </c>
      <c r="W691" s="1171">
        <f t="shared" si="729"/>
        <v>0</v>
      </c>
      <c r="X691" s="1171">
        <f t="shared" si="729"/>
        <v>0</v>
      </c>
      <c r="Y691" s="1171">
        <f t="shared" si="729"/>
        <v>0</v>
      </c>
      <c r="Z691" s="1171">
        <f t="shared" si="729"/>
        <v>0</v>
      </c>
      <c r="AA691" s="1171">
        <f t="shared" si="729"/>
        <v>0</v>
      </c>
      <c r="AB691" s="1171">
        <f t="shared" si="729"/>
        <v>0</v>
      </c>
      <c r="AD691" s="650">
        <f t="shared" si="670"/>
        <v>0</v>
      </c>
      <c r="AI691" s="1277">
        <f>VLOOKUP(K691,'[2]ผลการเบิกจ่ายสะสม พ.ย. 66'!$C:$N,12,0)</f>
        <v>0</v>
      </c>
      <c r="AJ691" s="1274">
        <f t="shared" si="671"/>
        <v>0</v>
      </c>
    </row>
    <row r="692" spans="1:36" ht="21" customHeight="1" outlineLevel="1" x14ac:dyDescent="0.35">
      <c r="A692" s="313"/>
      <c r="B692" s="293"/>
      <c r="C692" s="929" t="s">
        <v>914</v>
      </c>
      <c r="D692" s="1168"/>
      <c r="E692" s="1171"/>
      <c r="F692" s="1171"/>
      <c r="G692" s="1171"/>
      <c r="H692" s="1171"/>
      <c r="I692" s="1172"/>
      <c r="J692" s="1172">
        <v>30352000</v>
      </c>
      <c r="K692" s="1033" t="s">
        <v>1395</v>
      </c>
      <c r="L692" s="1066" t="s">
        <v>1429</v>
      </c>
      <c r="M692" s="1171"/>
      <c r="N692" s="1171"/>
      <c r="O692" s="1171"/>
      <c r="P692" s="1171"/>
      <c r="Q692" s="1171"/>
      <c r="R692" s="1171"/>
      <c r="S692" s="1171"/>
      <c r="T692" s="1171"/>
      <c r="U692" s="1171"/>
      <c r="V692" s="1171">
        <f t="shared" si="672"/>
        <v>0</v>
      </c>
      <c r="W692" s="1171"/>
      <c r="X692" s="1171"/>
      <c r="Y692" s="1171"/>
      <c r="Z692" s="1171"/>
      <c r="AA692" s="1171"/>
      <c r="AB692" s="1171"/>
      <c r="AD692" s="650">
        <f t="shared" si="670"/>
        <v>0</v>
      </c>
      <c r="AI692" s="1277" t="e">
        <f>VLOOKUP(K692,'[2]ผลการเบิกจ่ายสะสม พ.ย. 66'!$C:$N,12,0)</f>
        <v>#N/A</v>
      </c>
      <c r="AJ692" s="1274" t="e">
        <f t="shared" si="671"/>
        <v>#N/A</v>
      </c>
    </row>
    <row r="693" spans="1:36" ht="21" customHeight="1" outlineLevel="1" x14ac:dyDescent="0.35">
      <c r="A693" s="313"/>
      <c r="B693" s="72" t="s">
        <v>915</v>
      </c>
      <c r="C693" s="274"/>
      <c r="D693" s="1168"/>
      <c r="E693" s="1169"/>
      <c r="F693" s="1169"/>
      <c r="G693" s="1169"/>
      <c r="H693" s="1169"/>
      <c r="I693" s="1170"/>
      <c r="J693" s="1170">
        <f>+J694+J706</f>
        <v>84891200</v>
      </c>
      <c r="K693" s="1046"/>
      <c r="L693" s="1046"/>
      <c r="M693" s="1169">
        <f t="shared" ref="M693:U693" si="730">+M694+M706</f>
        <v>0</v>
      </c>
      <c r="N693" s="1169">
        <f>+N694+N706</f>
        <v>0</v>
      </c>
      <c r="O693" s="1169">
        <f t="shared" si="730"/>
        <v>0</v>
      </c>
      <c r="P693" s="1169">
        <f t="shared" si="730"/>
        <v>0</v>
      </c>
      <c r="Q693" s="1169">
        <f t="shared" si="730"/>
        <v>0</v>
      </c>
      <c r="R693" s="1169">
        <f t="shared" si="730"/>
        <v>0</v>
      </c>
      <c r="S693" s="1169">
        <f t="shared" si="730"/>
        <v>0</v>
      </c>
      <c r="T693" s="1169">
        <f t="shared" si="730"/>
        <v>0</v>
      </c>
      <c r="U693" s="1169">
        <f t="shared" si="730"/>
        <v>0</v>
      </c>
      <c r="V693" s="1169">
        <f t="shared" si="672"/>
        <v>0</v>
      </c>
      <c r="W693" s="1169">
        <f t="shared" ref="W693:AB693" si="731">+W694+W706</f>
        <v>0</v>
      </c>
      <c r="X693" s="1169">
        <f t="shared" si="731"/>
        <v>0</v>
      </c>
      <c r="Y693" s="1169">
        <f t="shared" si="731"/>
        <v>0</v>
      </c>
      <c r="Z693" s="1169">
        <f t="shared" si="731"/>
        <v>0</v>
      </c>
      <c r="AA693" s="1169">
        <f t="shared" si="731"/>
        <v>0</v>
      </c>
      <c r="AB693" s="1169">
        <f t="shared" si="731"/>
        <v>0</v>
      </c>
      <c r="AD693" s="650">
        <f t="shared" si="670"/>
        <v>0</v>
      </c>
      <c r="AI693" s="1277">
        <f>VLOOKUP(K693,'[2]ผลการเบิกจ่ายสะสม พ.ย. 66'!$C:$N,12,0)</f>
        <v>0</v>
      </c>
      <c r="AJ693" s="1274">
        <f t="shared" si="671"/>
        <v>0</v>
      </c>
    </row>
    <row r="694" spans="1:36" ht="21" customHeight="1" outlineLevel="1" x14ac:dyDescent="0.35">
      <c r="A694" s="313"/>
      <c r="B694" s="293"/>
      <c r="C694" s="935" t="s">
        <v>916</v>
      </c>
      <c r="D694" s="1168"/>
      <c r="E694" s="1171"/>
      <c r="F694" s="1171"/>
      <c r="G694" s="1171"/>
      <c r="H694" s="1171"/>
      <c r="I694" s="1172"/>
      <c r="J694" s="1172">
        <f>SUM(J695:J705)</f>
        <v>6805300</v>
      </c>
      <c r="K694" s="1033" t="s">
        <v>1396</v>
      </c>
      <c r="L694" s="1066" t="s">
        <v>1429</v>
      </c>
      <c r="M694" s="1171">
        <f t="shared" ref="M694:U694" si="732">SUM(M695:M705)</f>
        <v>0</v>
      </c>
      <c r="N694" s="1171">
        <f>SUM(N695:N705)</f>
        <v>0</v>
      </c>
      <c r="O694" s="1171">
        <f t="shared" si="732"/>
        <v>0</v>
      </c>
      <c r="P694" s="1171">
        <f t="shared" si="732"/>
        <v>0</v>
      </c>
      <c r="Q694" s="1171">
        <f t="shared" si="732"/>
        <v>0</v>
      </c>
      <c r="R694" s="1171">
        <f t="shared" si="732"/>
        <v>0</v>
      </c>
      <c r="S694" s="1171">
        <f t="shared" si="732"/>
        <v>0</v>
      </c>
      <c r="T694" s="1171">
        <f t="shared" si="732"/>
        <v>0</v>
      </c>
      <c r="U694" s="1171">
        <f t="shared" si="732"/>
        <v>0</v>
      </c>
      <c r="V694" s="1171">
        <f t="shared" si="672"/>
        <v>0</v>
      </c>
      <c r="W694" s="1171">
        <f t="shared" ref="W694:AB694" si="733">SUM(W695:W705)</f>
        <v>0</v>
      </c>
      <c r="X694" s="1171">
        <f t="shared" si="733"/>
        <v>0</v>
      </c>
      <c r="Y694" s="1171">
        <f t="shared" si="733"/>
        <v>0</v>
      </c>
      <c r="Z694" s="1171">
        <f t="shared" si="733"/>
        <v>0</v>
      </c>
      <c r="AA694" s="1171">
        <f t="shared" si="733"/>
        <v>0</v>
      </c>
      <c r="AB694" s="1171">
        <f t="shared" si="733"/>
        <v>0</v>
      </c>
      <c r="AD694" s="650">
        <f t="shared" si="670"/>
        <v>0</v>
      </c>
      <c r="AI694" s="1277" t="e">
        <f>VLOOKUP(K694,'[2]ผลการเบิกจ่ายสะสม พ.ย. 66'!$C:$N,12,0)</f>
        <v>#N/A</v>
      </c>
      <c r="AJ694" s="1274" t="e">
        <f t="shared" si="671"/>
        <v>#N/A</v>
      </c>
    </row>
    <row r="695" spans="1:36" ht="21" customHeight="1" outlineLevel="1" x14ac:dyDescent="0.35">
      <c r="A695" s="313"/>
      <c r="B695" s="293"/>
      <c r="C695" s="929" t="s">
        <v>917</v>
      </c>
      <c r="D695" s="1168"/>
      <c r="E695" s="1171"/>
      <c r="F695" s="1171"/>
      <c r="G695" s="1171"/>
      <c r="H695" s="1171"/>
      <c r="I695" s="1172"/>
      <c r="J695" s="1172">
        <v>381500</v>
      </c>
      <c r="K695" s="1047"/>
      <c r="L695" s="1047"/>
      <c r="M695" s="1171"/>
      <c r="N695" s="1171"/>
      <c r="O695" s="1171"/>
      <c r="P695" s="1171"/>
      <c r="Q695" s="1171"/>
      <c r="R695" s="1171"/>
      <c r="S695" s="1171"/>
      <c r="T695" s="1091">
        <f t="shared" ref="T695:T705" si="734">+R695+S695</f>
        <v>0</v>
      </c>
      <c r="U695" s="1091">
        <f t="shared" ref="U695:U705" si="735">+N695+O695-T695</f>
        <v>0</v>
      </c>
      <c r="V695" s="1091">
        <f t="shared" si="672"/>
        <v>0</v>
      </c>
      <c r="W695" s="1091"/>
      <c r="X695" s="1091">
        <f t="shared" ref="X695:X705" si="736">+T695+Q695</f>
        <v>0</v>
      </c>
      <c r="Y695" s="1091">
        <f t="shared" ref="Y695:Y705" si="737">+U695-Q695</f>
        <v>0</v>
      </c>
      <c r="Z695" s="1091">
        <f t="shared" ref="Z695:Z705" si="738">+T695+Q695+P695</f>
        <v>0</v>
      </c>
      <c r="AA695" s="1091">
        <f t="shared" ref="AA695:AA705" si="739">+U695-Q695-P695</f>
        <v>0</v>
      </c>
      <c r="AB695" s="1091">
        <f t="shared" ref="AB695:AB705" si="740">IFERROR(Z695*100/(N695+O695),0)</f>
        <v>0</v>
      </c>
      <c r="AD695" s="650">
        <f t="shared" si="670"/>
        <v>0</v>
      </c>
      <c r="AI695" s="1277">
        <f>VLOOKUP(K695,'[2]ผลการเบิกจ่ายสะสม พ.ย. 66'!$C:$N,12,0)</f>
        <v>0</v>
      </c>
      <c r="AJ695" s="1274">
        <f t="shared" si="671"/>
        <v>0</v>
      </c>
    </row>
    <row r="696" spans="1:36" ht="21" customHeight="1" outlineLevel="1" x14ac:dyDescent="0.35">
      <c r="A696" s="313"/>
      <c r="B696" s="293"/>
      <c r="C696" s="929" t="s">
        <v>918</v>
      </c>
      <c r="D696" s="1168"/>
      <c r="E696" s="1171"/>
      <c r="F696" s="1171"/>
      <c r="G696" s="1171"/>
      <c r="H696" s="1171"/>
      <c r="I696" s="1172"/>
      <c r="J696" s="1172">
        <v>1294700</v>
      </c>
      <c r="K696" s="1047"/>
      <c r="L696" s="1047"/>
      <c r="M696" s="1171"/>
      <c r="N696" s="1171"/>
      <c r="O696" s="1171"/>
      <c r="P696" s="1171"/>
      <c r="Q696" s="1171"/>
      <c r="R696" s="1171"/>
      <c r="S696" s="1171"/>
      <c r="T696" s="1091">
        <f t="shared" si="734"/>
        <v>0</v>
      </c>
      <c r="U696" s="1091">
        <f t="shared" si="735"/>
        <v>0</v>
      </c>
      <c r="V696" s="1091">
        <f t="shared" si="672"/>
        <v>0</v>
      </c>
      <c r="W696" s="1091"/>
      <c r="X696" s="1091">
        <f t="shared" si="736"/>
        <v>0</v>
      </c>
      <c r="Y696" s="1091">
        <f t="shared" si="737"/>
        <v>0</v>
      </c>
      <c r="Z696" s="1091">
        <f t="shared" si="738"/>
        <v>0</v>
      </c>
      <c r="AA696" s="1091">
        <f t="shared" si="739"/>
        <v>0</v>
      </c>
      <c r="AB696" s="1091">
        <f t="shared" si="740"/>
        <v>0</v>
      </c>
      <c r="AD696" s="650">
        <f t="shared" si="670"/>
        <v>0</v>
      </c>
      <c r="AI696" s="1277">
        <f>VLOOKUP(K696,'[2]ผลการเบิกจ่ายสะสม พ.ย. 66'!$C:$N,12,0)</f>
        <v>0</v>
      </c>
      <c r="AJ696" s="1274">
        <f t="shared" si="671"/>
        <v>0</v>
      </c>
    </row>
    <row r="697" spans="1:36" ht="21" customHeight="1" outlineLevel="1" x14ac:dyDescent="0.35">
      <c r="A697" s="313"/>
      <c r="B697" s="293"/>
      <c r="C697" s="929" t="s">
        <v>919</v>
      </c>
      <c r="D697" s="1168"/>
      <c r="E697" s="1171"/>
      <c r="F697" s="1171"/>
      <c r="G697" s="1171"/>
      <c r="H697" s="1171"/>
      <c r="I697" s="1172"/>
      <c r="J697" s="1172">
        <v>414700</v>
      </c>
      <c r="K697" s="1047"/>
      <c r="L697" s="1047"/>
      <c r="M697" s="1171"/>
      <c r="N697" s="1171"/>
      <c r="O697" s="1171"/>
      <c r="P697" s="1171"/>
      <c r="Q697" s="1171"/>
      <c r="R697" s="1171"/>
      <c r="S697" s="1171"/>
      <c r="T697" s="1091">
        <f t="shared" si="734"/>
        <v>0</v>
      </c>
      <c r="U697" s="1091">
        <f t="shared" si="735"/>
        <v>0</v>
      </c>
      <c r="V697" s="1091">
        <f t="shared" si="672"/>
        <v>0</v>
      </c>
      <c r="W697" s="1091"/>
      <c r="X697" s="1091">
        <f t="shared" si="736"/>
        <v>0</v>
      </c>
      <c r="Y697" s="1091">
        <f t="shared" si="737"/>
        <v>0</v>
      </c>
      <c r="Z697" s="1091">
        <f t="shared" si="738"/>
        <v>0</v>
      </c>
      <c r="AA697" s="1091">
        <f t="shared" si="739"/>
        <v>0</v>
      </c>
      <c r="AB697" s="1091">
        <f t="shared" si="740"/>
        <v>0</v>
      </c>
      <c r="AD697" s="650">
        <f t="shared" si="670"/>
        <v>0</v>
      </c>
      <c r="AI697" s="1277">
        <f>VLOOKUP(K697,'[2]ผลการเบิกจ่ายสะสม พ.ย. 66'!$C:$N,12,0)</f>
        <v>0</v>
      </c>
      <c r="AJ697" s="1274">
        <f t="shared" si="671"/>
        <v>0</v>
      </c>
    </row>
    <row r="698" spans="1:36" ht="21" customHeight="1" outlineLevel="1" x14ac:dyDescent="0.35">
      <c r="A698" s="313"/>
      <c r="B698" s="293"/>
      <c r="C698" s="929" t="s">
        <v>920</v>
      </c>
      <c r="D698" s="1168"/>
      <c r="E698" s="1171"/>
      <c r="F698" s="1171"/>
      <c r="G698" s="1171"/>
      <c r="H698" s="1171"/>
      <c r="I698" s="1172"/>
      <c r="J698" s="1172">
        <v>834000</v>
      </c>
      <c r="K698" s="1047"/>
      <c r="L698" s="1047"/>
      <c r="M698" s="1171"/>
      <c r="N698" s="1171"/>
      <c r="O698" s="1171"/>
      <c r="P698" s="1171"/>
      <c r="Q698" s="1171"/>
      <c r="R698" s="1171"/>
      <c r="S698" s="1171"/>
      <c r="T698" s="1091">
        <f t="shared" si="734"/>
        <v>0</v>
      </c>
      <c r="U698" s="1091">
        <f t="shared" si="735"/>
        <v>0</v>
      </c>
      <c r="V698" s="1091">
        <f t="shared" si="672"/>
        <v>0</v>
      </c>
      <c r="W698" s="1091"/>
      <c r="X698" s="1091">
        <f t="shared" si="736"/>
        <v>0</v>
      </c>
      <c r="Y698" s="1091">
        <f t="shared" si="737"/>
        <v>0</v>
      </c>
      <c r="Z698" s="1091">
        <f t="shared" si="738"/>
        <v>0</v>
      </c>
      <c r="AA698" s="1091">
        <f t="shared" si="739"/>
        <v>0</v>
      </c>
      <c r="AB698" s="1091">
        <f t="shared" si="740"/>
        <v>0</v>
      </c>
      <c r="AD698" s="650">
        <f t="shared" si="670"/>
        <v>0</v>
      </c>
      <c r="AI698" s="1277">
        <f>VLOOKUP(K698,'[2]ผลการเบิกจ่ายสะสม พ.ย. 66'!$C:$N,12,0)</f>
        <v>0</v>
      </c>
      <c r="AJ698" s="1274">
        <f t="shared" si="671"/>
        <v>0</v>
      </c>
    </row>
    <row r="699" spans="1:36" ht="21" customHeight="1" outlineLevel="1" x14ac:dyDescent="0.35">
      <c r="A699" s="313"/>
      <c r="B699" s="293"/>
      <c r="C699" s="929" t="s">
        <v>921</v>
      </c>
      <c r="D699" s="1168"/>
      <c r="E699" s="1171"/>
      <c r="F699" s="1171"/>
      <c r="G699" s="1171"/>
      <c r="H699" s="1171"/>
      <c r="I699" s="1172"/>
      <c r="J699" s="1172">
        <v>197100</v>
      </c>
      <c r="K699" s="1047"/>
      <c r="L699" s="1047"/>
      <c r="M699" s="1171"/>
      <c r="N699" s="1171"/>
      <c r="O699" s="1171"/>
      <c r="P699" s="1171"/>
      <c r="Q699" s="1171"/>
      <c r="R699" s="1171"/>
      <c r="S699" s="1171"/>
      <c r="T699" s="1091">
        <f t="shared" si="734"/>
        <v>0</v>
      </c>
      <c r="U699" s="1091">
        <f t="shared" si="735"/>
        <v>0</v>
      </c>
      <c r="V699" s="1091">
        <f t="shared" si="672"/>
        <v>0</v>
      </c>
      <c r="W699" s="1091"/>
      <c r="X699" s="1091">
        <f t="shared" si="736"/>
        <v>0</v>
      </c>
      <c r="Y699" s="1091">
        <f t="shared" si="737"/>
        <v>0</v>
      </c>
      <c r="Z699" s="1091">
        <f t="shared" si="738"/>
        <v>0</v>
      </c>
      <c r="AA699" s="1091">
        <f t="shared" si="739"/>
        <v>0</v>
      </c>
      <c r="AB699" s="1091">
        <f t="shared" si="740"/>
        <v>0</v>
      </c>
      <c r="AD699" s="650">
        <f t="shared" si="670"/>
        <v>0</v>
      </c>
      <c r="AI699" s="1277">
        <f>VLOOKUP(K699,'[2]ผลการเบิกจ่ายสะสม พ.ย. 66'!$C:$N,12,0)</f>
        <v>0</v>
      </c>
      <c r="AJ699" s="1274">
        <f t="shared" si="671"/>
        <v>0</v>
      </c>
    </row>
    <row r="700" spans="1:36" ht="21" customHeight="1" outlineLevel="1" x14ac:dyDescent="0.35">
      <c r="A700" s="313"/>
      <c r="B700" s="293"/>
      <c r="C700" s="929" t="s">
        <v>922</v>
      </c>
      <c r="D700" s="1168"/>
      <c r="E700" s="1171"/>
      <c r="F700" s="1171"/>
      <c r="G700" s="1171"/>
      <c r="H700" s="1171"/>
      <c r="I700" s="1172"/>
      <c r="J700" s="1172">
        <v>221700</v>
      </c>
      <c r="K700" s="1047"/>
      <c r="L700" s="1047"/>
      <c r="M700" s="1171"/>
      <c r="N700" s="1171"/>
      <c r="O700" s="1171"/>
      <c r="P700" s="1171"/>
      <c r="Q700" s="1171"/>
      <c r="R700" s="1171"/>
      <c r="S700" s="1171"/>
      <c r="T700" s="1091">
        <f t="shared" si="734"/>
        <v>0</v>
      </c>
      <c r="U700" s="1091">
        <f t="shared" si="735"/>
        <v>0</v>
      </c>
      <c r="V700" s="1091">
        <f t="shared" si="672"/>
        <v>0</v>
      </c>
      <c r="W700" s="1091"/>
      <c r="X700" s="1091">
        <f t="shared" si="736"/>
        <v>0</v>
      </c>
      <c r="Y700" s="1091">
        <f t="shared" si="737"/>
        <v>0</v>
      </c>
      <c r="Z700" s="1091">
        <f t="shared" si="738"/>
        <v>0</v>
      </c>
      <c r="AA700" s="1091">
        <f t="shared" si="739"/>
        <v>0</v>
      </c>
      <c r="AB700" s="1091">
        <f t="shared" si="740"/>
        <v>0</v>
      </c>
      <c r="AD700" s="650">
        <f t="shared" si="670"/>
        <v>0</v>
      </c>
      <c r="AI700" s="1277">
        <f>VLOOKUP(K700,'[2]ผลการเบิกจ่ายสะสม พ.ย. 66'!$C:$N,12,0)</f>
        <v>0</v>
      </c>
      <c r="AJ700" s="1274">
        <f t="shared" si="671"/>
        <v>0</v>
      </c>
    </row>
    <row r="701" spans="1:36" ht="21" customHeight="1" outlineLevel="1" x14ac:dyDescent="0.35">
      <c r="A701" s="313"/>
      <c r="B701" s="293"/>
      <c r="C701" s="929" t="s">
        <v>923</v>
      </c>
      <c r="D701" s="1168"/>
      <c r="E701" s="1171"/>
      <c r="F701" s="1171"/>
      <c r="G701" s="1171"/>
      <c r="H701" s="1171"/>
      <c r="I701" s="1172"/>
      <c r="J701" s="1172">
        <v>1019100</v>
      </c>
      <c r="K701" s="1047"/>
      <c r="L701" s="1047"/>
      <c r="M701" s="1171"/>
      <c r="N701" s="1171"/>
      <c r="O701" s="1171"/>
      <c r="P701" s="1171"/>
      <c r="Q701" s="1171"/>
      <c r="R701" s="1171"/>
      <c r="S701" s="1171"/>
      <c r="T701" s="1091">
        <f t="shared" si="734"/>
        <v>0</v>
      </c>
      <c r="U701" s="1091">
        <f t="shared" si="735"/>
        <v>0</v>
      </c>
      <c r="V701" s="1091">
        <f t="shared" si="672"/>
        <v>0</v>
      </c>
      <c r="W701" s="1091"/>
      <c r="X701" s="1091">
        <f t="shared" si="736"/>
        <v>0</v>
      </c>
      <c r="Y701" s="1091">
        <f t="shared" si="737"/>
        <v>0</v>
      </c>
      <c r="Z701" s="1091">
        <f t="shared" si="738"/>
        <v>0</v>
      </c>
      <c r="AA701" s="1091">
        <f t="shared" si="739"/>
        <v>0</v>
      </c>
      <c r="AB701" s="1091">
        <f t="shared" si="740"/>
        <v>0</v>
      </c>
      <c r="AD701" s="650">
        <f t="shared" si="670"/>
        <v>0</v>
      </c>
      <c r="AI701" s="1277">
        <f>VLOOKUP(K701,'[2]ผลการเบิกจ่ายสะสม พ.ย. 66'!$C:$N,12,0)</f>
        <v>0</v>
      </c>
      <c r="AJ701" s="1274">
        <f t="shared" si="671"/>
        <v>0</v>
      </c>
    </row>
    <row r="702" spans="1:36" ht="21" customHeight="1" outlineLevel="1" x14ac:dyDescent="0.35">
      <c r="A702" s="313"/>
      <c r="B702" s="293"/>
      <c r="C702" s="929" t="s">
        <v>924</v>
      </c>
      <c r="D702" s="1168"/>
      <c r="E702" s="1171"/>
      <c r="F702" s="1171"/>
      <c r="G702" s="1171"/>
      <c r="H702" s="1171"/>
      <c r="I702" s="1172"/>
      <c r="J702" s="1172">
        <v>398200</v>
      </c>
      <c r="K702" s="1047"/>
      <c r="L702" s="1047"/>
      <c r="M702" s="1171"/>
      <c r="N702" s="1171"/>
      <c r="O702" s="1171"/>
      <c r="P702" s="1171"/>
      <c r="Q702" s="1171"/>
      <c r="R702" s="1171"/>
      <c r="S702" s="1171"/>
      <c r="T702" s="1091">
        <f t="shared" si="734"/>
        <v>0</v>
      </c>
      <c r="U702" s="1091">
        <f t="shared" si="735"/>
        <v>0</v>
      </c>
      <c r="V702" s="1091">
        <f t="shared" si="672"/>
        <v>0</v>
      </c>
      <c r="W702" s="1091"/>
      <c r="X702" s="1091">
        <f t="shared" si="736"/>
        <v>0</v>
      </c>
      <c r="Y702" s="1091">
        <f t="shared" si="737"/>
        <v>0</v>
      </c>
      <c r="Z702" s="1091">
        <f t="shared" si="738"/>
        <v>0</v>
      </c>
      <c r="AA702" s="1091">
        <f t="shared" si="739"/>
        <v>0</v>
      </c>
      <c r="AB702" s="1091">
        <f t="shared" si="740"/>
        <v>0</v>
      </c>
      <c r="AD702" s="650">
        <f t="shared" si="670"/>
        <v>0</v>
      </c>
      <c r="AI702" s="1277">
        <f>VLOOKUP(K702,'[2]ผลการเบิกจ่ายสะสม พ.ย. 66'!$C:$N,12,0)</f>
        <v>0</v>
      </c>
      <c r="AJ702" s="1274">
        <f t="shared" si="671"/>
        <v>0</v>
      </c>
    </row>
    <row r="703" spans="1:36" ht="21" customHeight="1" outlineLevel="1" x14ac:dyDescent="0.35">
      <c r="A703" s="313"/>
      <c r="B703" s="293"/>
      <c r="C703" s="929" t="s">
        <v>925</v>
      </c>
      <c r="D703" s="1168"/>
      <c r="E703" s="1171"/>
      <c r="F703" s="1171"/>
      <c r="G703" s="1171"/>
      <c r="H703" s="1171"/>
      <c r="I703" s="1172"/>
      <c r="J703" s="1172">
        <v>22100</v>
      </c>
      <c r="K703" s="1047"/>
      <c r="L703" s="1047"/>
      <c r="M703" s="1171"/>
      <c r="N703" s="1171"/>
      <c r="O703" s="1171"/>
      <c r="P703" s="1171"/>
      <c r="Q703" s="1171"/>
      <c r="R703" s="1171"/>
      <c r="S703" s="1171"/>
      <c r="T703" s="1091">
        <f t="shared" si="734"/>
        <v>0</v>
      </c>
      <c r="U703" s="1091">
        <f t="shared" si="735"/>
        <v>0</v>
      </c>
      <c r="V703" s="1091">
        <f t="shared" si="672"/>
        <v>0</v>
      </c>
      <c r="W703" s="1091"/>
      <c r="X703" s="1091">
        <f t="shared" si="736"/>
        <v>0</v>
      </c>
      <c r="Y703" s="1091">
        <f t="shared" si="737"/>
        <v>0</v>
      </c>
      <c r="Z703" s="1091">
        <f t="shared" si="738"/>
        <v>0</v>
      </c>
      <c r="AA703" s="1091">
        <f t="shared" si="739"/>
        <v>0</v>
      </c>
      <c r="AB703" s="1091">
        <f t="shared" si="740"/>
        <v>0</v>
      </c>
      <c r="AD703" s="650">
        <f t="shared" si="670"/>
        <v>0</v>
      </c>
      <c r="AI703" s="1277">
        <f>VLOOKUP(K703,'[2]ผลการเบิกจ่ายสะสม พ.ย. 66'!$C:$N,12,0)</f>
        <v>0</v>
      </c>
      <c r="AJ703" s="1274">
        <f t="shared" si="671"/>
        <v>0</v>
      </c>
    </row>
    <row r="704" spans="1:36" ht="21" customHeight="1" outlineLevel="1" x14ac:dyDescent="0.35">
      <c r="A704" s="313"/>
      <c r="B704" s="293"/>
      <c r="C704" s="929" t="s">
        <v>926</v>
      </c>
      <c r="D704" s="1168"/>
      <c r="E704" s="1171"/>
      <c r="F704" s="1171"/>
      <c r="G704" s="1171"/>
      <c r="H704" s="1171"/>
      <c r="I704" s="1172"/>
      <c r="J704" s="1172">
        <v>1081400</v>
      </c>
      <c r="K704" s="1047"/>
      <c r="L704" s="1047"/>
      <c r="M704" s="1171"/>
      <c r="N704" s="1171"/>
      <c r="O704" s="1171"/>
      <c r="P704" s="1171"/>
      <c r="Q704" s="1171"/>
      <c r="R704" s="1171"/>
      <c r="S704" s="1171"/>
      <c r="T704" s="1091">
        <f t="shared" si="734"/>
        <v>0</v>
      </c>
      <c r="U704" s="1091">
        <f t="shared" si="735"/>
        <v>0</v>
      </c>
      <c r="V704" s="1091">
        <f t="shared" si="672"/>
        <v>0</v>
      </c>
      <c r="W704" s="1091"/>
      <c r="X704" s="1091">
        <f t="shared" si="736"/>
        <v>0</v>
      </c>
      <c r="Y704" s="1091">
        <f t="shared" si="737"/>
        <v>0</v>
      </c>
      <c r="Z704" s="1091">
        <f t="shared" si="738"/>
        <v>0</v>
      </c>
      <c r="AA704" s="1091">
        <f t="shared" si="739"/>
        <v>0</v>
      </c>
      <c r="AB704" s="1091">
        <f t="shared" si="740"/>
        <v>0</v>
      </c>
      <c r="AD704" s="650">
        <f t="shared" si="670"/>
        <v>0</v>
      </c>
      <c r="AI704" s="1277">
        <f>VLOOKUP(K704,'[2]ผลการเบิกจ่ายสะสม พ.ย. 66'!$C:$N,12,0)</f>
        <v>0</v>
      </c>
      <c r="AJ704" s="1274">
        <f t="shared" si="671"/>
        <v>0</v>
      </c>
    </row>
    <row r="705" spans="1:36" ht="21" customHeight="1" outlineLevel="1" x14ac:dyDescent="0.35">
      <c r="A705" s="313"/>
      <c r="B705" s="293"/>
      <c r="C705" s="929" t="s">
        <v>927</v>
      </c>
      <c r="D705" s="1168"/>
      <c r="E705" s="1171"/>
      <c r="F705" s="1171"/>
      <c r="G705" s="1171"/>
      <c r="H705" s="1171"/>
      <c r="I705" s="1172"/>
      <c r="J705" s="1172">
        <v>940800</v>
      </c>
      <c r="K705" s="1047"/>
      <c r="L705" s="1047"/>
      <c r="M705" s="1171"/>
      <c r="N705" s="1171"/>
      <c r="O705" s="1171"/>
      <c r="P705" s="1171"/>
      <c r="Q705" s="1171"/>
      <c r="R705" s="1171"/>
      <c r="S705" s="1171"/>
      <c r="T705" s="1091">
        <f t="shared" si="734"/>
        <v>0</v>
      </c>
      <c r="U705" s="1091">
        <f t="shared" si="735"/>
        <v>0</v>
      </c>
      <c r="V705" s="1091">
        <f t="shared" si="672"/>
        <v>0</v>
      </c>
      <c r="W705" s="1091"/>
      <c r="X705" s="1091">
        <f t="shared" si="736"/>
        <v>0</v>
      </c>
      <c r="Y705" s="1091">
        <f t="shared" si="737"/>
        <v>0</v>
      </c>
      <c r="Z705" s="1091">
        <f t="shared" si="738"/>
        <v>0</v>
      </c>
      <c r="AA705" s="1091">
        <f t="shared" si="739"/>
        <v>0</v>
      </c>
      <c r="AB705" s="1091">
        <f t="shared" si="740"/>
        <v>0</v>
      </c>
      <c r="AD705" s="650">
        <f t="shared" si="670"/>
        <v>0</v>
      </c>
      <c r="AI705" s="1277">
        <f>VLOOKUP(K705,'[2]ผลการเบิกจ่ายสะสม พ.ย. 66'!$C:$N,12,0)</f>
        <v>0</v>
      </c>
      <c r="AJ705" s="1274">
        <f t="shared" si="671"/>
        <v>0</v>
      </c>
    </row>
    <row r="706" spans="1:36" ht="21" customHeight="1" outlineLevel="1" x14ac:dyDescent="0.35">
      <c r="A706" s="313"/>
      <c r="B706" s="293"/>
      <c r="C706" s="935" t="s">
        <v>928</v>
      </c>
      <c r="D706" s="1168"/>
      <c r="E706" s="1171"/>
      <c r="F706" s="1171"/>
      <c r="G706" s="1171"/>
      <c r="H706" s="1171"/>
      <c r="I706" s="1172"/>
      <c r="J706" s="1172">
        <f>+J707</f>
        <v>78085900</v>
      </c>
      <c r="K706" s="1047"/>
      <c r="L706" s="1047"/>
      <c r="M706" s="1171">
        <f t="shared" ref="M706:AB706" si="741">+M707</f>
        <v>0</v>
      </c>
      <c r="N706" s="1171">
        <f>+N707</f>
        <v>0</v>
      </c>
      <c r="O706" s="1171">
        <f t="shared" si="741"/>
        <v>0</v>
      </c>
      <c r="P706" s="1171">
        <f t="shared" si="741"/>
        <v>0</v>
      </c>
      <c r="Q706" s="1171">
        <f t="shared" si="741"/>
        <v>0</v>
      </c>
      <c r="R706" s="1171">
        <f t="shared" si="741"/>
        <v>0</v>
      </c>
      <c r="S706" s="1171">
        <f t="shared" si="741"/>
        <v>0</v>
      </c>
      <c r="T706" s="1171">
        <f t="shared" si="741"/>
        <v>0</v>
      </c>
      <c r="U706" s="1171">
        <f t="shared" si="741"/>
        <v>0</v>
      </c>
      <c r="V706" s="1171">
        <f t="shared" si="672"/>
        <v>0</v>
      </c>
      <c r="W706" s="1171">
        <f t="shared" si="741"/>
        <v>0</v>
      </c>
      <c r="X706" s="1171">
        <f t="shared" si="741"/>
        <v>0</v>
      </c>
      <c r="Y706" s="1171">
        <f t="shared" si="741"/>
        <v>0</v>
      </c>
      <c r="Z706" s="1171">
        <f t="shared" si="741"/>
        <v>0</v>
      </c>
      <c r="AA706" s="1171">
        <f t="shared" si="741"/>
        <v>0</v>
      </c>
      <c r="AB706" s="1171">
        <f t="shared" si="741"/>
        <v>0</v>
      </c>
      <c r="AD706" s="650">
        <f t="shared" si="670"/>
        <v>0</v>
      </c>
      <c r="AI706" s="1277">
        <f>VLOOKUP(K706,'[2]ผลการเบิกจ่ายสะสม พ.ย. 66'!$C:$N,12,0)</f>
        <v>0</v>
      </c>
      <c r="AJ706" s="1274">
        <f t="shared" si="671"/>
        <v>0</v>
      </c>
    </row>
    <row r="707" spans="1:36" ht="21" customHeight="1" outlineLevel="1" x14ac:dyDescent="0.35">
      <c r="A707" s="313"/>
      <c r="B707" s="293"/>
      <c r="C707" s="929" t="s">
        <v>929</v>
      </c>
      <c r="D707" s="1168"/>
      <c r="E707" s="1171"/>
      <c r="F707" s="1171"/>
      <c r="G707" s="1171"/>
      <c r="H707" s="1171"/>
      <c r="I707" s="1172"/>
      <c r="J707" s="1172">
        <v>78085900</v>
      </c>
      <c r="K707" s="1033" t="s">
        <v>1397</v>
      </c>
      <c r="L707" s="1066" t="s">
        <v>1429</v>
      </c>
      <c r="M707" s="1171"/>
      <c r="N707" s="1171"/>
      <c r="O707" s="1171"/>
      <c r="P707" s="1171"/>
      <c r="Q707" s="1171"/>
      <c r="R707" s="1171"/>
      <c r="S707" s="1171"/>
      <c r="T707" s="1091">
        <f t="shared" ref="T707" si="742">+R707+S707</f>
        <v>0</v>
      </c>
      <c r="U707" s="1091">
        <f t="shared" ref="U707" si="743">+N707+O707-T707</f>
        <v>0</v>
      </c>
      <c r="V707" s="1091">
        <f t="shared" si="672"/>
        <v>0</v>
      </c>
      <c r="W707" s="1091"/>
      <c r="X707" s="1091">
        <f t="shared" ref="X707" si="744">+T707+Q707</f>
        <v>0</v>
      </c>
      <c r="Y707" s="1091">
        <f t="shared" ref="Y707" si="745">+U707-Q707</f>
        <v>0</v>
      </c>
      <c r="Z707" s="1091">
        <f t="shared" ref="Z707" si="746">+T707+Q707+P707</f>
        <v>0</v>
      </c>
      <c r="AA707" s="1091">
        <f t="shared" ref="AA707" si="747">+U707-Q707-P707</f>
        <v>0</v>
      </c>
      <c r="AB707" s="1091">
        <f t="shared" ref="AB707" si="748">IFERROR(Z707*100/(N707+O707),0)</f>
        <v>0</v>
      </c>
      <c r="AD707" s="650">
        <f t="shared" si="670"/>
        <v>0</v>
      </c>
      <c r="AI707" s="1277" t="e">
        <f>VLOOKUP(K707,'[2]ผลการเบิกจ่ายสะสม พ.ย. 66'!$C:$N,12,0)</f>
        <v>#N/A</v>
      </c>
      <c r="AJ707" s="1274" t="e">
        <f t="shared" si="671"/>
        <v>#N/A</v>
      </c>
    </row>
    <row r="708" spans="1:36" ht="21" customHeight="1" outlineLevel="1" x14ac:dyDescent="0.35">
      <c r="A708" s="313"/>
      <c r="B708" s="72" t="s">
        <v>930</v>
      </c>
      <c r="C708" s="274"/>
      <c r="D708" s="1168"/>
      <c r="E708" s="1169"/>
      <c r="F708" s="1169"/>
      <c r="G708" s="1169"/>
      <c r="H708" s="1169"/>
      <c r="I708" s="1170"/>
      <c r="J708" s="1170">
        <f>+J709</f>
        <v>725100</v>
      </c>
      <c r="K708" s="1046"/>
      <c r="L708" s="1046"/>
      <c r="M708" s="1169">
        <f t="shared" ref="M708:AB709" si="749">+M709</f>
        <v>0</v>
      </c>
      <c r="N708" s="1169">
        <f>+N709</f>
        <v>0</v>
      </c>
      <c r="O708" s="1169">
        <f t="shared" si="749"/>
        <v>0</v>
      </c>
      <c r="P708" s="1169">
        <f t="shared" si="749"/>
        <v>0</v>
      </c>
      <c r="Q708" s="1169">
        <f t="shared" si="749"/>
        <v>0</v>
      </c>
      <c r="R708" s="1169">
        <f t="shared" si="749"/>
        <v>0</v>
      </c>
      <c r="S708" s="1169">
        <f t="shared" si="749"/>
        <v>0</v>
      </c>
      <c r="T708" s="1169">
        <f t="shared" si="749"/>
        <v>0</v>
      </c>
      <c r="U708" s="1169">
        <f t="shared" si="749"/>
        <v>0</v>
      </c>
      <c r="V708" s="1169">
        <f t="shared" si="672"/>
        <v>0</v>
      </c>
      <c r="W708" s="1169">
        <f t="shared" si="749"/>
        <v>0</v>
      </c>
      <c r="X708" s="1169">
        <f t="shared" si="749"/>
        <v>0</v>
      </c>
      <c r="Y708" s="1169">
        <f t="shared" si="749"/>
        <v>0</v>
      </c>
      <c r="Z708" s="1169">
        <f t="shared" si="749"/>
        <v>0</v>
      </c>
      <c r="AA708" s="1169">
        <f t="shared" si="749"/>
        <v>0</v>
      </c>
      <c r="AB708" s="1169">
        <f t="shared" si="749"/>
        <v>0</v>
      </c>
      <c r="AD708" s="650">
        <f t="shared" si="670"/>
        <v>0</v>
      </c>
      <c r="AI708" s="1277">
        <f>VLOOKUP(K708,'[2]ผลการเบิกจ่ายสะสม พ.ย. 66'!$C:$N,12,0)</f>
        <v>0</v>
      </c>
      <c r="AJ708" s="1274">
        <f t="shared" si="671"/>
        <v>0</v>
      </c>
    </row>
    <row r="709" spans="1:36" ht="21" customHeight="1" outlineLevel="1" x14ac:dyDescent="0.35">
      <c r="A709" s="313"/>
      <c r="B709" s="293"/>
      <c r="C709" s="935" t="s">
        <v>931</v>
      </c>
      <c r="D709" s="1168"/>
      <c r="E709" s="1171"/>
      <c r="F709" s="1171"/>
      <c r="G709" s="1171"/>
      <c r="H709" s="1171"/>
      <c r="I709" s="1172"/>
      <c r="J709" s="1172">
        <f>+J710</f>
        <v>725100</v>
      </c>
      <c r="K709" s="1033" t="s">
        <v>1398</v>
      </c>
      <c r="L709" s="1066" t="s">
        <v>1429</v>
      </c>
      <c r="M709" s="1171">
        <f t="shared" si="749"/>
        <v>0</v>
      </c>
      <c r="N709" s="1171">
        <f>+N710</f>
        <v>0</v>
      </c>
      <c r="O709" s="1171">
        <f t="shared" si="749"/>
        <v>0</v>
      </c>
      <c r="P709" s="1171">
        <f t="shared" si="749"/>
        <v>0</v>
      </c>
      <c r="Q709" s="1171">
        <f t="shared" si="749"/>
        <v>0</v>
      </c>
      <c r="R709" s="1171">
        <f t="shared" si="749"/>
        <v>0</v>
      </c>
      <c r="S709" s="1171">
        <f t="shared" si="749"/>
        <v>0</v>
      </c>
      <c r="T709" s="1171">
        <f t="shared" si="749"/>
        <v>0</v>
      </c>
      <c r="U709" s="1171">
        <f t="shared" si="749"/>
        <v>0</v>
      </c>
      <c r="V709" s="1171">
        <f t="shared" si="672"/>
        <v>0</v>
      </c>
      <c r="W709" s="1171">
        <f t="shared" si="749"/>
        <v>0</v>
      </c>
      <c r="X709" s="1171">
        <f t="shared" si="749"/>
        <v>0</v>
      </c>
      <c r="Y709" s="1171">
        <f t="shared" si="749"/>
        <v>0</v>
      </c>
      <c r="Z709" s="1171">
        <f t="shared" si="749"/>
        <v>0</v>
      </c>
      <c r="AA709" s="1171">
        <f t="shared" si="749"/>
        <v>0</v>
      </c>
      <c r="AB709" s="1171">
        <f t="shared" si="749"/>
        <v>0</v>
      </c>
      <c r="AD709" s="650">
        <f t="shared" si="670"/>
        <v>0</v>
      </c>
      <c r="AI709" s="1277" t="e">
        <f>VLOOKUP(K709,'[2]ผลการเบิกจ่ายสะสม พ.ย. 66'!$C:$N,12,0)</f>
        <v>#N/A</v>
      </c>
      <c r="AJ709" s="1274" t="e">
        <f t="shared" si="671"/>
        <v>#N/A</v>
      </c>
    </row>
    <row r="710" spans="1:36" ht="21" customHeight="1" outlineLevel="1" x14ac:dyDescent="0.35">
      <c r="A710" s="313"/>
      <c r="B710" s="293"/>
      <c r="C710" s="929" t="s">
        <v>932</v>
      </c>
      <c r="D710" s="1168"/>
      <c r="E710" s="1171"/>
      <c r="F710" s="1171"/>
      <c r="G710" s="1171"/>
      <c r="H710" s="1171"/>
      <c r="I710" s="1172"/>
      <c r="J710" s="1172">
        <v>725100</v>
      </c>
      <c r="K710" s="1047"/>
      <c r="L710" s="1047"/>
      <c r="M710" s="1171"/>
      <c r="N710" s="1171"/>
      <c r="O710" s="1171"/>
      <c r="P710" s="1171"/>
      <c r="Q710" s="1171"/>
      <c r="R710" s="1171"/>
      <c r="S710" s="1171"/>
      <c r="T710" s="1091">
        <f t="shared" ref="T710" si="750">+R710+S710</f>
        <v>0</v>
      </c>
      <c r="U710" s="1091">
        <f t="shared" ref="U710" si="751">+N710+O710-T710</f>
        <v>0</v>
      </c>
      <c r="V710" s="1091">
        <f t="shared" si="672"/>
        <v>0</v>
      </c>
      <c r="W710" s="1091"/>
      <c r="X710" s="1091">
        <f t="shared" ref="X710" si="752">+T710+Q710</f>
        <v>0</v>
      </c>
      <c r="Y710" s="1091">
        <f t="shared" ref="Y710" si="753">+U710-Q710</f>
        <v>0</v>
      </c>
      <c r="Z710" s="1091">
        <f t="shared" ref="Z710" si="754">+T710+Q710+P710</f>
        <v>0</v>
      </c>
      <c r="AA710" s="1091">
        <f t="shared" ref="AA710" si="755">+U710-Q710-P710</f>
        <v>0</v>
      </c>
      <c r="AB710" s="1091">
        <f t="shared" ref="AB710" si="756">IFERROR(Z710*100/(N710+O710),0)</f>
        <v>0</v>
      </c>
      <c r="AD710" s="650">
        <f t="shared" si="670"/>
        <v>0</v>
      </c>
      <c r="AI710" s="1277">
        <f>VLOOKUP(K710,'[2]ผลการเบิกจ่ายสะสม พ.ย. 66'!$C:$N,12,0)</f>
        <v>0</v>
      </c>
      <c r="AJ710" s="1274">
        <f t="shared" si="671"/>
        <v>0</v>
      </c>
    </row>
    <row r="711" spans="1:36" x14ac:dyDescent="0.35">
      <c r="A711" s="20" t="s">
        <v>112</v>
      </c>
      <c r="B711" s="21"/>
      <c r="C711" s="21"/>
      <c r="D711" s="1087">
        <f>SUM(D712)</f>
        <v>20000000</v>
      </c>
      <c r="E711" s="1088">
        <f>SUM(E712)</f>
        <v>21434871.120000001</v>
      </c>
      <c r="F711" s="1088"/>
      <c r="G711" s="1088"/>
      <c r="H711" s="1088">
        <f>SUM(H712)</f>
        <v>20000000</v>
      </c>
      <c r="I711" s="1089">
        <v>35000000</v>
      </c>
      <c r="J711" s="1089">
        <f>SUM(J712:J713)</f>
        <v>20000000</v>
      </c>
      <c r="K711" s="1028"/>
      <c r="L711" s="1028" t="s">
        <v>1429</v>
      </c>
      <c r="M711" s="1088">
        <f t="shared" ref="M711:U711" si="757">SUM(M712:M713)</f>
        <v>10000000</v>
      </c>
      <c r="N711" s="1088">
        <f>SUM(N712:N713)</f>
        <v>13330000</v>
      </c>
      <c r="O711" s="1088">
        <f t="shared" si="757"/>
        <v>0</v>
      </c>
      <c r="P711" s="1088">
        <f t="shared" si="757"/>
        <v>0</v>
      </c>
      <c r="Q711" s="1088">
        <f t="shared" si="757"/>
        <v>0</v>
      </c>
      <c r="R711" s="1088">
        <f t="shared" si="757"/>
        <v>0</v>
      </c>
      <c r="S711" s="1088">
        <f t="shared" si="757"/>
        <v>480000</v>
      </c>
      <c r="T711" s="1088">
        <f t="shared" si="757"/>
        <v>480000</v>
      </c>
      <c r="U711" s="1088">
        <f t="shared" si="757"/>
        <v>12850000</v>
      </c>
      <c r="V711" s="1088">
        <f t="shared" si="672"/>
        <v>3.6009002250562641</v>
      </c>
      <c r="W711" s="1088">
        <f t="shared" ref="W711:AB711" si="758">SUM(W712:W713)</f>
        <v>0</v>
      </c>
      <c r="X711" s="1088">
        <f t="shared" si="758"/>
        <v>480000</v>
      </c>
      <c r="Y711" s="1088">
        <f t="shared" si="758"/>
        <v>12850000</v>
      </c>
      <c r="Z711" s="1088">
        <f t="shared" si="758"/>
        <v>480000</v>
      </c>
      <c r="AA711" s="1088">
        <f t="shared" si="758"/>
        <v>12850000</v>
      </c>
      <c r="AB711" s="1088">
        <f t="shared" si="758"/>
        <v>3.6009002250562641</v>
      </c>
      <c r="AD711" s="650">
        <f t="shared" si="670"/>
        <v>0</v>
      </c>
      <c r="AI711" s="1277">
        <f>VLOOKUP(K711,'[2]ผลการเบิกจ่ายสะสม พ.ย. 66'!$C:$N,12,0)</f>
        <v>0</v>
      </c>
      <c r="AJ711" s="1274">
        <f t="shared" si="671"/>
        <v>-480000</v>
      </c>
    </row>
    <row r="712" spans="1:36" x14ac:dyDescent="0.35">
      <c r="A712" s="134"/>
      <c r="B712" s="72" t="s">
        <v>933</v>
      </c>
      <c r="C712" s="274"/>
      <c r="D712" s="1090">
        <v>20000000</v>
      </c>
      <c r="E712" s="1091">
        <v>21434871.120000001</v>
      </c>
      <c r="F712" s="1091"/>
      <c r="G712" s="1091"/>
      <c r="H712" s="1091">
        <v>20000000</v>
      </c>
      <c r="I712" s="1092">
        <v>30000000</v>
      </c>
      <c r="J712" s="1092">
        <v>20000000</v>
      </c>
      <c r="K712" s="1040" t="s">
        <v>1399</v>
      </c>
      <c r="L712" s="1065" t="s">
        <v>1429</v>
      </c>
      <c r="M712" s="1091">
        <v>10000000</v>
      </c>
      <c r="N712" s="1091">
        <v>13330000</v>
      </c>
      <c r="O712" s="1091"/>
      <c r="P712" s="1091"/>
      <c r="Q712" s="1091"/>
      <c r="R712" s="1091"/>
      <c r="S712" s="1160">
        <v>480000</v>
      </c>
      <c r="T712" s="1091">
        <f t="shared" ref="T712:T714" si="759">+R712+S712</f>
        <v>480000</v>
      </c>
      <c r="U712" s="1091">
        <f t="shared" ref="U712:U714" si="760">+N712+O712-T712</f>
        <v>12850000</v>
      </c>
      <c r="V712" s="1091">
        <f t="shared" si="672"/>
        <v>3.6009002250562641</v>
      </c>
      <c r="W712" s="1091"/>
      <c r="X712" s="1091">
        <f t="shared" ref="X712:X714" si="761">+T712+Q712</f>
        <v>480000</v>
      </c>
      <c r="Y712" s="1091">
        <f t="shared" ref="Y712:Y714" si="762">+U712-Q712</f>
        <v>12850000</v>
      </c>
      <c r="Z712" s="1091">
        <f t="shared" ref="Z712:Z714" si="763">+T712+Q712+P712</f>
        <v>480000</v>
      </c>
      <c r="AA712" s="1091">
        <f t="shared" ref="AA712:AA714" si="764">+U712-Q712-P712</f>
        <v>12850000</v>
      </c>
      <c r="AB712" s="1091">
        <f t="shared" ref="AB712:AB714" si="765">IFERROR(Z712*100/(N712+O712),0)</f>
        <v>3.6009002250562641</v>
      </c>
      <c r="AD712" s="650">
        <f t="shared" si="670"/>
        <v>0</v>
      </c>
      <c r="AI712" s="1277">
        <f>VLOOKUP(K712,'[2]ผลการเบิกจ่ายสะสม พ.ย. 66'!$C:$N,12,0)</f>
        <v>480000</v>
      </c>
      <c r="AJ712" s="1274">
        <f t="shared" si="671"/>
        <v>0</v>
      </c>
    </row>
    <row r="713" spans="1:36" x14ac:dyDescent="0.35">
      <c r="A713" s="134"/>
      <c r="B713" s="284" t="s">
        <v>934</v>
      </c>
      <c r="C713" s="170"/>
      <c r="D713" s="1096"/>
      <c r="E713" s="1097"/>
      <c r="F713" s="1097"/>
      <c r="G713" s="1097"/>
      <c r="H713" s="1097"/>
      <c r="I713" s="1092">
        <v>5000000</v>
      </c>
      <c r="J713" s="1092">
        <v>0</v>
      </c>
      <c r="K713" s="1032"/>
      <c r="L713" s="1032"/>
      <c r="M713" s="1091"/>
      <c r="N713" s="1091">
        <v>0</v>
      </c>
      <c r="O713" s="1091"/>
      <c r="P713" s="1091"/>
      <c r="Q713" s="1091"/>
      <c r="R713" s="1091"/>
      <c r="S713" s="1091"/>
      <c r="T713" s="1091">
        <f t="shared" si="759"/>
        <v>0</v>
      </c>
      <c r="U713" s="1091">
        <f t="shared" si="760"/>
        <v>0</v>
      </c>
      <c r="V713" s="1091">
        <f t="shared" si="672"/>
        <v>0</v>
      </c>
      <c r="W713" s="1091"/>
      <c r="X713" s="1091">
        <f t="shared" si="761"/>
        <v>0</v>
      </c>
      <c r="Y713" s="1091">
        <f t="shared" si="762"/>
        <v>0</v>
      </c>
      <c r="Z713" s="1091">
        <f t="shared" si="763"/>
        <v>0</v>
      </c>
      <c r="AA713" s="1091">
        <f t="shared" si="764"/>
        <v>0</v>
      </c>
      <c r="AB713" s="1091">
        <f t="shared" si="765"/>
        <v>0</v>
      </c>
      <c r="AD713" s="650">
        <f t="shared" si="670"/>
        <v>0</v>
      </c>
      <c r="AI713" s="1277">
        <f>VLOOKUP(K713,'[2]ผลการเบิกจ่ายสะสม พ.ย. 66'!$C:$N,12,0)</f>
        <v>0</v>
      </c>
      <c r="AJ713" s="1274">
        <f t="shared" si="671"/>
        <v>0</v>
      </c>
    </row>
    <row r="714" spans="1:36" x14ac:dyDescent="0.35">
      <c r="A714" s="134"/>
      <c r="B714" s="284"/>
      <c r="C714" s="170" t="s">
        <v>935</v>
      </c>
      <c r="D714" s="1096"/>
      <c r="E714" s="1097"/>
      <c r="F714" s="1097"/>
      <c r="G714" s="1097"/>
      <c r="H714" s="1097"/>
      <c r="I714" s="1098"/>
      <c r="J714" s="1098"/>
      <c r="K714" s="1029"/>
      <c r="L714" s="1029"/>
      <c r="M714" s="1097"/>
      <c r="N714" s="1097"/>
      <c r="O714" s="1097"/>
      <c r="P714" s="1097"/>
      <c r="Q714" s="1097"/>
      <c r="R714" s="1097"/>
      <c r="S714" s="1097"/>
      <c r="T714" s="1091">
        <f t="shared" si="759"/>
        <v>0</v>
      </c>
      <c r="U714" s="1091">
        <f t="shared" si="760"/>
        <v>0</v>
      </c>
      <c r="V714" s="1091">
        <f t="shared" si="672"/>
        <v>0</v>
      </c>
      <c r="W714" s="1091"/>
      <c r="X714" s="1091">
        <f t="shared" si="761"/>
        <v>0</v>
      </c>
      <c r="Y714" s="1091">
        <f t="shared" si="762"/>
        <v>0</v>
      </c>
      <c r="Z714" s="1091">
        <f t="shared" si="763"/>
        <v>0</v>
      </c>
      <c r="AA714" s="1091">
        <f t="shared" si="764"/>
        <v>0</v>
      </c>
      <c r="AB714" s="1091">
        <f t="shared" si="765"/>
        <v>0</v>
      </c>
      <c r="AD714" s="650">
        <f t="shared" si="670"/>
        <v>0</v>
      </c>
      <c r="AI714" s="1277">
        <f>VLOOKUP(K714,'[2]ผลการเบิกจ่ายสะสม พ.ย. 66'!$C:$N,12,0)</f>
        <v>0</v>
      </c>
      <c r="AJ714" s="1274">
        <f t="shared" si="671"/>
        <v>0</v>
      </c>
    </row>
    <row r="715" spans="1:36" x14ac:dyDescent="0.35">
      <c r="A715" s="20" t="s">
        <v>113</v>
      </c>
      <c r="B715" s="21"/>
      <c r="C715" s="21"/>
      <c r="D715" s="1087">
        <f>SUM(D716:D719)</f>
        <v>60874200</v>
      </c>
      <c r="E715" s="1088">
        <f>SUM(E716:E722)</f>
        <v>44050121.18</v>
      </c>
      <c r="F715" s="1088"/>
      <c r="G715" s="1088"/>
      <c r="H715" s="1088">
        <f>SUM(H716:H722)</f>
        <v>27961600</v>
      </c>
      <c r="I715" s="1089">
        <v>71777800</v>
      </c>
      <c r="J715" s="1089">
        <f>SUM(J716:J722)</f>
        <v>27961600</v>
      </c>
      <c r="K715" s="1028"/>
      <c r="L715" s="1028"/>
      <c r="M715" s="1088">
        <f t="shared" ref="M715:U715" si="766">SUM(M716:M722)</f>
        <v>21898000</v>
      </c>
      <c r="N715" s="1088">
        <f>SUM(N716:N722)</f>
        <v>21970900</v>
      </c>
      <c r="O715" s="1088">
        <f t="shared" si="766"/>
        <v>0</v>
      </c>
      <c r="P715" s="1088">
        <f t="shared" si="766"/>
        <v>0</v>
      </c>
      <c r="Q715" s="1088">
        <f t="shared" si="766"/>
        <v>0</v>
      </c>
      <c r="R715" s="1088">
        <f t="shared" si="766"/>
        <v>0</v>
      </c>
      <c r="S715" s="1088">
        <f t="shared" si="766"/>
        <v>11514905.950000001</v>
      </c>
      <c r="T715" s="1088">
        <f t="shared" si="766"/>
        <v>11514905.950000001</v>
      </c>
      <c r="U715" s="1088">
        <f t="shared" si="766"/>
        <v>10455994.049999999</v>
      </c>
      <c r="V715" s="1088">
        <f t="shared" si="672"/>
        <v>52.409805469962542</v>
      </c>
      <c r="W715" s="1088">
        <f t="shared" ref="W715:AB715" si="767">SUM(W716:W722)</f>
        <v>0</v>
      </c>
      <c r="X715" s="1088">
        <f t="shared" si="767"/>
        <v>11514905.950000001</v>
      </c>
      <c r="Y715" s="1088">
        <f t="shared" si="767"/>
        <v>10455994.049999999</v>
      </c>
      <c r="Z715" s="1088">
        <f t="shared" si="767"/>
        <v>11514905.950000001</v>
      </c>
      <c r="AA715" s="1088">
        <f t="shared" si="767"/>
        <v>10455994.049999999</v>
      </c>
      <c r="AB715" s="1088">
        <f t="shared" si="767"/>
        <v>130.63478035528112</v>
      </c>
      <c r="AD715" s="650">
        <f t="shared" si="670"/>
        <v>0</v>
      </c>
      <c r="AI715" s="1277">
        <f>VLOOKUP(K715,'[2]ผลการเบิกจ่ายสะสม พ.ย. 66'!$C:$N,12,0)</f>
        <v>0</v>
      </c>
      <c r="AJ715" s="1274">
        <f t="shared" si="671"/>
        <v>-11514905.950000001</v>
      </c>
    </row>
    <row r="716" spans="1:36" x14ac:dyDescent="0.35">
      <c r="A716" s="134"/>
      <c r="B716" s="34" t="s">
        <v>176</v>
      </c>
      <c r="C716" s="273"/>
      <c r="D716" s="1090">
        <v>40000000</v>
      </c>
      <c r="E716" s="1091">
        <v>30628899.100000001</v>
      </c>
      <c r="F716" s="1091"/>
      <c r="G716" s="1091"/>
      <c r="H716" s="1091">
        <v>15776200</v>
      </c>
      <c r="I716" s="1092">
        <v>40000000</v>
      </c>
      <c r="J716" s="1092">
        <v>15776200</v>
      </c>
      <c r="K716" s="1029" t="s">
        <v>1400</v>
      </c>
      <c r="L716" s="1065" t="s">
        <v>1429</v>
      </c>
      <c r="M716" s="1091">
        <v>10412000</v>
      </c>
      <c r="N716" s="1091">
        <v>10412000</v>
      </c>
      <c r="O716" s="1091"/>
      <c r="P716" s="1091"/>
      <c r="Q716" s="1091"/>
      <c r="R716" s="1091"/>
      <c r="S716" s="1267">
        <f>1650000</f>
        <v>1650000</v>
      </c>
      <c r="T716" s="1091">
        <f t="shared" ref="T716:T722" si="768">+R716+S716</f>
        <v>1650000</v>
      </c>
      <c r="U716" s="1091">
        <f t="shared" ref="U716:U722" si="769">+N716+O716-T716</f>
        <v>8762000</v>
      </c>
      <c r="V716" s="1091">
        <f t="shared" si="672"/>
        <v>15.847099500576258</v>
      </c>
      <c r="W716" s="1091"/>
      <c r="X716" s="1091">
        <f t="shared" ref="X716:X722" si="770">+T716+Q716</f>
        <v>1650000</v>
      </c>
      <c r="Y716" s="1091">
        <f t="shared" ref="Y716:Y722" si="771">+U716-Q716</f>
        <v>8762000</v>
      </c>
      <c r="Z716" s="1091">
        <f t="shared" ref="Z716:Z722" si="772">+T716+Q716+P716</f>
        <v>1650000</v>
      </c>
      <c r="AA716" s="1091">
        <f t="shared" ref="AA716:AA722" si="773">+U716-Q716-P716</f>
        <v>8762000</v>
      </c>
      <c r="AB716" s="1091">
        <f t="shared" ref="AB716:AB722" si="774">IFERROR(Z716*100/(N716+O716),0)</f>
        <v>15.847099500576258</v>
      </c>
      <c r="AD716" s="650">
        <f t="shared" si="670"/>
        <v>0</v>
      </c>
      <c r="AI716" s="1277">
        <f>VLOOKUP(K716,'[2]ผลการเบิกจ่ายสะสม พ.ย. 66'!$C:$N,12,0)</f>
        <v>1650000</v>
      </c>
      <c r="AJ716" s="1274">
        <f t="shared" si="671"/>
        <v>0</v>
      </c>
    </row>
    <row r="717" spans="1:36" x14ac:dyDescent="0.35">
      <c r="A717" s="134"/>
      <c r="B717" s="34" t="s">
        <v>936</v>
      </c>
      <c r="C717" s="273"/>
      <c r="D717" s="1090">
        <v>3000000</v>
      </c>
      <c r="E717" s="1091">
        <v>0</v>
      </c>
      <c r="F717" s="1091"/>
      <c r="G717" s="1091"/>
      <c r="H717" s="1091">
        <v>500000</v>
      </c>
      <c r="I717" s="1092">
        <v>5000000</v>
      </c>
      <c r="J717" s="1092">
        <v>500000</v>
      </c>
      <c r="K717" s="1029" t="s">
        <v>1401</v>
      </c>
      <c r="L717" s="1065" t="s">
        <v>1429</v>
      </c>
      <c r="M717" s="1091">
        <v>333000</v>
      </c>
      <c r="N717" s="1091">
        <v>333000</v>
      </c>
      <c r="O717" s="1091"/>
      <c r="P717" s="1091"/>
      <c r="Q717" s="1091"/>
      <c r="R717" s="1091"/>
      <c r="S717" s="1091"/>
      <c r="T717" s="1091">
        <f t="shared" si="768"/>
        <v>0</v>
      </c>
      <c r="U717" s="1091">
        <f t="shared" si="769"/>
        <v>333000</v>
      </c>
      <c r="V717" s="1091">
        <f t="shared" si="672"/>
        <v>0</v>
      </c>
      <c r="W717" s="1091"/>
      <c r="X717" s="1091">
        <f t="shared" si="770"/>
        <v>0</v>
      </c>
      <c r="Y717" s="1091">
        <f t="shared" si="771"/>
        <v>333000</v>
      </c>
      <c r="Z717" s="1091">
        <f t="shared" si="772"/>
        <v>0</v>
      </c>
      <c r="AA717" s="1091">
        <f t="shared" si="773"/>
        <v>333000</v>
      </c>
      <c r="AB717" s="1091">
        <f t="shared" si="774"/>
        <v>0</v>
      </c>
      <c r="AD717" s="650">
        <f t="shared" si="670"/>
        <v>0</v>
      </c>
      <c r="AI717" s="1277">
        <f>VLOOKUP(K717,'[2]ผลการเบิกจ่ายสะสม พ.ย. 66'!$C:$N,12,0)</f>
        <v>0</v>
      </c>
      <c r="AJ717" s="1274">
        <f t="shared" si="671"/>
        <v>0</v>
      </c>
    </row>
    <row r="718" spans="1:36" x14ac:dyDescent="0.35">
      <c r="A718" s="134"/>
      <c r="B718" s="34" t="s">
        <v>206</v>
      </c>
      <c r="C718" s="273"/>
      <c r="D718" s="1090">
        <v>15700000</v>
      </c>
      <c r="E718" s="1091">
        <v>11276396.679999996</v>
      </c>
      <c r="F718" s="1091"/>
      <c r="G718" s="1091"/>
      <c r="H718" s="1091">
        <v>10555900</v>
      </c>
      <c r="I718" s="1092">
        <v>15000000</v>
      </c>
      <c r="J718" s="1092">
        <v>10555900</v>
      </c>
      <c r="K718" s="1029" t="s">
        <v>1402</v>
      </c>
      <c r="L718" s="1065" t="s">
        <v>1429</v>
      </c>
      <c r="M718" s="1091">
        <v>10483000</v>
      </c>
      <c r="N718" s="1091">
        <v>10555900</v>
      </c>
      <c r="O718" s="1091"/>
      <c r="P718" s="1091"/>
      <c r="Q718" s="1091"/>
      <c r="R718" s="1091"/>
      <c r="S718" s="1267">
        <f>2292990.96+7419291.78</f>
        <v>9712282.7400000002</v>
      </c>
      <c r="T718" s="1091">
        <f t="shared" si="768"/>
        <v>9712282.7400000002</v>
      </c>
      <c r="U718" s="1091">
        <f t="shared" si="769"/>
        <v>843617.25999999978</v>
      </c>
      <c r="V718" s="1091">
        <f t="shared" si="672"/>
        <v>92.008097272615316</v>
      </c>
      <c r="W718" s="1091"/>
      <c r="X718" s="1091">
        <f t="shared" si="770"/>
        <v>9712282.7400000002</v>
      </c>
      <c r="Y718" s="1091">
        <f t="shared" si="771"/>
        <v>843617.25999999978</v>
      </c>
      <c r="Z718" s="1091">
        <f t="shared" si="772"/>
        <v>9712282.7400000002</v>
      </c>
      <c r="AA718" s="1091">
        <f t="shared" si="773"/>
        <v>843617.25999999978</v>
      </c>
      <c r="AB718" s="1091">
        <f t="shared" si="774"/>
        <v>92.008097272615316</v>
      </c>
      <c r="AD718" s="650">
        <f t="shared" ref="AD718:AD781" si="775">+N718+O718-R718-S718-U718</f>
        <v>0</v>
      </c>
      <c r="AI718" s="1277">
        <f>VLOOKUP(K718,'[2]ผลการเบิกจ่ายสะสม พ.ย. 66'!$C:$N,12,0)</f>
        <v>9712282.7400000002</v>
      </c>
      <c r="AJ718" s="1274">
        <f t="shared" si="671"/>
        <v>0</v>
      </c>
    </row>
    <row r="719" spans="1:36" x14ac:dyDescent="0.35">
      <c r="A719" s="134"/>
      <c r="B719" s="72" t="s">
        <v>177</v>
      </c>
      <c r="C719" s="922"/>
      <c r="D719" s="1090">
        <v>2174200</v>
      </c>
      <c r="E719" s="1108">
        <v>2144825.3999999994</v>
      </c>
      <c r="F719" s="1108"/>
      <c r="G719" s="1108"/>
      <c r="H719" s="1108">
        <v>1129500</v>
      </c>
      <c r="I719" s="1092">
        <v>3542300</v>
      </c>
      <c r="J719" s="1092">
        <v>1129500</v>
      </c>
      <c r="K719" s="1029" t="s">
        <v>1403</v>
      </c>
      <c r="L719" s="1065" t="s">
        <v>1429</v>
      </c>
      <c r="M719" s="1091">
        <v>670000</v>
      </c>
      <c r="N719" s="1091">
        <v>670000</v>
      </c>
      <c r="O719" s="1091"/>
      <c r="P719" s="1091"/>
      <c r="Q719" s="1091"/>
      <c r="R719" s="1091"/>
      <c r="S719" s="1267">
        <f>75060.6+77562.61</f>
        <v>152623.21000000002</v>
      </c>
      <c r="T719" s="1091">
        <f t="shared" si="768"/>
        <v>152623.21000000002</v>
      </c>
      <c r="U719" s="1091">
        <f t="shared" si="769"/>
        <v>517376.79</v>
      </c>
      <c r="V719" s="1091">
        <f t="shared" si="672"/>
        <v>22.779583582089554</v>
      </c>
      <c r="W719" s="1091"/>
      <c r="X719" s="1091">
        <f t="shared" si="770"/>
        <v>152623.21000000002</v>
      </c>
      <c r="Y719" s="1091">
        <f t="shared" si="771"/>
        <v>517376.79</v>
      </c>
      <c r="Z719" s="1091">
        <f t="shared" si="772"/>
        <v>152623.21000000002</v>
      </c>
      <c r="AA719" s="1091">
        <f t="shared" si="773"/>
        <v>517376.79</v>
      </c>
      <c r="AB719" s="1091">
        <f t="shared" si="774"/>
        <v>22.779583582089554</v>
      </c>
      <c r="AD719" s="650">
        <f t="shared" si="775"/>
        <v>0</v>
      </c>
      <c r="AI719" s="1277">
        <f>VLOOKUP(K719,'[2]ผลการเบิกจ่ายสะสม พ.ย. 66'!$C:$N,12,0)</f>
        <v>152623.21</v>
      </c>
      <c r="AJ719" s="1274">
        <f t="shared" ref="AJ719:AJ782" si="776">+AI719-S719</f>
        <v>0</v>
      </c>
    </row>
    <row r="720" spans="1:36" s="208" customFormat="1" x14ac:dyDescent="0.35">
      <c r="A720" s="134"/>
      <c r="B720" s="936" t="s">
        <v>175</v>
      </c>
      <c r="C720" s="937"/>
      <c r="D720" s="1090"/>
      <c r="E720" s="1108"/>
      <c r="F720" s="1108"/>
      <c r="G720" s="1108"/>
      <c r="H720" s="1108"/>
      <c r="I720" s="1092"/>
      <c r="J720" s="1092"/>
      <c r="K720" s="1032"/>
      <c r="L720" s="1032"/>
      <c r="M720" s="1091"/>
      <c r="N720" s="1091"/>
      <c r="O720" s="1091"/>
      <c r="P720" s="1091"/>
      <c r="Q720" s="1091"/>
      <c r="R720" s="1091"/>
      <c r="S720" s="1091"/>
      <c r="T720" s="1091">
        <f t="shared" si="768"/>
        <v>0</v>
      </c>
      <c r="U720" s="1091">
        <f t="shared" si="769"/>
        <v>0</v>
      </c>
      <c r="V720" s="1091">
        <f t="shared" si="672"/>
        <v>0</v>
      </c>
      <c r="W720" s="1091"/>
      <c r="X720" s="1091">
        <f t="shared" si="770"/>
        <v>0</v>
      </c>
      <c r="Y720" s="1091">
        <f t="shared" si="771"/>
        <v>0</v>
      </c>
      <c r="Z720" s="1091">
        <f t="shared" si="772"/>
        <v>0</v>
      </c>
      <c r="AA720" s="1091">
        <f t="shared" si="773"/>
        <v>0</v>
      </c>
      <c r="AB720" s="1091">
        <f t="shared" si="774"/>
        <v>0</v>
      </c>
      <c r="AD720" s="650">
        <f t="shared" si="775"/>
        <v>0</v>
      </c>
      <c r="AI720" s="1277">
        <f>VLOOKUP(K720,'[2]ผลการเบิกจ่ายสะสม พ.ย. 66'!$C:$N,12,0)</f>
        <v>0</v>
      </c>
      <c r="AJ720" s="1274">
        <f t="shared" si="776"/>
        <v>0</v>
      </c>
    </row>
    <row r="721" spans="1:36" s="208" customFormat="1" x14ac:dyDescent="0.35">
      <c r="A721" s="134"/>
      <c r="B721" s="72" t="s">
        <v>937</v>
      </c>
      <c r="C721" s="937"/>
      <c r="D721" s="1090"/>
      <c r="E721" s="1108"/>
      <c r="F721" s="1108"/>
      <c r="G721" s="1108"/>
      <c r="H721" s="1108"/>
      <c r="I721" s="1092">
        <v>3235500</v>
      </c>
      <c r="J721" s="1092">
        <v>0</v>
      </c>
      <c r="K721" s="1032"/>
      <c r="L721" s="1032"/>
      <c r="M721" s="1091"/>
      <c r="N721" s="1091">
        <v>0</v>
      </c>
      <c r="O721" s="1091"/>
      <c r="P721" s="1091"/>
      <c r="Q721" s="1091"/>
      <c r="R721" s="1091"/>
      <c r="S721" s="1091"/>
      <c r="T721" s="1091">
        <f t="shared" si="768"/>
        <v>0</v>
      </c>
      <c r="U721" s="1091">
        <f t="shared" si="769"/>
        <v>0</v>
      </c>
      <c r="V721" s="1091">
        <f>IFERROR(T721*100/(N721+O721),0)</f>
        <v>0</v>
      </c>
      <c r="W721" s="1091"/>
      <c r="X721" s="1091">
        <f t="shared" si="770"/>
        <v>0</v>
      </c>
      <c r="Y721" s="1091">
        <f t="shared" si="771"/>
        <v>0</v>
      </c>
      <c r="Z721" s="1091">
        <f t="shared" si="772"/>
        <v>0</v>
      </c>
      <c r="AA721" s="1091">
        <f t="shared" si="773"/>
        <v>0</v>
      </c>
      <c r="AB721" s="1091">
        <f t="shared" si="774"/>
        <v>0</v>
      </c>
      <c r="AD721" s="650">
        <f t="shared" si="775"/>
        <v>0</v>
      </c>
      <c r="AI721" s="1277">
        <f>VLOOKUP(K721,'[2]ผลการเบิกจ่ายสะสม พ.ย. 66'!$C:$N,12,0)</f>
        <v>0</v>
      </c>
      <c r="AJ721" s="1274">
        <f t="shared" si="776"/>
        <v>0</v>
      </c>
    </row>
    <row r="722" spans="1:36" s="208" customFormat="1" x14ac:dyDescent="0.35">
      <c r="A722" s="1244"/>
      <c r="B722" s="1261" t="s">
        <v>938</v>
      </c>
      <c r="C722" s="1262"/>
      <c r="D722" s="1263"/>
      <c r="E722" s="1264"/>
      <c r="F722" s="1264"/>
      <c r="G722" s="1264"/>
      <c r="H722" s="1264"/>
      <c r="I722" s="1225">
        <v>5000000</v>
      </c>
      <c r="J722" s="1225">
        <v>0</v>
      </c>
      <c r="K722" s="1064"/>
      <c r="L722" s="1064"/>
      <c r="M722" s="1224"/>
      <c r="N722" s="1224">
        <v>0</v>
      </c>
      <c r="O722" s="1224"/>
      <c r="P722" s="1224"/>
      <c r="Q722" s="1224"/>
      <c r="R722" s="1224"/>
      <c r="S722" s="1224"/>
      <c r="T722" s="1224">
        <f t="shared" si="768"/>
        <v>0</v>
      </c>
      <c r="U722" s="1224">
        <f t="shared" si="769"/>
        <v>0</v>
      </c>
      <c r="V722" s="1224">
        <f t="shared" ref="V722:V785" si="777">IFERROR(T722*100/(N722+O722),0)</f>
        <v>0</v>
      </c>
      <c r="W722" s="1091"/>
      <c r="X722" s="1091">
        <f t="shared" si="770"/>
        <v>0</v>
      </c>
      <c r="Y722" s="1091">
        <f t="shared" si="771"/>
        <v>0</v>
      </c>
      <c r="Z722" s="1091">
        <f t="shared" si="772"/>
        <v>0</v>
      </c>
      <c r="AA722" s="1091">
        <f t="shared" si="773"/>
        <v>0</v>
      </c>
      <c r="AB722" s="1091">
        <f t="shared" si="774"/>
        <v>0</v>
      </c>
      <c r="AD722" s="650">
        <f t="shared" si="775"/>
        <v>0</v>
      </c>
      <c r="AI722" s="1277">
        <f>VLOOKUP(K722,'[2]ผลการเบิกจ่ายสะสม พ.ย. 66'!$C:$N,12,0)</f>
        <v>0</v>
      </c>
      <c r="AJ722" s="1274">
        <f t="shared" si="776"/>
        <v>0</v>
      </c>
    </row>
    <row r="723" spans="1:36" x14ac:dyDescent="0.35">
      <c r="A723" s="6" t="s">
        <v>15</v>
      </c>
      <c r="B723" s="7"/>
      <c r="C723" s="7"/>
      <c r="D723" s="1180">
        <v>122187300</v>
      </c>
      <c r="E723" s="1181">
        <f>+E724</f>
        <v>16158354.16</v>
      </c>
      <c r="F723" s="1181"/>
      <c r="G723" s="1181"/>
      <c r="H723" s="1181">
        <f>+H724</f>
        <v>83834500</v>
      </c>
      <c r="I723" s="1182">
        <v>345717500</v>
      </c>
      <c r="J723" s="1182">
        <f t="shared" ref="J723:Y725" si="778">+J724</f>
        <v>163614000</v>
      </c>
      <c r="K723" s="1050"/>
      <c r="L723" s="1050"/>
      <c r="M723" s="1181">
        <f t="shared" si="778"/>
        <v>0</v>
      </c>
      <c r="N723" s="1181">
        <f t="shared" si="778"/>
        <v>0</v>
      </c>
      <c r="O723" s="1181">
        <f t="shared" si="778"/>
        <v>0</v>
      </c>
      <c r="P723" s="1181">
        <f t="shared" si="778"/>
        <v>0</v>
      </c>
      <c r="Q723" s="1181">
        <f t="shared" si="778"/>
        <v>0</v>
      </c>
      <c r="R723" s="1181">
        <f t="shared" si="778"/>
        <v>0</v>
      </c>
      <c r="S723" s="1181">
        <f t="shared" si="778"/>
        <v>0</v>
      </c>
      <c r="T723" s="1181">
        <f t="shared" si="778"/>
        <v>0</v>
      </c>
      <c r="U723" s="1181">
        <f t="shared" si="778"/>
        <v>0</v>
      </c>
      <c r="V723" s="1181">
        <f t="shared" si="777"/>
        <v>0</v>
      </c>
      <c r="W723" s="1181">
        <f t="shared" si="778"/>
        <v>0</v>
      </c>
      <c r="X723" s="1181">
        <f t="shared" si="778"/>
        <v>0</v>
      </c>
      <c r="Y723" s="1181">
        <f t="shared" si="778"/>
        <v>0</v>
      </c>
      <c r="Z723" s="1181">
        <f t="shared" ref="W723:AB725" si="779">+Z724</f>
        <v>0</v>
      </c>
      <c r="AA723" s="1181">
        <f t="shared" si="779"/>
        <v>0</v>
      </c>
      <c r="AB723" s="1181">
        <f t="shared" si="779"/>
        <v>0</v>
      </c>
      <c r="AD723" s="650">
        <f t="shared" si="775"/>
        <v>0</v>
      </c>
      <c r="AI723" s="1277">
        <f>VLOOKUP(K723,'[2]ผลการเบิกจ่ายสะสม พ.ย. 66'!$C:$N,12,0)</f>
        <v>0</v>
      </c>
      <c r="AJ723" s="1274">
        <f t="shared" si="776"/>
        <v>0</v>
      </c>
    </row>
    <row r="724" spans="1:36" x14ac:dyDescent="0.35">
      <c r="A724" s="9" t="s">
        <v>159</v>
      </c>
      <c r="B724" s="10"/>
      <c r="C724" s="10"/>
      <c r="D724" s="1183">
        <v>122187300</v>
      </c>
      <c r="E724" s="1184">
        <f>+E725</f>
        <v>16158354.16</v>
      </c>
      <c r="F724" s="1184"/>
      <c r="G724" s="1184"/>
      <c r="H724" s="1184">
        <f>+H725</f>
        <v>83834500</v>
      </c>
      <c r="I724" s="1185">
        <v>345717500</v>
      </c>
      <c r="J724" s="1185">
        <f t="shared" si="778"/>
        <v>163614000</v>
      </c>
      <c r="K724" s="1051" t="s">
        <v>1404</v>
      </c>
      <c r="L724" s="1051"/>
      <c r="M724" s="1184">
        <f t="shared" si="778"/>
        <v>0</v>
      </c>
      <c r="N724" s="1184">
        <f t="shared" si="778"/>
        <v>0</v>
      </c>
      <c r="O724" s="1184">
        <f t="shared" si="778"/>
        <v>0</v>
      </c>
      <c r="P724" s="1184">
        <f t="shared" si="778"/>
        <v>0</v>
      </c>
      <c r="Q724" s="1184">
        <f t="shared" si="778"/>
        <v>0</v>
      </c>
      <c r="R724" s="1184">
        <f t="shared" si="778"/>
        <v>0</v>
      </c>
      <c r="S724" s="1184">
        <f t="shared" si="778"/>
        <v>0</v>
      </c>
      <c r="T724" s="1184">
        <f t="shared" si="778"/>
        <v>0</v>
      </c>
      <c r="U724" s="1184">
        <f t="shared" si="778"/>
        <v>0</v>
      </c>
      <c r="V724" s="1184">
        <f t="shared" si="777"/>
        <v>0</v>
      </c>
      <c r="W724" s="1184">
        <f t="shared" si="779"/>
        <v>0</v>
      </c>
      <c r="X724" s="1184">
        <f t="shared" si="779"/>
        <v>0</v>
      </c>
      <c r="Y724" s="1184">
        <f t="shared" si="779"/>
        <v>0</v>
      </c>
      <c r="Z724" s="1184">
        <f t="shared" si="779"/>
        <v>0</v>
      </c>
      <c r="AA724" s="1184">
        <f t="shared" si="779"/>
        <v>0</v>
      </c>
      <c r="AB724" s="1184">
        <f t="shared" si="779"/>
        <v>0</v>
      </c>
      <c r="AD724" s="650">
        <f t="shared" si="775"/>
        <v>0</v>
      </c>
      <c r="AI724" s="1277" t="e">
        <f>VLOOKUP(K724,'[2]ผลการเบิกจ่ายสะสม พ.ย. 66'!$C:$N,12,0)</f>
        <v>#N/A</v>
      </c>
      <c r="AJ724" s="1274" t="e">
        <f t="shared" si="776"/>
        <v>#N/A</v>
      </c>
    </row>
    <row r="725" spans="1:36" x14ac:dyDescent="0.35">
      <c r="A725" s="14" t="s">
        <v>119</v>
      </c>
      <c r="B725" s="15"/>
      <c r="C725" s="15"/>
      <c r="D725" s="1186">
        <v>122187300</v>
      </c>
      <c r="E725" s="1187">
        <f>+E726</f>
        <v>16158354.16</v>
      </c>
      <c r="F725" s="1187"/>
      <c r="G725" s="1187"/>
      <c r="H725" s="1187">
        <f>+H726</f>
        <v>83834500</v>
      </c>
      <c r="I725" s="1188">
        <v>345717500</v>
      </c>
      <c r="J725" s="1188">
        <f t="shared" si="778"/>
        <v>163614000</v>
      </c>
      <c r="K725" s="1052"/>
      <c r="L725" s="1052" t="s">
        <v>1430</v>
      </c>
      <c r="M725" s="1187">
        <f t="shared" si="778"/>
        <v>0</v>
      </c>
      <c r="N725" s="1187">
        <f t="shared" si="778"/>
        <v>0</v>
      </c>
      <c r="O725" s="1187">
        <f t="shared" si="778"/>
        <v>0</v>
      </c>
      <c r="P725" s="1187">
        <f t="shared" si="778"/>
        <v>0</v>
      </c>
      <c r="Q725" s="1187">
        <f t="shared" si="778"/>
        <v>0</v>
      </c>
      <c r="R725" s="1187">
        <f t="shared" si="778"/>
        <v>0</v>
      </c>
      <c r="S725" s="1187">
        <f t="shared" si="778"/>
        <v>0</v>
      </c>
      <c r="T725" s="1187">
        <f t="shared" si="778"/>
        <v>0</v>
      </c>
      <c r="U725" s="1187">
        <f t="shared" si="778"/>
        <v>0</v>
      </c>
      <c r="V725" s="1187">
        <f t="shared" si="777"/>
        <v>0</v>
      </c>
      <c r="W725" s="1187">
        <f t="shared" si="779"/>
        <v>0</v>
      </c>
      <c r="X725" s="1187">
        <f t="shared" si="779"/>
        <v>0</v>
      </c>
      <c r="Y725" s="1187">
        <f t="shared" si="779"/>
        <v>0</v>
      </c>
      <c r="Z725" s="1187">
        <f t="shared" si="779"/>
        <v>0</v>
      </c>
      <c r="AA725" s="1187">
        <f t="shared" si="779"/>
        <v>0</v>
      </c>
      <c r="AB725" s="1187">
        <f t="shared" si="779"/>
        <v>0</v>
      </c>
      <c r="AD725" s="650">
        <f t="shared" si="775"/>
        <v>0</v>
      </c>
      <c r="AI725" s="1277">
        <f>VLOOKUP(K725,'[2]ผลการเบิกจ่ายสะสม พ.ย. 66'!$C:$N,12,0)</f>
        <v>0</v>
      </c>
      <c r="AJ725" s="1274">
        <f t="shared" si="776"/>
        <v>0</v>
      </c>
    </row>
    <row r="726" spans="1:36" s="938" customFormat="1" x14ac:dyDescent="0.35">
      <c r="A726" s="20" t="s">
        <v>118</v>
      </c>
      <c r="B726" s="21"/>
      <c r="C726" s="21"/>
      <c r="D726" s="1174">
        <v>122187300</v>
      </c>
      <c r="E726" s="1175">
        <v>16158354.16</v>
      </c>
      <c r="F726" s="1175"/>
      <c r="G726" s="1175"/>
      <c r="H726" s="1175">
        <v>83834500</v>
      </c>
      <c r="I726" s="1176">
        <v>345717500</v>
      </c>
      <c r="J726" s="1176">
        <f>+J727+J866</f>
        <v>163614000</v>
      </c>
      <c r="K726" s="1048"/>
      <c r="L726" s="1048"/>
      <c r="M726" s="1175">
        <f t="shared" ref="M726:U726" si="780">+M727+M866</f>
        <v>0</v>
      </c>
      <c r="N726" s="1175">
        <f>+N727+N866</f>
        <v>0</v>
      </c>
      <c r="O726" s="1175">
        <f t="shared" si="780"/>
        <v>0</v>
      </c>
      <c r="P726" s="1175">
        <f t="shared" si="780"/>
        <v>0</v>
      </c>
      <c r="Q726" s="1175">
        <f t="shared" si="780"/>
        <v>0</v>
      </c>
      <c r="R726" s="1175">
        <f t="shared" si="780"/>
        <v>0</v>
      </c>
      <c r="S726" s="1175">
        <f t="shared" si="780"/>
        <v>0</v>
      </c>
      <c r="T726" s="1175">
        <f t="shared" si="780"/>
        <v>0</v>
      </c>
      <c r="U726" s="1175">
        <f t="shared" si="780"/>
        <v>0</v>
      </c>
      <c r="V726" s="1175">
        <f t="shared" si="777"/>
        <v>0</v>
      </c>
      <c r="W726" s="1175">
        <f t="shared" ref="W726:AB726" si="781">+W727+W866</f>
        <v>0</v>
      </c>
      <c r="X726" s="1175">
        <f t="shared" si="781"/>
        <v>0</v>
      </c>
      <c r="Y726" s="1175">
        <f t="shared" si="781"/>
        <v>0</v>
      </c>
      <c r="Z726" s="1175">
        <f t="shared" si="781"/>
        <v>0</v>
      </c>
      <c r="AA726" s="1175">
        <f t="shared" si="781"/>
        <v>0</v>
      </c>
      <c r="AB726" s="1175">
        <f t="shared" si="781"/>
        <v>0</v>
      </c>
      <c r="AD726" s="650">
        <f t="shared" si="775"/>
        <v>0</v>
      </c>
      <c r="AI726" s="1277">
        <f>VLOOKUP(K726,'[2]ผลการเบิกจ่ายสะสม พ.ย. 66'!$C:$N,12,0)</f>
        <v>0</v>
      </c>
      <c r="AJ726" s="1274">
        <f t="shared" si="776"/>
        <v>0</v>
      </c>
    </row>
    <row r="727" spans="1:36" s="941" customFormat="1" x14ac:dyDescent="0.35">
      <c r="A727" s="939" t="s">
        <v>292</v>
      </c>
      <c r="B727" s="940"/>
      <c r="C727" s="940"/>
      <c r="D727" s="1189"/>
      <c r="E727" s="1190"/>
      <c r="F727" s="1190"/>
      <c r="G727" s="1190"/>
      <c r="H727" s="1190">
        <v>11271300</v>
      </c>
      <c r="I727" s="1191">
        <v>146842100</v>
      </c>
      <c r="J727" s="1191">
        <f>+J728+J780+J818+J830+J860+J842+J855</f>
        <v>45421200</v>
      </c>
      <c r="K727" s="1053"/>
      <c r="L727" s="1053"/>
      <c r="M727" s="1190">
        <f t="shared" ref="M727:U727" si="782">+M728+M780+M818+M830+M860+M842+M855</f>
        <v>0</v>
      </c>
      <c r="N727" s="1190">
        <f>+N728+N780+N818+N830+N860+N842+N855</f>
        <v>0</v>
      </c>
      <c r="O727" s="1190">
        <f t="shared" si="782"/>
        <v>0</v>
      </c>
      <c r="P727" s="1190">
        <f t="shared" si="782"/>
        <v>0</v>
      </c>
      <c r="Q727" s="1190">
        <f t="shared" si="782"/>
        <v>0</v>
      </c>
      <c r="R727" s="1190">
        <f t="shared" si="782"/>
        <v>0</v>
      </c>
      <c r="S727" s="1190">
        <f t="shared" si="782"/>
        <v>0</v>
      </c>
      <c r="T727" s="1190">
        <f t="shared" si="782"/>
        <v>0</v>
      </c>
      <c r="U727" s="1190">
        <f t="shared" si="782"/>
        <v>0</v>
      </c>
      <c r="V727" s="1190">
        <f t="shared" si="777"/>
        <v>0</v>
      </c>
      <c r="W727" s="1190">
        <f t="shared" ref="W727:AB727" si="783">+W728+W780+W818+W830+W860+W842+W855</f>
        <v>0</v>
      </c>
      <c r="X727" s="1190">
        <f t="shared" si="783"/>
        <v>0</v>
      </c>
      <c r="Y727" s="1190">
        <f t="shared" si="783"/>
        <v>0</v>
      </c>
      <c r="Z727" s="1190">
        <f t="shared" si="783"/>
        <v>0</v>
      </c>
      <c r="AA727" s="1190">
        <f t="shared" si="783"/>
        <v>0</v>
      </c>
      <c r="AB727" s="1190">
        <f t="shared" si="783"/>
        <v>0</v>
      </c>
      <c r="AD727" s="650">
        <f t="shared" si="775"/>
        <v>0</v>
      </c>
      <c r="AI727" s="1277">
        <f>VLOOKUP(K727,'[2]ผลการเบิกจ่ายสะสม พ.ย. 66'!$C:$N,12,0)</f>
        <v>0</v>
      </c>
      <c r="AJ727" s="1274">
        <f t="shared" si="776"/>
        <v>0</v>
      </c>
    </row>
    <row r="728" spans="1:36" ht="21" customHeight="1" outlineLevel="1" x14ac:dyDescent="0.35">
      <c r="A728" s="313"/>
      <c r="B728" s="72" t="s">
        <v>452</v>
      </c>
      <c r="C728" s="274"/>
      <c r="D728" s="1168"/>
      <c r="E728" s="1169"/>
      <c r="F728" s="1169"/>
      <c r="G728" s="1169"/>
      <c r="H728" s="1169"/>
      <c r="I728" s="1170">
        <v>3284900</v>
      </c>
      <c r="J728" s="1170">
        <v>3164200</v>
      </c>
      <c r="K728" s="1046"/>
      <c r="L728" s="1046"/>
      <c r="M728" s="1169">
        <f t="shared" ref="M728:AB728" si="784">+M729</f>
        <v>0</v>
      </c>
      <c r="N728" s="1169">
        <f>+N729</f>
        <v>0</v>
      </c>
      <c r="O728" s="1169">
        <f t="shared" si="784"/>
        <v>0</v>
      </c>
      <c r="P728" s="1169">
        <f t="shared" si="784"/>
        <v>0</v>
      </c>
      <c r="Q728" s="1169">
        <f t="shared" si="784"/>
        <v>0</v>
      </c>
      <c r="R728" s="1169">
        <f t="shared" si="784"/>
        <v>0</v>
      </c>
      <c r="S728" s="1169">
        <f t="shared" si="784"/>
        <v>0</v>
      </c>
      <c r="T728" s="1169">
        <f t="shared" si="784"/>
        <v>0</v>
      </c>
      <c r="U728" s="1169">
        <f t="shared" si="784"/>
        <v>0</v>
      </c>
      <c r="V728" s="1169">
        <f t="shared" si="777"/>
        <v>0</v>
      </c>
      <c r="W728" s="1169">
        <f t="shared" si="784"/>
        <v>0</v>
      </c>
      <c r="X728" s="1169">
        <f t="shared" si="784"/>
        <v>0</v>
      </c>
      <c r="Y728" s="1169">
        <f t="shared" si="784"/>
        <v>0</v>
      </c>
      <c r="Z728" s="1169">
        <f t="shared" si="784"/>
        <v>0</v>
      </c>
      <c r="AA728" s="1169">
        <f t="shared" si="784"/>
        <v>0</v>
      </c>
      <c r="AB728" s="1169">
        <f t="shared" si="784"/>
        <v>0</v>
      </c>
      <c r="AD728" s="650">
        <f t="shared" si="775"/>
        <v>0</v>
      </c>
      <c r="AI728" s="1277">
        <f>VLOOKUP(K728,'[2]ผลการเบิกจ่ายสะสม พ.ย. 66'!$C:$N,12,0)</f>
        <v>0</v>
      </c>
      <c r="AJ728" s="1274">
        <f t="shared" si="776"/>
        <v>0</v>
      </c>
    </row>
    <row r="729" spans="1:36" ht="21" customHeight="1" outlineLevel="1" x14ac:dyDescent="0.35">
      <c r="A729" s="313"/>
      <c r="B729" s="293" t="s">
        <v>1225</v>
      </c>
      <c r="C729" s="942"/>
      <c r="D729" s="1168"/>
      <c r="E729" s="1171"/>
      <c r="F729" s="1171"/>
      <c r="G729" s="1171"/>
      <c r="H729" s="1171"/>
      <c r="I729" s="1172"/>
      <c r="J729" s="1172"/>
      <c r="K729" s="1047" t="s">
        <v>1405</v>
      </c>
      <c r="L729" s="1047" t="s">
        <v>1430</v>
      </c>
      <c r="M729" s="1171">
        <f t="shared" ref="M729:O729" si="785">SUM(M731:M779)</f>
        <v>0</v>
      </c>
      <c r="N729" s="1171">
        <f>SUM(N731:N779)</f>
        <v>0</v>
      </c>
      <c r="O729" s="1171">
        <f t="shared" si="785"/>
        <v>0</v>
      </c>
      <c r="P729" s="1171">
        <f t="shared" ref="P729:U729" si="786">SUM(P731:P779)</f>
        <v>0</v>
      </c>
      <c r="Q729" s="1171">
        <f t="shared" si="786"/>
        <v>0</v>
      </c>
      <c r="R729" s="1171">
        <f t="shared" si="786"/>
        <v>0</v>
      </c>
      <c r="S729" s="1171">
        <f t="shared" si="786"/>
        <v>0</v>
      </c>
      <c r="T729" s="1171">
        <f t="shared" si="786"/>
        <v>0</v>
      </c>
      <c r="U729" s="1171">
        <f t="shared" si="786"/>
        <v>0</v>
      </c>
      <c r="V729" s="1171">
        <f t="shared" si="777"/>
        <v>0</v>
      </c>
      <c r="W729" s="1171">
        <f t="shared" ref="W729:AB729" si="787">SUM(W731:W779)</f>
        <v>0</v>
      </c>
      <c r="X729" s="1171">
        <f t="shared" si="787"/>
        <v>0</v>
      </c>
      <c r="Y729" s="1171">
        <f t="shared" si="787"/>
        <v>0</v>
      </c>
      <c r="Z729" s="1171">
        <f t="shared" si="787"/>
        <v>0</v>
      </c>
      <c r="AA729" s="1171">
        <f t="shared" si="787"/>
        <v>0</v>
      </c>
      <c r="AB729" s="1171">
        <f t="shared" si="787"/>
        <v>0</v>
      </c>
      <c r="AD729" s="650">
        <f t="shared" si="775"/>
        <v>0</v>
      </c>
      <c r="AI729" s="1277" t="e">
        <f>VLOOKUP(K729,'[2]ผลการเบิกจ่ายสะสม พ.ย. 66'!$C:$N,12,0)</f>
        <v>#N/A</v>
      </c>
      <c r="AJ729" s="1274" t="e">
        <f t="shared" si="776"/>
        <v>#N/A</v>
      </c>
    </row>
    <row r="730" spans="1:36" ht="21" customHeight="1" outlineLevel="1" x14ac:dyDescent="0.35">
      <c r="A730" s="313"/>
      <c r="B730" s="293"/>
      <c r="C730" s="943" t="s">
        <v>70</v>
      </c>
      <c r="D730" s="1168"/>
      <c r="E730" s="1171"/>
      <c r="F730" s="1171"/>
      <c r="G730" s="1171"/>
      <c r="H730" s="1171"/>
      <c r="I730" s="1172"/>
      <c r="J730" s="1172"/>
      <c r="K730" s="1047"/>
      <c r="L730" s="1047"/>
      <c r="M730" s="1171"/>
      <c r="N730" s="1171"/>
      <c r="O730" s="1171"/>
      <c r="P730" s="1171"/>
      <c r="Q730" s="1171"/>
      <c r="R730" s="1171"/>
      <c r="S730" s="1171"/>
      <c r="T730" s="1171"/>
      <c r="U730" s="1171"/>
      <c r="V730" s="1171">
        <f t="shared" si="777"/>
        <v>0</v>
      </c>
      <c r="W730" s="1171"/>
      <c r="X730" s="1171"/>
      <c r="Y730" s="1171"/>
      <c r="Z730" s="1171"/>
      <c r="AA730" s="1171"/>
      <c r="AB730" s="1171"/>
      <c r="AD730" s="650">
        <f t="shared" si="775"/>
        <v>0</v>
      </c>
      <c r="AI730" s="1277">
        <f>VLOOKUP(K730,'[2]ผลการเบิกจ่ายสะสม พ.ย. 66'!$C:$N,12,0)</f>
        <v>0</v>
      </c>
      <c r="AJ730" s="1274">
        <f t="shared" si="776"/>
        <v>0</v>
      </c>
    </row>
    <row r="731" spans="1:36" ht="42" customHeight="1" outlineLevel="1" x14ac:dyDescent="0.35">
      <c r="A731" s="313"/>
      <c r="B731" s="293"/>
      <c r="C731" s="930" t="s">
        <v>939</v>
      </c>
      <c r="D731" s="1168"/>
      <c r="E731" s="1171"/>
      <c r="F731" s="1171"/>
      <c r="G731" s="1171"/>
      <c r="H731" s="1171"/>
      <c r="I731" s="1172"/>
      <c r="J731" s="1172">
        <v>107200</v>
      </c>
      <c r="K731" s="1047"/>
      <c r="L731" s="1047"/>
      <c r="M731" s="1171"/>
      <c r="N731" s="1171"/>
      <c r="O731" s="1171"/>
      <c r="P731" s="1171"/>
      <c r="Q731" s="1171"/>
      <c r="R731" s="1171"/>
      <c r="S731" s="1171"/>
      <c r="T731" s="1171"/>
      <c r="U731" s="1171"/>
      <c r="V731" s="1171">
        <f t="shared" si="777"/>
        <v>0</v>
      </c>
      <c r="W731" s="1171"/>
      <c r="X731" s="1171"/>
      <c r="Y731" s="1171"/>
      <c r="Z731" s="1171"/>
      <c r="AA731" s="1171"/>
      <c r="AB731" s="1171"/>
      <c r="AD731" s="650">
        <f t="shared" si="775"/>
        <v>0</v>
      </c>
      <c r="AI731" s="1277">
        <f>VLOOKUP(K731,'[2]ผลการเบิกจ่ายสะสม พ.ย. 66'!$C:$N,12,0)</f>
        <v>0</v>
      </c>
      <c r="AJ731" s="1274">
        <f t="shared" si="776"/>
        <v>0</v>
      </c>
    </row>
    <row r="732" spans="1:36" ht="21" customHeight="1" outlineLevel="1" x14ac:dyDescent="0.35">
      <c r="A732" s="313"/>
      <c r="B732" s="293"/>
      <c r="C732" s="943" t="s">
        <v>262</v>
      </c>
      <c r="D732" s="1168"/>
      <c r="E732" s="1171"/>
      <c r="F732" s="1171"/>
      <c r="G732" s="1171"/>
      <c r="H732" s="1171"/>
      <c r="I732" s="1172"/>
      <c r="J732" s="1172"/>
      <c r="K732" s="1047"/>
      <c r="L732" s="1047"/>
      <c r="M732" s="1171"/>
      <c r="N732" s="1171"/>
      <c r="O732" s="1171"/>
      <c r="P732" s="1171"/>
      <c r="Q732" s="1171"/>
      <c r="R732" s="1171"/>
      <c r="S732" s="1171"/>
      <c r="T732" s="1171"/>
      <c r="U732" s="1171"/>
      <c r="V732" s="1171">
        <f t="shared" si="777"/>
        <v>0</v>
      </c>
      <c r="W732" s="1171"/>
      <c r="X732" s="1171"/>
      <c r="Y732" s="1171"/>
      <c r="Z732" s="1171"/>
      <c r="AA732" s="1171"/>
      <c r="AB732" s="1171"/>
      <c r="AD732" s="650">
        <f t="shared" si="775"/>
        <v>0</v>
      </c>
      <c r="AI732" s="1277">
        <f>VLOOKUP(K732,'[2]ผลการเบิกจ่ายสะสม พ.ย. 66'!$C:$N,12,0)</f>
        <v>0</v>
      </c>
      <c r="AJ732" s="1274">
        <f t="shared" si="776"/>
        <v>0</v>
      </c>
    </row>
    <row r="733" spans="1:36" ht="21" customHeight="1" outlineLevel="1" x14ac:dyDescent="0.35">
      <c r="A733" s="313"/>
      <c r="B733" s="293"/>
      <c r="C733" s="944" t="s">
        <v>940</v>
      </c>
      <c r="D733" s="1168"/>
      <c r="E733" s="1171"/>
      <c r="F733" s="1171"/>
      <c r="G733" s="1171"/>
      <c r="H733" s="1171"/>
      <c r="I733" s="1172"/>
      <c r="J733" s="1172">
        <v>139800</v>
      </c>
      <c r="K733" s="1047"/>
      <c r="L733" s="1047"/>
      <c r="M733" s="1171"/>
      <c r="N733" s="1171"/>
      <c r="O733" s="1171"/>
      <c r="P733" s="1171"/>
      <c r="Q733" s="1171"/>
      <c r="R733" s="1171"/>
      <c r="S733" s="1171"/>
      <c r="T733" s="1171"/>
      <c r="U733" s="1171"/>
      <c r="V733" s="1171">
        <f t="shared" si="777"/>
        <v>0</v>
      </c>
      <c r="W733" s="1171"/>
      <c r="X733" s="1171"/>
      <c r="Y733" s="1171"/>
      <c r="Z733" s="1171"/>
      <c r="AA733" s="1171"/>
      <c r="AB733" s="1171"/>
      <c r="AD733" s="650">
        <f t="shared" si="775"/>
        <v>0</v>
      </c>
      <c r="AI733" s="1277">
        <f>VLOOKUP(K733,'[2]ผลการเบิกจ่ายสะสม พ.ย. 66'!$C:$N,12,0)</f>
        <v>0</v>
      </c>
      <c r="AJ733" s="1274">
        <f t="shared" si="776"/>
        <v>0</v>
      </c>
    </row>
    <row r="734" spans="1:36" ht="21" customHeight="1" outlineLevel="1" x14ac:dyDescent="0.35">
      <c r="A734" s="313"/>
      <c r="B734" s="293"/>
      <c r="C734" s="944" t="s">
        <v>941</v>
      </c>
      <c r="D734" s="1168"/>
      <c r="E734" s="1171"/>
      <c r="F734" s="1171"/>
      <c r="G734" s="1171"/>
      <c r="H734" s="1171"/>
      <c r="I734" s="1172"/>
      <c r="J734" s="1172">
        <v>17100</v>
      </c>
      <c r="K734" s="1047"/>
      <c r="L734" s="1047"/>
      <c r="M734" s="1171"/>
      <c r="N734" s="1171"/>
      <c r="O734" s="1171"/>
      <c r="P734" s="1171"/>
      <c r="Q734" s="1171"/>
      <c r="R734" s="1171"/>
      <c r="S734" s="1171"/>
      <c r="T734" s="1171"/>
      <c r="U734" s="1171"/>
      <c r="V734" s="1171">
        <f t="shared" si="777"/>
        <v>0</v>
      </c>
      <c r="W734" s="1171"/>
      <c r="X734" s="1171"/>
      <c r="Y734" s="1171"/>
      <c r="Z734" s="1171"/>
      <c r="AA734" s="1171"/>
      <c r="AB734" s="1171"/>
      <c r="AD734" s="650">
        <f t="shared" si="775"/>
        <v>0</v>
      </c>
      <c r="AI734" s="1277">
        <f>VLOOKUP(K734,'[2]ผลการเบิกจ่ายสะสม พ.ย. 66'!$C:$N,12,0)</f>
        <v>0</v>
      </c>
      <c r="AJ734" s="1274">
        <f t="shared" si="776"/>
        <v>0</v>
      </c>
    </row>
    <row r="735" spans="1:36" ht="21" customHeight="1" outlineLevel="1" x14ac:dyDescent="0.35">
      <c r="A735" s="313"/>
      <c r="B735" s="293"/>
      <c r="C735" s="944" t="s">
        <v>942</v>
      </c>
      <c r="D735" s="1168"/>
      <c r="E735" s="1171"/>
      <c r="F735" s="1171"/>
      <c r="G735" s="1171"/>
      <c r="H735" s="1171"/>
      <c r="I735" s="1172"/>
      <c r="J735" s="1172">
        <v>11500</v>
      </c>
      <c r="K735" s="1047"/>
      <c r="L735" s="1047"/>
      <c r="M735" s="1171"/>
      <c r="N735" s="1171"/>
      <c r="O735" s="1171"/>
      <c r="P735" s="1171"/>
      <c r="Q735" s="1171"/>
      <c r="R735" s="1171"/>
      <c r="S735" s="1171"/>
      <c r="T735" s="1171"/>
      <c r="U735" s="1171"/>
      <c r="V735" s="1171">
        <f t="shared" si="777"/>
        <v>0</v>
      </c>
      <c r="W735" s="1171"/>
      <c r="X735" s="1171"/>
      <c r="Y735" s="1171"/>
      <c r="Z735" s="1171"/>
      <c r="AA735" s="1171"/>
      <c r="AB735" s="1171"/>
      <c r="AD735" s="650">
        <f t="shared" si="775"/>
        <v>0</v>
      </c>
      <c r="AI735" s="1277">
        <f>VLOOKUP(K735,'[2]ผลการเบิกจ่ายสะสม พ.ย. 66'!$C:$N,12,0)</f>
        <v>0</v>
      </c>
      <c r="AJ735" s="1274">
        <f t="shared" si="776"/>
        <v>0</v>
      </c>
    </row>
    <row r="736" spans="1:36" ht="21" customHeight="1" outlineLevel="1" x14ac:dyDescent="0.35">
      <c r="A736" s="313"/>
      <c r="B736" s="293"/>
      <c r="C736" s="944" t="s">
        <v>943</v>
      </c>
      <c r="D736" s="1168"/>
      <c r="E736" s="1171"/>
      <c r="F736" s="1171"/>
      <c r="G736" s="1171"/>
      <c r="H736" s="1171"/>
      <c r="I736" s="1172"/>
      <c r="J736" s="1172">
        <v>20100</v>
      </c>
      <c r="K736" s="1047"/>
      <c r="L736" s="1047"/>
      <c r="M736" s="1171"/>
      <c r="N736" s="1171"/>
      <c r="O736" s="1171"/>
      <c r="P736" s="1171"/>
      <c r="Q736" s="1171"/>
      <c r="R736" s="1171"/>
      <c r="S736" s="1171"/>
      <c r="T736" s="1171"/>
      <c r="U736" s="1171"/>
      <c r="V736" s="1171">
        <f t="shared" si="777"/>
        <v>0</v>
      </c>
      <c r="W736" s="1171"/>
      <c r="X736" s="1171"/>
      <c r="Y736" s="1171"/>
      <c r="Z736" s="1171"/>
      <c r="AA736" s="1171"/>
      <c r="AB736" s="1171"/>
      <c r="AD736" s="650">
        <f t="shared" si="775"/>
        <v>0</v>
      </c>
      <c r="AI736" s="1277">
        <f>VLOOKUP(K736,'[2]ผลการเบิกจ่ายสะสม พ.ย. 66'!$C:$N,12,0)</f>
        <v>0</v>
      </c>
      <c r="AJ736" s="1274">
        <f t="shared" si="776"/>
        <v>0</v>
      </c>
    </row>
    <row r="737" spans="1:36" ht="21" customHeight="1" outlineLevel="1" x14ac:dyDescent="0.35">
      <c r="A737" s="313"/>
      <c r="B737" s="293"/>
      <c r="C737" s="944" t="s">
        <v>944</v>
      </c>
      <c r="D737" s="1168"/>
      <c r="E737" s="1171"/>
      <c r="F737" s="1171"/>
      <c r="G737" s="1171"/>
      <c r="H737" s="1171"/>
      <c r="I737" s="1172"/>
      <c r="J737" s="1172">
        <v>15499.98</v>
      </c>
      <c r="K737" s="1047"/>
      <c r="L737" s="1047"/>
      <c r="M737" s="1171"/>
      <c r="N737" s="1171"/>
      <c r="O737" s="1171"/>
      <c r="P737" s="1171"/>
      <c r="Q737" s="1171"/>
      <c r="R737" s="1171"/>
      <c r="S737" s="1171"/>
      <c r="T737" s="1171"/>
      <c r="U737" s="1171"/>
      <c r="V737" s="1171">
        <f t="shared" si="777"/>
        <v>0</v>
      </c>
      <c r="W737" s="1171"/>
      <c r="X737" s="1171"/>
      <c r="Y737" s="1171"/>
      <c r="Z737" s="1171"/>
      <c r="AA737" s="1171"/>
      <c r="AB737" s="1171"/>
      <c r="AD737" s="650">
        <f t="shared" si="775"/>
        <v>0</v>
      </c>
      <c r="AI737" s="1277">
        <f>VLOOKUP(K737,'[2]ผลการเบิกจ่ายสะสม พ.ย. 66'!$C:$N,12,0)</f>
        <v>0</v>
      </c>
      <c r="AJ737" s="1274">
        <f t="shared" si="776"/>
        <v>0</v>
      </c>
    </row>
    <row r="738" spans="1:36" ht="21" customHeight="1" outlineLevel="1" x14ac:dyDescent="0.35">
      <c r="A738" s="313"/>
      <c r="B738" s="293"/>
      <c r="C738" s="944" t="s">
        <v>945</v>
      </c>
      <c r="D738" s="1168"/>
      <c r="E738" s="1171"/>
      <c r="F738" s="1171"/>
      <c r="G738" s="1171"/>
      <c r="H738" s="1171"/>
      <c r="I738" s="1172"/>
      <c r="J738" s="1172">
        <v>15000</v>
      </c>
      <c r="K738" s="1047"/>
      <c r="L738" s="1047"/>
      <c r="M738" s="1171"/>
      <c r="N738" s="1171"/>
      <c r="O738" s="1171"/>
      <c r="P738" s="1171"/>
      <c r="Q738" s="1171"/>
      <c r="R738" s="1171"/>
      <c r="S738" s="1171"/>
      <c r="T738" s="1171"/>
      <c r="U738" s="1171"/>
      <c r="V738" s="1171">
        <f t="shared" si="777"/>
        <v>0</v>
      </c>
      <c r="W738" s="1171"/>
      <c r="X738" s="1171"/>
      <c r="Y738" s="1171"/>
      <c r="Z738" s="1171"/>
      <c r="AA738" s="1171"/>
      <c r="AB738" s="1171"/>
      <c r="AD738" s="650">
        <f t="shared" si="775"/>
        <v>0</v>
      </c>
      <c r="AI738" s="1277">
        <f>VLOOKUP(K738,'[2]ผลการเบิกจ่ายสะสม พ.ย. 66'!$C:$N,12,0)</f>
        <v>0</v>
      </c>
      <c r="AJ738" s="1274">
        <f t="shared" si="776"/>
        <v>0</v>
      </c>
    </row>
    <row r="739" spans="1:36" ht="21" customHeight="1" outlineLevel="1" x14ac:dyDescent="0.35">
      <c r="A739" s="313"/>
      <c r="B739" s="293"/>
      <c r="C739" s="944" t="s">
        <v>946</v>
      </c>
      <c r="D739" s="1168"/>
      <c r="E739" s="1171"/>
      <c r="F739" s="1171"/>
      <c r="G739" s="1171"/>
      <c r="H739" s="1171"/>
      <c r="I739" s="1172"/>
      <c r="J739" s="1172">
        <v>140000</v>
      </c>
      <c r="K739" s="1047"/>
      <c r="L739" s="1047"/>
      <c r="M739" s="1171"/>
      <c r="N739" s="1171"/>
      <c r="O739" s="1171"/>
      <c r="P739" s="1171"/>
      <c r="Q739" s="1171"/>
      <c r="R739" s="1171"/>
      <c r="S739" s="1171"/>
      <c r="T739" s="1171"/>
      <c r="U739" s="1171"/>
      <c r="V739" s="1171">
        <f t="shared" si="777"/>
        <v>0</v>
      </c>
      <c r="W739" s="1171"/>
      <c r="X739" s="1171"/>
      <c r="Y739" s="1171"/>
      <c r="Z739" s="1171"/>
      <c r="AA739" s="1171"/>
      <c r="AB739" s="1171"/>
      <c r="AD739" s="650">
        <f t="shared" si="775"/>
        <v>0</v>
      </c>
      <c r="AI739" s="1277">
        <f>VLOOKUP(K739,'[2]ผลการเบิกจ่ายสะสม พ.ย. 66'!$C:$N,12,0)</f>
        <v>0</v>
      </c>
      <c r="AJ739" s="1274">
        <f t="shared" si="776"/>
        <v>0</v>
      </c>
    </row>
    <row r="740" spans="1:36" ht="21" customHeight="1" outlineLevel="1" x14ac:dyDescent="0.35">
      <c r="A740" s="313"/>
      <c r="B740" s="293"/>
      <c r="C740" s="944" t="s">
        <v>947</v>
      </c>
      <c r="D740" s="1168"/>
      <c r="E740" s="1171"/>
      <c r="F740" s="1171"/>
      <c r="G740" s="1171"/>
      <c r="H740" s="1171"/>
      <c r="I740" s="1172"/>
      <c r="J740" s="1172">
        <v>9900</v>
      </c>
      <c r="K740" s="1047"/>
      <c r="L740" s="1047"/>
      <c r="M740" s="1171"/>
      <c r="N740" s="1171"/>
      <c r="O740" s="1171"/>
      <c r="P740" s="1171"/>
      <c r="Q740" s="1171"/>
      <c r="R740" s="1171"/>
      <c r="S740" s="1171"/>
      <c r="T740" s="1171"/>
      <c r="U740" s="1171"/>
      <c r="V740" s="1171">
        <f t="shared" si="777"/>
        <v>0</v>
      </c>
      <c r="W740" s="1171"/>
      <c r="X740" s="1171"/>
      <c r="Y740" s="1171"/>
      <c r="Z740" s="1171"/>
      <c r="AA740" s="1171"/>
      <c r="AB740" s="1171"/>
      <c r="AD740" s="650">
        <f t="shared" si="775"/>
        <v>0</v>
      </c>
      <c r="AI740" s="1277">
        <f>VLOOKUP(K740,'[2]ผลการเบิกจ่ายสะสม พ.ย. 66'!$C:$N,12,0)</f>
        <v>0</v>
      </c>
      <c r="AJ740" s="1274">
        <f t="shared" si="776"/>
        <v>0</v>
      </c>
    </row>
    <row r="741" spans="1:36" ht="21" customHeight="1" outlineLevel="1" x14ac:dyDescent="0.35">
      <c r="A741" s="313"/>
      <c r="B741" s="293"/>
      <c r="C741" s="943" t="s">
        <v>51</v>
      </c>
      <c r="D741" s="1168"/>
      <c r="E741" s="1171"/>
      <c r="F741" s="1171"/>
      <c r="G741" s="1171"/>
      <c r="H741" s="1171"/>
      <c r="I741" s="1172"/>
      <c r="J741" s="1172"/>
      <c r="K741" s="1047"/>
      <c r="L741" s="1047"/>
      <c r="M741" s="1171"/>
      <c r="N741" s="1171"/>
      <c r="O741" s="1171"/>
      <c r="P741" s="1171"/>
      <c r="Q741" s="1171"/>
      <c r="R741" s="1171"/>
      <c r="S741" s="1171"/>
      <c r="T741" s="1171"/>
      <c r="U741" s="1171"/>
      <c r="V741" s="1171">
        <f t="shared" si="777"/>
        <v>0</v>
      </c>
      <c r="W741" s="1171"/>
      <c r="X741" s="1171"/>
      <c r="Y741" s="1171"/>
      <c r="Z741" s="1171"/>
      <c r="AA741" s="1171"/>
      <c r="AB741" s="1171"/>
      <c r="AD741" s="650">
        <f t="shared" si="775"/>
        <v>0</v>
      </c>
      <c r="AI741" s="1277">
        <f>VLOOKUP(K741,'[2]ผลการเบิกจ่ายสะสม พ.ย. 66'!$C:$N,12,0)</f>
        <v>0</v>
      </c>
      <c r="AJ741" s="1274">
        <f t="shared" si="776"/>
        <v>0</v>
      </c>
    </row>
    <row r="742" spans="1:36" ht="21" customHeight="1" outlineLevel="1" x14ac:dyDescent="0.35">
      <c r="A742" s="313"/>
      <c r="B742" s="293"/>
      <c r="C742" s="944" t="s">
        <v>948</v>
      </c>
      <c r="D742" s="1168"/>
      <c r="E742" s="1171"/>
      <c r="F742" s="1171"/>
      <c r="G742" s="1171"/>
      <c r="H742" s="1171"/>
      <c r="I742" s="1172"/>
      <c r="J742" s="1172">
        <v>406000</v>
      </c>
      <c r="K742" s="1047"/>
      <c r="L742" s="1047"/>
      <c r="M742" s="1171"/>
      <c r="N742" s="1171"/>
      <c r="O742" s="1171"/>
      <c r="P742" s="1171"/>
      <c r="Q742" s="1171"/>
      <c r="R742" s="1171"/>
      <c r="S742" s="1171"/>
      <c r="T742" s="1171"/>
      <c r="U742" s="1171"/>
      <c r="V742" s="1171">
        <f t="shared" si="777"/>
        <v>0</v>
      </c>
      <c r="W742" s="1171"/>
      <c r="X742" s="1171"/>
      <c r="Y742" s="1171"/>
      <c r="Z742" s="1171"/>
      <c r="AA742" s="1171"/>
      <c r="AB742" s="1171"/>
      <c r="AD742" s="650">
        <f t="shared" si="775"/>
        <v>0</v>
      </c>
      <c r="AI742" s="1277">
        <f>VLOOKUP(K742,'[2]ผลการเบิกจ่ายสะสม พ.ย. 66'!$C:$N,12,0)</f>
        <v>0</v>
      </c>
      <c r="AJ742" s="1274">
        <f t="shared" si="776"/>
        <v>0</v>
      </c>
    </row>
    <row r="743" spans="1:36" ht="21" customHeight="1" outlineLevel="1" x14ac:dyDescent="0.35">
      <c r="A743" s="313"/>
      <c r="B743" s="293"/>
      <c r="C743" s="944" t="s">
        <v>949</v>
      </c>
      <c r="D743" s="1168"/>
      <c r="E743" s="1171"/>
      <c r="F743" s="1171"/>
      <c r="G743" s="1171"/>
      <c r="H743" s="1171"/>
      <c r="I743" s="1172"/>
      <c r="J743" s="1172">
        <v>120000</v>
      </c>
      <c r="K743" s="1047"/>
      <c r="L743" s="1047"/>
      <c r="M743" s="1171"/>
      <c r="N743" s="1171"/>
      <c r="O743" s="1171"/>
      <c r="P743" s="1171"/>
      <c r="Q743" s="1171"/>
      <c r="R743" s="1171"/>
      <c r="S743" s="1171"/>
      <c r="T743" s="1171"/>
      <c r="U743" s="1171"/>
      <c r="V743" s="1171">
        <f t="shared" si="777"/>
        <v>0</v>
      </c>
      <c r="W743" s="1171"/>
      <c r="X743" s="1171"/>
      <c r="Y743" s="1171"/>
      <c r="Z743" s="1171"/>
      <c r="AA743" s="1171"/>
      <c r="AB743" s="1171"/>
      <c r="AD743" s="650">
        <f t="shared" si="775"/>
        <v>0</v>
      </c>
      <c r="AI743" s="1277">
        <f>VLOOKUP(K743,'[2]ผลการเบิกจ่ายสะสม พ.ย. 66'!$C:$N,12,0)</f>
        <v>0</v>
      </c>
      <c r="AJ743" s="1274">
        <f t="shared" si="776"/>
        <v>0</v>
      </c>
    </row>
    <row r="744" spans="1:36" ht="21" customHeight="1" outlineLevel="1" x14ac:dyDescent="0.35">
      <c r="A744" s="313"/>
      <c r="B744" s="293"/>
      <c r="C744" s="944" t="s">
        <v>950</v>
      </c>
      <c r="D744" s="1168"/>
      <c r="E744" s="1171"/>
      <c r="F744" s="1171"/>
      <c r="G744" s="1171"/>
      <c r="H744" s="1171"/>
      <c r="I744" s="1172"/>
      <c r="J744" s="1172">
        <v>480000</v>
      </c>
      <c r="K744" s="1047"/>
      <c r="L744" s="1047"/>
      <c r="M744" s="1171"/>
      <c r="N744" s="1171"/>
      <c r="O744" s="1171"/>
      <c r="P744" s="1171"/>
      <c r="Q744" s="1171"/>
      <c r="R744" s="1171"/>
      <c r="S744" s="1171"/>
      <c r="T744" s="1171"/>
      <c r="U744" s="1171"/>
      <c r="V744" s="1171">
        <f t="shared" si="777"/>
        <v>0</v>
      </c>
      <c r="W744" s="1171"/>
      <c r="X744" s="1171"/>
      <c r="Y744" s="1171"/>
      <c r="Z744" s="1171"/>
      <c r="AA744" s="1171"/>
      <c r="AB744" s="1171"/>
      <c r="AD744" s="650">
        <f t="shared" si="775"/>
        <v>0</v>
      </c>
      <c r="AI744" s="1277">
        <f>VLOOKUP(K744,'[2]ผลการเบิกจ่ายสะสม พ.ย. 66'!$C:$N,12,0)</f>
        <v>0</v>
      </c>
      <c r="AJ744" s="1274">
        <f t="shared" si="776"/>
        <v>0</v>
      </c>
    </row>
    <row r="745" spans="1:36" ht="21" customHeight="1" outlineLevel="1" x14ac:dyDescent="0.35">
      <c r="A745" s="313"/>
      <c r="B745" s="293"/>
      <c r="C745" s="943" t="s">
        <v>62</v>
      </c>
      <c r="D745" s="1168"/>
      <c r="E745" s="1171"/>
      <c r="F745" s="1171"/>
      <c r="G745" s="1171"/>
      <c r="H745" s="1171"/>
      <c r="I745" s="1172"/>
      <c r="J745" s="1172"/>
      <c r="K745" s="1047"/>
      <c r="L745" s="1047"/>
      <c r="M745" s="1171"/>
      <c r="N745" s="1171"/>
      <c r="O745" s="1171"/>
      <c r="P745" s="1171"/>
      <c r="Q745" s="1171"/>
      <c r="R745" s="1171"/>
      <c r="S745" s="1171"/>
      <c r="T745" s="1171"/>
      <c r="U745" s="1171"/>
      <c r="V745" s="1171">
        <f t="shared" si="777"/>
        <v>0</v>
      </c>
      <c r="W745" s="1171"/>
      <c r="X745" s="1171"/>
      <c r="Y745" s="1171"/>
      <c r="Z745" s="1171"/>
      <c r="AA745" s="1171"/>
      <c r="AB745" s="1171"/>
      <c r="AD745" s="650">
        <f t="shared" si="775"/>
        <v>0</v>
      </c>
      <c r="AI745" s="1277">
        <f>VLOOKUP(K745,'[2]ผลการเบิกจ่ายสะสม พ.ย. 66'!$C:$N,12,0)</f>
        <v>0</v>
      </c>
      <c r="AJ745" s="1274">
        <f t="shared" si="776"/>
        <v>0</v>
      </c>
    </row>
    <row r="746" spans="1:36" ht="21" customHeight="1" outlineLevel="1" x14ac:dyDescent="0.35">
      <c r="A746" s="313"/>
      <c r="B746" s="293"/>
      <c r="C746" s="944" t="s">
        <v>951</v>
      </c>
      <c r="D746" s="1168"/>
      <c r="E746" s="1171"/>
      <c r="F746" s="1171"/>
      <c r="G746" s="1171"/>
      <c r="H746" s="1171"/>
      <c r="I746" s="1172"/>
      <c r="J746" s="1172">
        <v>42700</v>
      </c>
      <c r="K746" s="1047"/>
      <c r="L746" s="1047"/>
      <c r="M746" s="1171"/>
      <c r="N746" s="1171"/>
      <c r="O746" s="1171"/>
      <c r="P746" s="1171"/>
      <c r="Q746" s="1171"/>
      <c r="R746" s="1171"/>
      <c r="S746" s="1171"/>
      <c r="T746" s="1171"/>
      <c r="U746" s="1171"/>
      <c r="V746" s="1171">
        <f t="shared" si="777"/>
        <v>0</v>
      </c>
      <c r="W746" s="1171"/>
      <c r="X746" s="1171"/>
      <c r="Y746" s="1171"/>
      <c r="Z746" s="1171"/>
      <c r="AA746" s="1171"/>
      <c r="AB746" s="1171"/>
      <c r="AD746" s="650">
        <f t="shared" si="775"/>
        <v>0</v>
      </c>
      <c r="AI746" s="1277">
        <f>VLOOKUP(K746,'[2]ผลการเบิกจ่ายสะสม พ.ย. 66'!$C:$N,12,0)</f>
        <v>0</v>
      </c>
      <c r="AJ746" s="1274">
        <f t="shared" si="776"/>
        <v>0</v>
      </c>
    </row>
    <row r="747" spans="1:36" ht="21" customHeight="1" outlineLevel="1" x14ac:dyDescent="0.35">
      <c r="A747" s="313"/>
      <c r="B747" s="293"/>
      <c r="C747" s="945" t="s">
        <v>61</v>
      </c>
      <c r="D747" s="1168"/>
      <c r="E747" s="1171"/>
      <c r="F747" s="1171"/>
      <c r="G747" s="1171"/>
      <c r="H747" s="1171"/>
      <c r="I747" s="1172"/>
      <c r="J747" s="1172"/>
      <c r="K747" s="1047"/>
      <c r="L747" s="1047"/>
      <c r="M747" s="1171"/>
      <c r="N747" s="1171"/>
      <c r="O747" s="1171"/>
      <c r="P747" s="1171"/>
      <c r="Q747" s="1171"/>
      <c r="R747" s="1171"/>
      <c r="S747" s="1171"/>
      <c r="T747" s="1171"/>
      <c r="U747" s="1171"/>
      <c r="V747" s="1171">
        <f t="shared" si="777"/>
        <v>0</v>
      </c>
      <c r="W747" s="1171"/>
      <c r="X747" s="1171"/>
      <c r="Y747" s="1171"/>
      <c r="Z747" s="1171"/>
      <c r="AA747" s="1171"/>
      <c r="AB747" s="1171"/>
      <c r="AD747" s="650">
        <f t="shared" si="775"/>
        <v>0</v>
      </c>
      <c r="AI747" s="1277">
        <f>VLOOKUP(K747,'[2]ผลการเบิกจ่ายสะสม พ.ย. 66'!$C:$N,12,0)</f>
        <v>0</v>
      </c>
      <c r="AJ747" s="1274">
        <f t="shared" si="776"/>
        <v>0</v>
      </c>
    </row>
    <row r="748" spans="1:36" ht="21" customHeight="1" outlineLevel="1" x14ac:dyDescent="0.35">
      <c r="A748" s="313"/>
      <c r="B748" s="293"/>
      <c r="C748" s="944" t="s">
        <v>952</v>
      </c>
      <c r="D748" s="1168"/>
      <c r="E748" s="1171"/>
      <c r="F748" s="1171"/>
      <c r="G748" s="1171"/>
      <c r="H748" s="1171"/>
      <c r="I748" s="1172"/>
      <c r="J748" s="1172">
        <v>7000</v>
      </c>
      <c r="K748" s="1047"/>
      <c r="L748" s="1047"/>
      <c r="M748" s="1171"/>
      <c r="N748" s="1171"/>
      <c r="O748" s="1171"/>
      <c r="P748" s="1171"/>
      <c r="Q748" s="1171"/>
      <c r="R748" s="1171"/>
      <c r="S748" s="1171"/>
      <c r="T748" s="1171"/>
      <c r="U748" s="1171"/>
      <c r="V748" s="1171">
        <f t="shared" si="777"/>
        <v>0</v>
      </c>
      <c r="W748" s="1171"/>
      <c r="X748" s="1171"/>
      <c r="Y748" s="1171"/>
      <c r="Z748" s="1171"/>
      <c r="AA748" s="1171"/>
      <c r="AB748" s="1171"/>
      <c r="AD748" s="650">
        <f t="shared" si="775"/>
        <v>0</v>
      </c>
      <c r="AI748" s="1277">
        <f>VLOOKUP(K748,'[2]ผลการเบิกจ่ายสะสม พ.ย. 66'!$C:$N,12,0)</f>
        <v>0</v>
      </c>
      <c r="AJ748" s="1274">
        <f t="shared" si="776"/>
        <v>0</v>
      </c>
    </row>
    <row r="749" spans="1:36" ht="21" customHeight="1" outlineLevel="1" x14ac:dyDescent="0.35">
      <c r="A749" s="313"/>
      <c r="B749" s="293"/>
      <c r="C749" s="944" t="s">
        <v>953</v>
      </c>
      <c r="D749" s="1168"/>
      <c r="E749" s="1171"/>
      <c r="F749" s="1171"/>
      <c r="G749" s="1171"/>
      <c r="H749" s="1171"/>
      <c r="I749" s="1172"/>
      <c r="J749" s="1172">
        <v>10200</v>
      </c>
      <c r="K749" s="1047"/>
      <c r="L749" s="1047"/>
      <c r="M749" s="1171"/>
      <c r="N749" s="1171"/>
      <c r="O749" s="1171"/>
      <c r="P749" s="1171"/>
      <c r="Q749" s="1171"/>
      <c r="R749" s="1171"/>
      <c r="S749" s="1171"/>
      <c r="T749" s="1171"/>
      <c r="U749" s="1171"/>
      <c r="V749" s="1171">
        <f t="shared" si="777"/>
        <v>0</v>
      </c>
      <c r="W749" s="1171"/>
      <c r="X749" s="1171"/>
      <c r="Y749" s="1171"/>
      <c r="Z749" s="1171"/>
      <c r="AA749" s="1171"/>
      <c r="AB749" s="1171"/>
      <c r="AD749" s="650">
        <f t="shared" si="775"/>
        <v>0</v>
      </c>
      <c r="AI749" s="1277">
        <f>VLOOKUP(K749,'[2]ผลการเบิกจ่ายสะสม พ.ย. 66'!$C:$N,12,0)</f>
        <v>0</v>
      </c>
      <c r="AJ749" s="1274">
        <f t="shared" si="776"/>
        <v>0</v>
      </c>
    </row>
    <row r="750" spans="1:36" ht="21" customHeight="1" outlineLevel="1" x14ac:dyDescent="0.35">
      <c r="A750" s="313"/>
      <c r="B750" s="293"/>
      <c r="C750" s="944" t="s">
        <v>954</v>
      </c>
      <c r="D750" s="1168"/>
      <c r="E750" s="1171"/>
      <c r="F750" s="1171"/>
      <c r="G750" s="1171"/>
      <c r="H750" s="1171"/>
      <c r="I750" s="1172"/>
      <c r="J750" s="1172">
        <v>24000</v>
      </c>
      <c r="K750" s="1047"/>
      <c r="L750" s="1047"/>
      <c r="M750" s="1171"/>
      <c r="N750" s="1171"/>
      <c r="O750" s="1171"/>
      <c r="P750" s="1171"/>
      <c r="Q750" s="1171"/>
      <c r="R750" s="1171"/>
      <c r="S750" s="1171"/>
      <c r="T750" s="1171"/>
      <c r="U750" s="1171"/>
      <c r="V750" s="1171">
        <f t="shared" si="777"/>
        <v>0</v>
      </c>
      <c r="W750" s="1171"/>
      <c r="X750" s="1171"/>
      <c r="Y750" s="1171"/>
      <c r="Z750" s="1171"/>
      <c r="AA750" s="1171"/>
      <c r="AB750" s="1171"/>
      <c r="AD750" s="650">
        <f t="shared" si="775"/>
        <v>0</v>
      </c>
      <c r="AI750" s="1277">
        <f>VLOOKUP(K750,'[2]ผลการเบิกจ่ายสะสม พ.ย. 66'!$C:$N,12,0)</f>
        <v>0</v>
      </c>
      <c r="AJ750" s="1274">
        <f t="shared" si="776"/>
        <v>0</v>
      </c>
    </row>
    <row r="751" spans="1:36" ht="21" customHeight="1" outlineLevel="1" x14ac:dyDescent="0.35">
      <c r="A751" s="313"/>
      <c r="B751" s="293"/>
      <c r="C751" s="944" t="s">
        <v>955</v>
      </c>
      <c r="D751" s="1168"/>
      <c r="E751" s="1171"/>
      <c r="F751" s="1171"/>
      <c r="G751" s="1171"/>
      <c r="H751" s="1171"/>
      <c r="I751" s="1172"/>
      <c r="J751" s="1172">
        <v>61000</v>
      </c>
      <c r="K751" s="1047"/>
      <c r="L751" s="1047"/>
      <c r="M751" s="1171"/>
      <c r="N751" s="1171"/>
      <c r="O751" s="1171"/>
      <c r="P751" s="1171"/>
      <c r="Q751" s="1171"/>
      <c r="R751" s="1171"/>
      <c r="S751" s="1171"/>
      <c r="T751" s="1171"/>
      <c r="U751" s="1171"/>
      <c r="V751" s="1171">
        <f t="shared" si="777"/>
        <v>0</v>
      </c>
      <c r="W751" s="1171"/>
      <c r="X751" s="1171"/>
      <c r="Y751" s="1171"/>
      <c r="Z751" s="1171"/>
      <c r="AA751" s="1171"/>
      <c r="AB751" s="1171"/>
      <c r="AD751" s="650">
        <f t="shared" si="775"/>
        <v>0</v>
      </c>
      <c r="AI751" s="1277">
        <f>VLOOKUP(K751,'[2]ผลการเบิกจ่ายสะสม พ.ย. 66'!$C:$N,12,0)</f>
        <v>0</v>
      </c>
      <c r="AJ751" s="1274">
        <f t="shared" si="776"/>
        <v>0</v>
      </c>
    </row>
    <row r="752" spans="1:36" ht="21" customHeight="1" outlineLevel="1" x14ac:dyDescent="0.35">
      <c r="A752" s="313"/>
      <c r="B752" s="293"/>
      <c r="C752" s="943" t="s">
        <v>63</v>
      </c>
      <c r="D752" s="1168"/>
      <c r="E752" s="1171"/>
      <c r="F752" s="1171"/>
      <c r="G752" s="1171"/>
      <c r="H752" s="1171"/>
      <c r="I752" s="1172"/>
      <c r="J752" s="1172"/>
      <c r="K752" s="1047"/>
      <c r="L752" s="1047"/>
      <c r="M752" s="1171"/>
      <c r="N752" s="1171"/>
      <c r="O752" s="1171"/>
      <c r="P752" s="1171"/>
      <c r="Q752" s="1171"/>
      <c r="R752" s="1171"/>
      <c r="S752" s="1171"/>
      <c r="T752" s="1171"/>
      <c r="U752" s="1171"/>
      <c r="V752" s="1171">
        <f t="shared" si="777"/>
        <v>0</v>
      </c>
      <c r="W752" s="1171"/>
      <c r="X752" s="1171"/>
      <c r="Y752" s="1171"/>
      <c r="Z752" s="1171"/>
      <c r="AA752" s="1171"/>
      <c r="AB752" s="1171"/>
      <c r="AD752" s="650">
        <f t="shared" si="775"/>
        <v>0</v>
      </c>
      <c r="AI752" s="1277">
        <f>VLOOKUP(K752,'[2]ผลการเบิกจ่ายสะสม พ.ย. 66'!$C:$N,12,0)</f>
        <v>0</v>
      </c>
      <c r="AJ752" s="1274">
        <f t="shared" si="776"/>
        <v>0</v>
      </c>
    </row>
    <row r="753" spans="1:36" ht="21" customHeight="1" outlineLevel="1" x14ac:dyDescent="0.35">
      <c r="A753" s="313"/>
      <c r="B753" s="293"/>
      <c r="C753" s="944" t="s">
        <v>956</v>
      </c>
      <c r="D753" s="1168"/>
      <c r="E753" s="1171"/>
      <c r="F753" s="1171"/>
      <c r="G753" s="1171"/>
      <c r="H753" s="1171"/>
      <c r="I753" s="1172"/>
      <c r="J753" s="1172">
        <v>66600</v>
      </c>
      <c r="K753" s="1047"/>
      <c r="L753" s="1047"/>
      <c r="M753" s="1171"/>
      <c r="N753" s="1171"/>
      <c r="O753" s="1171"/>
      <c r="P753" s="1171"/>
      <c r="Q753" s="1171"/>
      <c r="R753" s="1171"/>
      <c r="S753" s="1171"/>
      <c r="T753" s="1171"/>
      <c r="U753" s="1171"/>
      <c r="V753" s="1171">
        <f t="shared" si="777"/>
        <v>0</v>
      </c>
      <c r="W753" s="1171"/>
      <c r="X753" s="1171"/>
      <c r="Y753" s="1171"/>
      <c r="Z753" s="1171"/>
      <c r="AA753" s="1171"/>
      <c r="AB753" s="1171"/>
      <c r="AD753" s="650">
        <f t="shared" si="775"/>
        <v>0</v>
      </c>
      <c r="AI753" s="1277">
        <f>VLOOKUP(K753,'[2]ผลการเบิกจ่ายสะสม พ.ย. 66'!$C:$N,12,0)</f>
        <v>0</v>
      </c>
      <c r="AJ753" s="1274">
        <f t="shared" si="776"/>
        <v>0</v>
      </c>
    </row>
    <row r="754" spans="1:36" ht="21" customHeight="1" outlineLevel="1" x14ac:dyDescent="0.35">
      <c r="A754" s="313"/>
      <c r="B754" s="293"/>
      <c r="C754" s="943" t="s">
        <v>49</v>
      </c>
      <c r="D754" s="1168"/>
      <c r="E754" s="1171"/>
      <c r="F754" s="1171"/>
      <c r="G754" s="1171"/>
      <c r="H754" s="1171"/>
      <c r="I754" s="1172"/>
      <c r="J754" s="1172"/>
      <c r="K754" s="1047"/>
      <c r="L754" s="1047"/>
      <c r="M754" s="1171"/>
      <c r="N754" s="1171"/>
      <c r="O754" s="1171"/>
      <c r="P754" s="1171"/>
      <c r="Q754" s="1171"/>
      <c r="R754" s="1171"/>
      <c r="S754" s="1171"/>
      <c r="T754" s="1171"/>
      <c r="U754" s="1171"/>
      <c r="V754" s="1171">
        <f t="shared" si="777"/>
        <v>0</v>
      </c>
      <c r="W754" s="1171"/>
      <c r="X754" s="1171"/>
      <c r="Y754" s="1171"/>
      <c r="Z754" s="1171"/>
      <c r="AA754" s="1171"/>
      <c r="AB754" s="1171"/>
      <c r="AD754" s="650">
        <f t="shared" si="775"/>
        <v>0</v>
      </c>
      <c r="AI754" s="1277">
        <f>VLOOKUP(K754,'[2]ผลการเบิกจ่ายสะสม พ.ย. 66'!$C:$N,12,0)</f>
        <v>0</v>
      </c>
      <c r="AJ754" s="1274">
        <f t="shared" si="776"/>
        <v>0</v>
      </c>
    </row>
    <row r="755" spans="1:36" ht="21" customHeight="1" outlineLevel="1" x14ac:dyDescent="0.35">
      <c r="A755" s="313"/>
      <c r="B755" s="293"/>
      <c r="C755" s="944" t="s">
        <v>957</v>
      </c>
      <c r="D755" s="1168"/>
      <c r="E755" s="1171"/>
      <c r="F755" s="1171"/>
      <c r="G755" s="1171"/>
      <c r="H755" s="1171"/>
      <c r="I755" s="1172"/>
      <c r="J755" s="1172">
        <v>7000</v>
      </c>
      <c r="K755" s="1047"/>
      <c r="L755" s="1047"/>
      <c r="M755" s="1171"/>
      <c r="N755" s="1171"/>
      <c r="O755" s="1171"/>
      <c r="P755" s="1171"/>
      <c r="Q755" s="1171"/>
      <c r="R755" s="1171"/>
      <c r="S755" s="1171"/>
      <c r="T755" s="1171"/>
      <c r="U755" s="1171"/>
      <c r="V755" s="1171">
        <f t="shared" si="777"/>
        <v>0</v>
      </c>
      <c r="W755" s="1171"/>
      <c r="X755" s="1171"/>
      <c r="Y755" s="1171"/>
      <c r="Z755" s="1171"/>
      <c r="AA755" s="1171"/>
      <c r="AB755" s="1171"/>
      <c r="AD755" s="650">
        <f t="shared" si="775"/>
        <v>0</v>
      </c>
      <c r="AI755" s="1277">
        <f>VLOOKUP(K755,'[2]ผลการเบิกจ่ายสะสม พ.ย. 66'!$C:$N,12,0)</f>
        <v>0</v>
      </c>
      <c r="AJ755" s="1274">
        <f t="shared" si="776"/>
        <v>0</v>
      </c>
    </row>
    <row r="756" spans="1:36" ht="21" customHeight="1" outlineLevel="1" x14ac:dyDescent="0.35">
      <c r="A756" s="313"/>
      <c r="B756" s="293"/>
      <c r="C756" s="944" t="s">
        <v>958</v>
      </c>
      <c r="D756" s="1168"/>
      <c r="E756" s="1171"/>
      <c r="F756" s="1171"/>
      <c r="G756" s="1171"/>
      <c r="H756" s="1171"/>
      <c r="I756" s="1172"/>
      <c r="J756" s="1172">
        <v>144100</v>
      </c>
      <c r="K756" s="1047"/>
      <c r="L756" s="1047"/>
      <c r="M756" s="1171"/>
      <c r="N756" s="1171"/>
      <c r="O756" s="1171"/>
      <c r="P756" s="1171"/>
      <c r="Q756" s="1171"/>
      <c r="R756" s="1171"/>
      <c r="S756" s="1171"/>
      <c r="T756" s="1171"/>
      <c r="U756" s="1171"/>
      <c r="V756" s="1171">
        <f t="shared" si="777"/>
        <v>0</v>
      </c>
      <c r="W756" s="1171"/>
      <c r="X756" s="1171"/>
      <c r="Y756" s="1171"/>
      <c r="Z756" s="1171"/>
      <c r="AA756" s="1171"/>
      <c r="AB756" s="1171"/>
      <c r="AD756" s="650">
        <f t="shared" si="775"/>
        <v>0</v>
      </c>
      <c r="AI756" s="1277">
        <f>VLOOKUP(K756,'[2]ผลการเบิกจ่ายสะสม พ.ย. 66'!$C:$N,12,0)</f>
        <v>0</v>
      </c>
      <c r="AJ756" s="1274">
        <f t="shared" si="776"/>
        <v>0</v>
      </c>
    </row>
    <row r="757" spans="1:36" ht="21" customHeight="1" outlineLevel="1" x14ac:dyDescent="0.35">
      <c r="A757" s="313"/>
      <c r="B757" s="293"/>
      <c r="C757" s="943" t="s">
        <v>43</v>
      </c>
      <c r="D757" s="1168"/>
      <c r="E757" s="1171"/>
      <c r="F757" s="1171"/>
      <c r="G757" s="1171"/>
      <c r="H757" s="1171"/>
      <c r="I757" s="1172"/>
      <c r="J757" s="1172"/>
      <c r="K757" s="1047"/>
      <c r="L757" s="1047"/>
      <c r="M757" s="1171"/>
      <c r="N757" s="1171"/>
      <c r="O757" s="1171"/>
      <c r="P757" s="1171"/>
      <c r="Q757" s="1171"/>
      <c r="R757" s="1171"/>
      <c r="S757" s="1171"/>
      <c r="T757" s="1171"/>
      <c r="U757" s="1171"/>
      <c r="V757" s="1171">
        <f t="shared" si="777"/>
        <v>0</v>
      </c>
      <c r="W757" s="1171"/>
      <c r="X757" s="1171"/>
      <c r="Y757" s="1171"/>
      <c r="Z757" s="1171"/>
      <c r="AA757" s="1171"/>
      <c r="AB757" s="1171"/>
      <c r="AD757" s="650">
        <f t="shared" si="775"/>
        <v>0</v>
      </c>
      <c r="AI757" s="1277">
        <f>VLOOKUP(K757,'[2]ผลการเบิกจ่ายสะสม พ.ย. 66'!$C:$N,12,0)</f>
        <v>0</v>
      </c>
      <c r="AJ757" s="1274">
        <f t="shared" si="776"/>
        <v>0</v>
      </c>
    </row>
    <row r="758" spans="1:36" ht="21" customHeight="1" outlineLevel="1" x14ac:dyDescent="0.35">
      <c r="A758" s="313"/>
      <c r="B758" s="293"/>
      <c r="C758" s="944" t="s">
        <v>959</v>
      </c>
      <c r="D758" s="1168"/>
      <c r="E758" s="1171"/>
      <c r="F758" s="1171"/>
      <c r="G758" s="1171"/>
      <c r="H758" s="1171"/>
      <c r="I758" s="1172"/>
      <c r="J758" s="1172">
        <v>481500</v>
      </c>
      <c r="K758" s="1047"/>
      <c r="L758" s="1047"/>
      <c r="M758" s="1171"/>
      <c r="N758" s="1171"/>
      <c r="O758" s="1171"/>
      <c r="P758" s="1171"/>
      <c r="Q758" s="1171"/>
      <c r="R758" s="1171"/>
      <c r="S758" s="1171"/>
      <c r="T758" s="1171"/>
      <c r="U758" s="1171"/>
      <c r="V758" s="1171">
        <f t="shared" si="777"/>
        <v>0</v>
      </c>
      <c r="W758" s="1171"/>
      <c r="X758" s="1171"/>
      <c r="Y758" s="1171"/>
      <c r="Z758" s="1171"/>
      <c r="AA758" s="1171"/>
      <c r="AB758" s="1171"/>
      <c r="AD758" s="650">
        <f t="shared" si="775"/>
        <v>0</v>
      </c>
      <c r="AI758" s="1277">
        <f>VLOOKUP(K758,'[2]ผลการเบิกจ่ายสะสม พ.ย. 66'!$C:$N,12,0)</f>
        <v>0</v>
      </c>
      <c r="AJ758" s="1274">
        <f t="shared" si="776"/>
        <v>0</v>
      </c>
    </row>
    <row r="759" spans="1:36" ht="21" customHeight="1" outlineLevel="1" x14ac:dyDescent="0.35">
      <c r="A759" s="313"/>
      <c r="B759" s="293"/>
      <c r="C759" s="944" t="s">
        <v>960</v>
      </c>
      <c r="D759" s="1168"/>
      <c r="E759" s="1171"/>
      <c r="F759" s="1171"/>
      <c r="G759" s="1171"/>
      <c r="H759" s="1171"/>
      <c r="I759" s="1172"/>
      <c r="J759" s="1172">
        <v>400000</v>
      </c>
      <c r="K759" s="1047"/>
      <c r="L759" s="1047"/>
      <c r="M759" s="1171"/>
      <c r="N759" s="1171"/>
      <c r="O759" s="1171"/>
      <c r="P759" s="1171"/>
      <c r="Q759" s="1171"/>
      <c r="R759" s="1171"/>
      <c r="S759" s="1171"/>
      <c r="T759" s="1171"/>
      <c r="U759" s="1171"/>
      <c r="V759" s="1171">
        <f t="shared" si="777"/>
        <v>0</v>
      </c>
      <c r="W759" s="1171"/>
      <c r="X759" s="1171"/>
      <c r="Y759" s="1171"/>
      <c r="Z759" s="1171"/>
      <c r="AA759" s="1171"/>
      <c r="AB759" s="1171"/>
      <c r="AD759" s="650">
        <f t="shared" si="775"/>
        <v>0</v>
      </c>
      <c r="AI759" s="1277">
        <f>VLOOKUP(K759,'[2]ผลการเบิกจ่ายสะสม พ.ย. 66'!$C:$N,12,0)</f>
        <v>0</v>
      </c>
      <c r="AJ759" s="1274">
        <f t="shared" si="776"/>
        <v>0</v>
      </c>
    </row>
    <row r="760" spans="1:36" ht="21" customHeight="1" outlineLevel="1" x14ac:dyDescent="0.35">
      <c r="A760" s="313"/>
      <c r="B760" s="293"/>
      <c r="C760" s="944" t="s">
        <v>961</v>
      </c>
      <c r="D760" s="1168"/>
      <c r="E760" s="1171"/>
      <c r="F760" s="1171"/>
      <c r="G760" s="1171"/>
      <c r="H760" s="1171"/>
      <c r="I760" s="1172"/>
      <c r="J760" s="1172">
        <v>40000</v>
      </c>
      <c r="K760" s="1047"/>
      <c r="L760" s="1047"/>
      <c r="M760" s="1171"/>
      <c r="N760" s="1171"/>
      <c r="O760" s="1171"/>
      <c r="P760" s="1171"/>
      <c r="Q760" s="1171"/>
      <c r="R760" s="1171"/>
      <c r="S760" s="1171"/>
      <c r="T760" s="1171"/>
      <c r="U760" s="1171"/>
      <c r="V760" s="1171">
        <f t="shared" si="777"/>
        <v>0</v>
      </c>
      <c r="W760" s="1171"/>
      <c r="X760" s="1171"/>
      <c r="Y760" s="1171"/>
      <c r="Z760" s="1171"/>
      <c r="AA760" s="1171"/>
      <c r="AB760" s="1171"/>
      <c r="AD760" s="650">
        <f t="shared" si="775"/>
        <v>0</v>
      </c>
      <c r="AI760" s="1277">
        <f>VLOOKUP(K760,'[2]ผลการเบิกจ่ายสะสม พ.ย. 66'!$C:$N,12,0)</f>
        <v>0</v>
      </c>
      <c r="AJ760" s="1274">
        <f t="shared" si="776"/>
        <v>0</v>
      </c>
    </row>
    <row r="761" spans="1:36" ht="21" customHeight="1" outlineLevel="1" x14ac:dyDescent="0.35">
      <c r="A761" s="313"/>
      <c r="B761" s="293"/>
      <c r="C761" s="944" t="s">
        <v>962</v>
      </c>
      <c r="D761" s="1168"/>
      <c r="E761" s="1171"/>
      <c r="F761" s="1171"/>
      <c r="G761" s="1171"/>
      <c r="H761" s="1171"/>
      <c r="I761" s="1172"/>
      <c r="J761" s="1172">
        <v>53000</v>
      </c>
      <c r="K761" s="1047"/>
      <c r="L761" s="1047"/>
      <c r="M761" s="1171"/>
      <c r="N761" s="1171"/>
      <c r="O761" s="1171"/>
      <c r="P761" s="1171"/>
      <c r="Q761" s="1171"/>
      <c r="R761" s="1171"/>
      <c r="S761" s="1171"/>
      <c r="T761" s="1171"/>
      <c r="U761" s="1171"/>
      <c r="V761" s="1171">
        <f t="shared" si="777"/>
        <v>0</v>
      </c>
      <c r="W761" s="1171"/>
      <c r="X761" s="1171"/>
      <c r="Y761" s="1171"/>
      <c r="Z761" s="1171"/>
      <c r="AA761" s="1171"/>
      <c r="AB761" s="1171"/>
      <c r="AD761" s="650">
        <f t="shared" si="775"/>
        <v>0</v>
      </c>
      <c r="AI761" s="1277">
        <f>VLOOKUP(K761,'[2]ผลการเบิกจ่ายสะสม พ.ย. 66'!$C:$N,12,0)</f>
        <v>0</v>
      </c>
      <c r="AJ761" s="1274">
        <f t="shared" si="776"/>
        <v>0</v>
      </c>
    </row>
    <row r="762" spans="1:36" ht="21" customHeight="1" outlineLevel="1" x14ac:dyDescent="0.35">
      <c r="A762" s="313"/>
      <c r="B762" s="293"/>
      <c r="C762" s="944" t="s">
        <v>963</v>
      </c>
      <c r="D762" s="1168"/>
      <c r="E762" s="1171"/>
      <c r="F762" s="1171"/>
      <c r="G762" s="1171"/>
      <c r="H762" s="1171"/>
      <c r="I762" s="1172"/>
      <c r="J762" s="1172">
        <v>73800</v>
      </c>
      <c r="K762" s="1047"/>
      <c r="L762" s="1047"/>
      <c r="M762" s="1171"/>
      <c r="N762" s="1171"/>
      <c r="O762" s="1171"/>
      <c r="P762" s="1171"/>
      <c r="Q762" s="1171"/>
      <c r="R762" s="1171"/>
      <c r="S762" s="1171"/>
      <c r="T762" s="1171"/>
      <c r="U762" s="1171"/>
      <c r="V762" s="1171">
        <f t="shared" si="777"/>
        <v>0</v>
      </c>
      <c r="W762" s="1171"/>
      <c r="X762" s="1171"/>
      <c r="Y762" s="1171"/>
      <c r="Z762" s="1171"/>
      <c r="AA762" s="1171"/>
      <c r="AB762" s="1171"/>
      <c r="AD762" s="650">
        <f t="shared" si="775"/>
        <v>0</v>
      </c>
      <c r="AI762" s="1277">
        <f>VLOOKUP(K762,'[2]ผลการเบิกจ่ายสะสม พ.ย. 66'!$C:$N,12,0)</f>
        <v>0</v>
      </c>
      <c r="AJ762" s="1274">
        <f t="shared" si="776"/>
        <v>0</v>
      </c>
    </row>
    <row r="763" spans="1:36" ht="21" customHeight="1" outlineLevel="1" x14ac:dyDescent="0.35">
      <c r="A763" s="313"/>
      <c r="B763" s="293"/>
      <c r="C763" s="944" t="s">
        <v>964</v>
      </c>
      <c r="D763" s="1168"/>
      <c r="E763" s="1171"/>
      <c r="F763" s="1171"/>
      <c r="G763" s="1171"/>
      <c r="H763" s="1171"/>
      <c r="I763" s="1172"/>
      <c r="J763" s="1172">
        <v>23200</v>
      </c>
      <c r="K763" s="1047"/>
      <c r="L763" s="1047"/>
      <c r="M763" s="1171"/>
      <c r="N763" s="1171"/>
      <c r="O763" s="1171"/>
      <c r="P763" s="1171"/>
      <c r="Q763" s="1171"/>
      <c r="R763" s="1171"/>
      <c r="S763" s="1171"/>
      <c r="T763" s="1171"/>
      <c r="U763" s="1171"/>
      <c r="V763" s="1171">
        <f t="shared" si="777"/>
        <v>0</v>
      </c>
      <c r="W763" s="1171"/>
      <c r="X763" s="1171"/>
      <c r="Y763" s="1171"/>
      <c r="Z763" s="1171"/>
      <c r="AA763" s="1171"/>
      <c r="AB763" s="1171"/>
      <c r="AD763" s="650">
        <f t="shared" si="775"/>
        <v>0</v>
      </c>
      <c r="AI763" s="1277">
        <f>VLOOKUP(K763,'[2]ผลการเบิกจ่ายสะสม พ.ย. 66'!$C:$N,12,0)</f>
        <v>0</v>
      </c>
      <c r="AJ763" s="1274">
        <f t="shared" si="776"/>
        <v>0</v>
      </c>
    </row>
    <row r="764" spans="1:36" ht="21" customHeight="1" outlineLevel="1" x14ac:dyDescent="0.35">
      <c r="A764" s="313"/>
      <c r="B764" s="293"/>
      <c r="C764" s="943" t="s">
        <v>965</v>
      </c>
      <c r="D764" s="1168"/>
      <c r="E764" s="1171"/>
      <c r="F764" s="1171"/>
      <c r="G764" s="1171"/>
      <c r="H764" s="1171"/>
      <c r="I764" s="1172"/>
      <c r="J764" s="1172"/>
      <c r="K764" s="1047"/>
      <c r="L764" s="1047"/>
      <c r="M764" s="1171"/>
      <c r="N764" s="1171"/>
      <c r="O764" s="1171"/>
      <c r="P764" s="1171"/>
      <c r="Q764" s="1171"/>
      <c r="R764" s="1171"/>
      <c r="S764" s="1171"/>
      <c r="T764" s="1171"/>
      <c r="U764" s="1171"/>
      <c r="V764" s="1171">
        <f t="shared" si="777"/>
        <v>0</v>
      </c>
      <c r="W764" s="1171"/>
      <c r="X764" s="1171"/>
      <c r="Y764" s="1171"/>
      <c r="Z764" s="1171"/>
      <c r="AA764" s="1171"/>
      <c r="AB764" s="1171"/>
      <c r="AD764" s="650">
        <f t="shared" si="775"/>
        <v>0</v>
      </c>
      <c r="AI764" s="1277">
        <f>VLOOKUP(K764,'[2]ผลการเบิกจ่ายสะสม พ.ย. 66'!$C:$N,12,0)</f>
        <v>0</v>
      </c>
      <c r="AJ764" s="1274">
        <f t="shared" si="776"/>
        <v>0</v>
      </c>
    </row>
    <row r="765" spans="1:36" ht="21" customHeight="1" outlineLevel="1" x14ac:dyDescent="0.35">
      <c r="A765" s="313"/>
      <c r="B765" s="293"/>
      <c r="C765" s="944" t="s">
        <v>966</v>
      </c>
      <c r="D765" s="1168"/>
      <c r="E765" s="1171"/>
      <c r="F765" s="1171"/>
      <c r="G765" s="1171"/>
      <c r="H765" s="1171"/>
      <c r="I765" s="1172"/>
      <c r="J765" s="1172">
        <v>32000</v>
      </c>
      <c r="K765" s="1047"/>
      <c r="L765" s="1047"/>
      <c r="M765" s="1171"/>
      <c r="N765" s="1171"/>
      <c r="O765" s="1171"/>
      <c r="P765" s="1171"/>
      <c r="Q765" s="1171"/>
      <c r="R765" s="1171"/>
      <c r="S765" s="1171"/>
      <c r="T765" s="1171"/>
      <c r="U765" s="1171"/>
      <c r="V765" s="1171">
        <f t="shared" si="777"/>
        <v>0</v>
      </c>
      <c r="W765" s="1171"/>
      <c r="X765" s="1171"/>
      <c r="Y765" s="1171"/>
      <c r="Z765" s="1171"/>
      <c r="AA765" s="1171"/>
      <c r="AB765" s="1171"/>
      <c r="AD765" s="650">
        <f t="shared" si="775"/>
        <v>0</v>
      </c>
      <c r="AI765" s="1277">
        <f>VLOOKUP(K765,'[2]ผลการเบิกจ่ายสะสม พ.ย. 66'!$C:$N,12,0)</f>
        <v>0</v>
      </c>
      <c r="AJ765" s="1274">
        <f t="shared" si="776"/>
        <v>0</v>
      </c>
    </row>
    <row r="766" spans="1:36" ht="21" customHeight="1" outlineLevel="1" x14ac:dyDescent="0.35">
      <c r="A766" s="313"/>
      <c r="B766" s="293"/>
      <c r="C766" s="943" t="s">
        <v>967</v>
      </c>
      <c r="D766" s="1168"/>
      <c r="E766" s="1171"/>
      <c r="F766" s="1171"/>
      <c r="G766" s="1171"/>
      <c r="H766" s="1171"/>
      <c r="I766" s="1172"/>
      <c r="J766" s="1172"/>
      <c r="K766" s="1047"/>
      <c r="L766" s="1047"/>
      <c r="M766" s="1171"/>
      <c r="N766" s="1171"/>
      <c r="O766" s="1171"/>
      <c r="P766" s="1171"/>
      <c r="Q766" s="1171"/>
      <c r="R766" s="1171"/>
      <c r="S766" s="1171"/>
      <c r="T766" s="1171"/>
      <c r="U766" s="1171"/>
      <c r="V766" s="1171">
        <f t="shared" si="777"/>
        <v>0</v>
      </c>
      <c r="W766" s="1171"/>
      <c r="X766" s="1171"/>
      <c r="Y766" s="1171"/>
      <c r="Z766" s="1171"/>
      <c r="AA766" s="1171"/>
      <c r="AB766" s="1171"/>
      <c r="AD766" s="650">
        <f t="shared" si="775"/>
        <v>0</v>
      </c>
      <c r="AI766" s="1277">
        <f>VLOOKUP(K766,'[2]ผลการเบิกจ่ายสะสม พ.ย. 66'!$C:$N,12,0)</f>
        <v>0</v>
      </c>
      <c r="AJ766" s="1274">
        <f t="shared" si="776"/>
        <v>0</v>
      </c>
    </row>
    <row r="767" spans="1:36" ht="21" customHeight="1" outlineLevel="1" x14ac:dyDescent="0.35">
      <c r="A767" s="313"/>
      <c r="B767" s="293"/>
      <c r="C767" s="944" t="s">
        <v>968</v>
      </c>
      <c r="D767" s="1168"/>
      <c r="E767" s="1171"/>
      <c r="F767" s="1171"/>
      <c r="G767" s="1171"/>
      <c r="H767" s="1171"/>
      <c r="I767" s="1172"/>
      <c r="J767" s="1172">
        <v>8100</v>
      </c>
      <c r="K767" s="1047"/>
      <c r="L767" s="1047"/>
      <c r="M767" s="1171"/>
      <c r="N767" s="1171"/>
      <c r="O767" s="1171"/>
      <c r="P767" s="1171"/>
      <c r="Q767" s="1171"/>
      <c r="R767" s="1171"/>
      <c r="S767" s="1171"/>
      <c r="T767" s="1171"/>
      <c r="U767" s="1171"/>
      <c r="V767" s="1171">
        <f t="shared" si="777"/>
        <v>0</v>
      </c>
      <c r="W767" s="1171"/>
      <c r="X767" s="1171"/>
      <c r="Y767" s="1171"/>
      <c r="Z767" s="1171"/>
      <c r="AA767" s="1171"/>
      <c r="AB767" s="1171"/>
      <c r="AD767" s="650">
        <f t="shared" si="775"/>
        <v>0</v>
      </c>
      <c r="AI767" s="1277">
        <f>VLOOKUP(K767,'[2]ผลการเบิกจ่ายสะสม พ.ย. 66'!$C:$N,12,0)</f>
        <v>0</v>
      </c>
      <c r="AJ767" s="1274">
        <f t="shared" si="776"/>
        <v>0</v>
      </c>
    </row>
    <row r="768" spans="1:36" ht="21" customHeight="1" outlineLevel="1" x14ac:dyDescent="0.35">
      <c r="A768" s="313"/>
      <c r="B768" s="293"/>
      <c r="C768" s="943" t="s">
        <v>969</v>
      </c>
      <c r="D768" s="1168"/>
      <c r="E768" s="1171"/>
      <c r="F768" s="1171"/>
      <c r="G768" s="1171"/>
      <c r="H768" s="1171"/>
      <c r="I768" s="1172"/>
      <c r="J768" s="1172"/>
      <c r="K768" s="1047"/>
      <c r="L768" s="1047"/>
      <c r="M768" s="1171"/>
      <c r="N768" s="1171"/>
      <c r="O768" s="1171"/>
      <c r="P768" s="1171"/>
      <c r="Q768" s="1171"/>
      <c r="R768" s="1171"/>
      <c r="S768" s="1171"/>
      <c r="T768" s="1171"/>
      <c r="U768" s="1171"/>
      <c r="V768" s="1171">
        <f t="shared" si="777"/>
        <v>0</v>
      </c>
      <c r="W768" s="1171"/>
      <c r="X768" s="1171"/>
      <c r="Y768" s="1171"/>
      <c r="Z768" s="1171"/>
      <c r="AA768" s="1171"/>
      <c r="AB768" s="1171"/>
      <c r="AD768" s="650">
        <f t="shared" si="775"/>
        <v>0</v>
      </c>
      <c r="AI768" s="1277">
        <f>VLOOKUP(K768,'[2]ผลการเบิกจ่ายสะสม พ.ย. 66'!$C:$N,12,0)</f>
        <v>0</v>
      </c>
      <c r="AJ768" s="1274">
        <f t="shared" si="776"/>
        <v>0</v>
      </c>
    </row>
    <row r="769" spans="1:36" ht="21" customHeight="1" outlineLevel="1" x14ac:dyDescent="0.35">
      <c r="A769" s="313"/>
      <c r="B769" s="293"/>
      <c r="C769" s="944" t="s">
        <v>970</v>
      </c>
      <c r="D769" s="1168"/>
      <c r="E769" s="1171"/>
      <c r="F769" s="1171"/>
      <c r="G769" s="1171"/>
      <c r="H769" s="1171"/>
      <c r="I769" s="1172"/>
      <c r="J769" s="1172">
        <v>3300</v>
      </c>
      <c r="K769" s="1047"/>
      <c r="L769" s="1047"/>
      <c r="M769" s="1171"/>
      <c r="N769" s="1171"/>
      <c r="O769" s="1171"/>
      <c r="P769" s="1171"/>
      <c r="Q769" s="1171"/>
      <c r="R769" s="1171"/>
      <c r="S769" s="1171"/>
      <c r="T769" s="1171"/>
      <c r="U769" s="1171"/>
      <c r="V769" s="1171">
        <f t="shared" si="777"/>
        <v>0</v>
      </c>
      <c r="W769" s="1171"/>
      <c r="X769" s="1171"/>
      <c r="Y769" s="1171"/>
      <c r="Z769" s="1171"/>
      <c r="AA769" s="1171"/>
      <c r="AB769" s="1171"/>
      <c r="AD769" s="650">
        <f t="shared" si="775"/>
        <v>0</v>
      </c>
      <c r="AI769" s="1277">
        <f>VLOOKUP(K769,'[2]ผลการเบิกจ่ายสะสม พ.ย. 66'!$C:$N,12,0)</f>
        <v>0</v>
      </c>
      <c r="AJ769" s="1274">
        <f t="shared" si="776"/>
        <v>0</v>
      </c>
    </row>
    <row r="770" spans="1:36" ht="21" customHeight="1" outlineLevel="1" x14ac:dyDescent="0.35">
      <c r="A770" s="313"/>
      <c r="B770" s="293"/>
      <c r="C770" s="944" t="s">
        <v>971</v>
      </c>
      <c r="D770" s="1168"/>
      <c r="E770" s="1171"/>
      <c r="F770" s="1171"/>
      <c r="G770" s="1171"/>
      <c r="H770" s="1171"/>
      <c r="I770" s="1172"/>
      <c r="J770" s="1172">
        <v>3400</v>
      </c>
      <c r="K770" s="1047"/>
      <c r="L770" s="1047"/>
      <c r="M770" s="1171"/>
      <c r="N770" s="1171"/>
      <c r="O770" s="1171"/>
      <c r="P770" s="1171"/>
      <c r="Q770" s="1171"/>
      <c r="R770" s="1171"/>
      <c r="S770" s="1171"/>
      <c r="T770" s="1171"/>
      <c r="U770" s="1171"/>
      <c r="V770" s="1171">
        <f t="shared" si="777"/>
        <v>0</v>
      </c>
      <c r="W770" s="1171"/>
      <c r="X770" s="1171"/>
      <c r="Y770" s="1171"/>
      <c r="Z770" s="1171"/>
      <c r="AA770" s="1171"/>
      <c r="AB770" s="1171"/>
      <c r="AD770" s="650">
        <f t="shared" si="775"/>
        <v>0</v>
      </c>
      <c r="AI770" s="1277">
        <f>VLOOKUP(K770,'[2]ผลการเบิกจ่ายสะสม พ.ย. 66'!$C:$N,12,0)</f>
        <v>0</v>
      </c>
      <c r="AJ770" s="1274">
        <f t="shared" si="776"/>
        <v>0</v>
      </c>
    </row>
    <row r="771" spans="1:36" ht="21" customHeight="1" outlineLevel="1" x14ac:dyDescent="0.35">
      <c r="A771" s="313"/>
      <c r="B771" s="293"/>
      <c r="C771" s="943" t="s">
        <v>972</v>
      </c>
      <c r="D771" s="1168"/>
      <c r="E771" s="1171"/>
      <c r="F771" s="1171"/>
      <c r="G771" s="1171"/>
      <c r="H771" s="1171"/>
      <c r="I771" s="1172"/>
      <c r="J771" s="1172"/>
      <c r="K771" s="1047"/>
      <c r="L771" s="1047"/>
      <c r="M771" s="1171"/>
      <c r="N771" s="1171"/>
      <c r="O771" s="1171"/>
      <c r="P771" s="1171"/>
      <c r="Q771" s="1171"/>
      <c r="R771" s="1171"/>
      <c r="S771" s="1171"/>
      <c r="T771" s="1171"/>
      <c r="U771" s="1171"/>
      <c r="V771" s="1171">
        <f t="shared" si="777"/>
        <v>0</v>
      </c>
      <c r="W771" s="1171"/>
      <c r="X771" s="1171"/>
      <c r="Y771" s="1171"/>
      <c r="Z771" s="1171"/>
      <c r="AA771" s="1171"/>
      <c r="AB771" s="1171"/>
      <c r="AD771" s="650">
        <f t="shared" si="775"/>
        <v>0</v>
      </c>
      <c r="AI771" s="1277">
        <f>VLOOKUP(K771,'[2]ผลการเบิกจ่ายสะสม พ.ย. 66'!$C:$N,12,0)</f>
        <v>0</v>
      </c>
      <c r="AJ771" s="1274">
        <f t="shared" si="776"/>
        <v>0</v>
      </c>
    </row>
    <row r="772" spans="1:36" ht="21" customHeight="1" outlineLevel="1" x14ac:dyDescent="0.35">
      <c r="A772" s="313"/>
      <c r="B772" s="293"/>
      <c r="C772" s="944" t="s">
        <v>973</v>
      </c>
      <c r="D772" s="1168"/>
      <c r="E772" s="1171"/>
      <c r="F772" s="1171"/>
      <c r="G772" s="1171"/>
      <c r="H772" s="1171"/>
      <c r="I772" s="1172"/>
      <c r="J772" s="1172">
        <v>32100</v>
      </c>
      <c r="K772" s="1047"/>
      <c r="L772" s="1047"/>
      <c r="M772" s="1171"/>
      <c r="N772" s="1171"/>
      <c r="O772" s="1171"/>
      <c r="P772" s="1171"/>
      <c r="Q772" s="1171"/>
      <c r="R772" s="1171"/>
      <c r="S772" s="1171"/>
      <c r="T772" s="1171"/>
      <c r="U772" s="1171"/>
      <c r="V772" s="1171">
        <f t="shared" si="777"/>
        <v>0</v>
      </c>
      <c r="W772" s="1171"/>
      <c r="X772" s="1171"/>
      <c r="Y772" s="1171"/>
      <c r="Z772" s="1171"/>
      <c r="AA772" s="1171"/>
      <c r="AB772" s="1171"/>
      <c r="AD772" s="650">
        <f t="shared" si="775"/>
        <v>0</v>
      </c>
      <c r="AI772" s="1277">
        <f>VLOOKUP(K772,'[2]ผลการเบิกจ่ายสะสม พ.ย. 66'!$C:$N,12,0)</f>
        <v>0</v>
      </c>
      <c r="AJ772" s="1274">
        <f t="shared" si="776"/>
        <v>0</v>
      </c>
    </row>
    <row r="773" spans="1:36" ht="21" customHeight="1" outlineLevel="1" x14ac:dyDescent="0.35">
      <c r="A773" s="313"/>
      <c r="B773" s="293"/>
      <c r="C773" s="944" t="s">
        <v>974</v>
      </c>
      <c r="D773" s="1168"/>
      <c r="E773" s="1171"/>
      <c r="F773" s="1171"/>
      <c r="G773" s="1171"/>
      <c r="H773" s="1171"/>
      <c r="I773" s="1172"/>
      <c r="J773" s="1172">
        <v>5800</v>
      </c>
      <c r="K773" s="1047"/>
      <c r="L773" s="1047"/>
      <c r="M773" s="1171"/>
      <c r="N773" s="1171"/>
      <c r="O773" s="1171"/>
      <c r="P773" s="1171"/>
      <c r="Q773" s="1171"/>
      <c r="R773" s="1171"/>
      <c r="S773" s="1171"/>
      <c r="T773" s="1171"/>
      <c r="U773" s="1171"/>
      <c r="V773" s="1171">
        <f t="shared" si="777"/>
        <v>0</v>
      </c>
      <c r="W773" s="1171"/>
      <c r="X773" s="1171"/>
      <c r="Y773" s="1171"/>
      <c r="Z773" s="1171"/>
      <c r="AA773" s="1171"/>
      <c r="AB773" s="1171"/>
      <c r="AD773" s="650">
        <f t="shared" si="775"/>
        <v>0</v>
      </c>
      <c r="AI773" s="1277">
        <f>VLOOKUP(K773,'[2]ผลการเบิกจ่ายสะสม พ.ย. 66'!$C:$N,12,0)</f>
        <v>0</v>
      </c>
      <c r="AJ773" s="1274">
        <f t="shared" si="776"/>
        <v>0</v>
      </c>
    </row>
    <row r="774" spans="1:36" ht="21" customHeight="1" outlineLevel="1" x14ac:dyDescent="0.35">
      <c r="A774" s="313"/>
      <c r="B774" s="293"/>
      <c r="C774" s="943" t="s">
        <v>975</v>
      </c>
      <c r="D774" s="1168"/>
      <c r="E774" s="1171"/>
      <c r="F774" s="1171"/>
      <c r="G774" s="1171"/>
      <c r="H774" s="1171"/>
      <c r="I774" s="1172"/>
      <c r="J774" s="1172"/>
      <c r="K774" s="1047"/>
      <c r="L774" s="1047"/>
      <c r="M774" s="1171"/>
      <c r="N774" s="1171"/>
      <c r="O774" s="1171"/>
      <c r="P774" s="1171"/>
      <c r="Q774" s="1171"/>
      <c r="R774" s="1171"/>
      <c r="S774" s="1171"/>
      <c r="T774" s="1171"/>
      <c r="U774" s="1171"/>
      <c r="V774" s="1171">
        <f t="shared" si="777"/>
        <v>0</v>
      </c>
      <c r="W774" s="1171"/>
      <c r="X774" s="1171"/>
      <c r="Y774" s="1171"/>
      <c r="Z774" s="1171"/>
      <c r="AA774" s="1171"/>
      <c r="AB774" s="1171"/>
      <c r="AD774" s="650">
        <f t="shared" si="775"/>
        <v>0</v>
      </c>
      <c r="AI774" s="1277">
        <f>VLOOKUP(K774,'[2]ผลการเบิกจ่ายสะสม พ.ย. 66'!$C:$N,12,0)</f>
        <v>0</v>
      </c>
      <c r="AJ774" s="1274">
        <f t="shared" si="776"/>
        <v>0</v>
      </c>
    </row>
    <row r="775" spans="1:36" ht="21" customHeight="1" outlineLevel="1" x14ac:dyDescent="0.35">
      <c r="A775" s="313"/>
      <c r="B775" s="293"/>
      <c r="C775" s="944" t="s">
        <v>976</v>
      </c>
      <c r="D775" s="1168"/>
      <c r="E775" s="1171"/>
      <c r="F775" s="1171"/>
      <c r="G775" s="1171"/>
      <c r="H775" s="1171"/>
      <c r="I775" s="1172"/>
      <c r="J775" s="1172">
        <v>35000</v>
      </c>
      <c r="K775" s="1047"/>
      <c r="L775" s="1047"/>
      <c r="M775" s="1171"/>
      <c r="N775" s="1171"/>
      <c r="O775" s="1171"/>
      <c r="P775" s="1171"/>
      <c r="Q775" s="1171"/>
      <c r="R775" s="1171"/>
      <c r="S775" s="1171"/>
      <c r="T775" s="1171"/>
      <c r="U775" s="1171"/>
      <c r="V775" s="1171">
        <f t="shared" si="777"/>
        <v>0</v>
      </c>
      <c r="W775" s="1171"/>
      <c r="X775" s="1171"/>
      <c r="Y775" s="1171"/>
      <c r="Z775" s="1171"/>
      <c r="AA775" s="1171"/>
      <c r="AB775" s="1171"/>
      <c r="AD775" s="650">
        <f t="shared" si="775"/>
        <v>0</v>
      </c>
      <c r="AI775" s="1277">
        <f>VLOOKUP(K775,'[2]ผลการเบิกจ่ายสะสม พ.ย. 66'!$C:$N,12,0)</f>
        <v>0</v>
      </c>
      <c r="AJ775" s="1274">
        <f t="shared" si="776"/>
        <v>0</v>
      </c>
    </row>
    <row r="776" spans="1:36" ht="21" customHeight="1" outlineLevel="1" x14ac:dyDescent="0.35">
      <c r="A776" s="313"/>
      <c r="B776" s="293"/>
      <c r="C776" s="944" t="s">
        <v>977</v>
      </c>
      <c r="D776" s="1168"/>
      <c r="E776" s="1171"/>
      <c r="F776" s="1171"/>
      <c r="G776" s="1171"/>
      <c r="H776" s="1171"/>
      <c r="I776" s="1172"/>
      <c r="J776" s="1172">
        <v>20000</v>
      </c>
      <c r="K776" s="1047"/>
      <c r="L776" s="1047"/>
      <c r="M776" s="1171"/>
      <c r="N776" s="1171"/>
      <c r="O776" s="1171"/>
      <c r="P776" s="1171"/>
      <c r="Q776" s="1171"/>
      <c r="R776" s="1171"/>
      <c r="S776" s="1171"/>
      <c r="T776" s="1171"/>
      <c r="U776" s="1171"/>
      <c r="V776" s="1171">
        <f t="shared" si="777"/>
        <v>0</v>
      </c>
      <c r="W776" s="1171"/>
      <c r="X776" s="1171"/>
      <c r="Y776" s="1171"/>
      <c r="Z776" s="1171"/>
      <c r="AA776" s="1171"/>
      <c r="AB776" s="1171"/>
      <c r="AD776" s="650">
        <f t="shared" si="775"/>
        <v>0</v>
      </c>
      <c r="AI776" s="1277">
        <f>VLOOKUP(K776,'[2]ผลการเบิกจ่ายสะสม พ.ย. 66'!$C:$N,12,0)</f>
        <v>0</v>
      </c>
      <c r="AJ776" s="1274">
        <f t="shared" si="776"/>
        <v>0</v>
      </c>
    </row>
    <row r="777" spans="1:36" ht="21" customHeight="1" outlineLevel="1" x14ac:dyDescent="0.35">
      <c r="A777" s="313"/>
      <c r="B777" s="293"/>
      <c r="C777" s="944" t="s">
        <v>978</v>
      </c>
      <c r="D777" s="1168"/>
      <c r="E777" s="1171"/>
      <c r="F777" s="1171"/>
      <c r="G777" s="1171"/>
      <c r="H777" s="1171"/>
      <c r="I777" s="1172"/>
      <c r="J777" s="1172">
        <v>14500</v>
      </c>
      <c r="K777" s="1047"/>
      <c r="L777" s="1047"/>
      <c r="M777" s="1171"/>
      <c r="N777" s="1171"/>
      <c r="O777" s="1171"/>
      <c r="P777" s="1171"/>
      <c r="Q777" s="1171"/>
      <c r="R777" s="1171"/>
      <c r="S777" s="1171"/>
      <c r="T777" s="1171"/>
      <c r="U777" s="1171"/>
      <c r="V777" s="1171">
        <f t="shared" si="777"/>
        <v>0</v>
      </c>
      <c r="W777" s="1171"/>
      <c r="X777" s="1171"/>
      <c r="Y777" s="1171"/>
      <c r="Z777" s="1171"/>
      <c r="AA777" s="1171"/>
      <c r="AB777" s="1171"/>
      <c r="AD777" s="650">
        <f t="shared" si="775"/>
        <v>0</v>
      </c>
      <c r="AI777" s="1277">
        <f>VLOOKUP(K777,'[2]ผลการเบิกจ่ายสะสม พ.ย. 66'!$C:$N,12,0)</f>
        <v>0</v>
      </c>
      <c r="AJ777" s="1274">
        <f t="shared" si="776"/>
        <v>0</v>
      </c>
    </row>
    <row r="778" spans="1:36" ht="21" customHeight="1" outlineLevel="1" x14ac:dyDescent="0.35">
      <c r="A778" s="313"/>
      <c r="B778" s="293"/>
      <c r="C778" s="943" t="s">
        <v>979</v>
      </c>
      <c r="D778" s="1168"/>
      <c r="E778" s="1171"/>
      <c r="F778" s="1171"/>
      <c r="G778" s="1171"/>
      <c r="H778" s="1171"/>
      <c r="I778" s="1172"/>
      <c r="J778" s="1192"/>
      <c r="K778" s="1054"/>
      <c r="L778" s="1054"/>
      <c r="M778" s="1196"/>
      <c r="N778" s="1196"/>
      <c r="O778" s="1196"/>
      <c r="P778" s="1196"/>
      <c r="Q778" s="1196"/>
      <c r="R778" s="1196"/>
      <c r="S778" s="1196"/>
      <c r="T778" s="1196"/>
      <c r="U778" s="1196"/>
      <c r="V778" s="1196">
        <f t="shared" si="777"/>
        <v>0</v>
      </c>
      <c r="W778" s="1196"/>
      <c r="X778" s="1196"/>
      <c r="Y778" s="1196"/>
      <c r="Z778" s="1196"/>
      <c r="AA778" s="1196"/>
      <c r="AB778" s="1196"/>
      <c r="AD778" s="650">
        <f t="shared" si="775"/>
        <v>0</v>
      </c>
      <c r="AI778" s="1277">
        <f>VLOOKUP(K778,'[2]ผลการเบิกจ่ายสะสม พ.ย. 66'!$C:$N,12,0)</f>
        <v>0</v>
      </c>
      <c r="AJ778" s="1274">
        <f t="shared" si="776"/>
        <v>0</v>
      </c>
    </row>
    <row r="779" spans="1:36" ht="21" customHeight="1" outlineLevel="1" x14ac:dyDescent="0.35">
      <c r="A779" s="313"/>
      <c r="B779" s="293"/>
      <c r="C779" s="944" t="s">
        <v>980</v>
      </c>
      <c r="D779" s="1168"/>
      <c r="E779" s="1171"/>
      <c r="F779" s="1171"/>
      <c r="G779" s="1171"/>
      <c r="H779" s="1171"/>
      <c r="I779" s="1172"/>
      <c r="J779" s="1172">
        <v>4700</v>
      </c>
      <c r="K779" s="1055"/>
      <c r="L779" s="1055"/>
      <c r="M779" s="1234"/>
      <c r="N779" s="1234"/>
      <c r="O779" s="1234"/>
      <c r="P779" s="1234"/>
      <c r="Q779" s="1234"/>
      <c r="R779" s="1234"/>
      <c r="S779" s="1234"/>
      <c r="T779" s="1234"/>
      <c r="U779" s="1234"/>
      <c r="V779" s="1234">
        <f t="shared" si="777"/>
        <v>0</v>
      </c>
      <c r="W779" s="1234"/>
      <c r="X779" s="1234"/>
      <c r="Y779" s="1234"/>
      <c r="Z779" s="1234"/>
      <c r="AA779" s="1234"/>
      <c r="AB779" s="1234"/>
      <c r="AD779" s="650">
        <f t="shared" si="775"/>
        <v>0</v>
      </c>
      <c r="AI779" s="1277">
        <f>VLOOKUP(K779,'[2]ผลการเบิกจ่ายสะสม พ.ย. 66'!$C:$N,12,0)</f>
        <v>0</v>
      </c>
      <c r="AJ779" s="1274">
        <f t="shared" si="776"/>
        <v>0</v>
      </c>
    </row>
    <row r="780" spans="1:36" ht="21" customHeight="1" outlineLevel="1" x14ac:dyDescent="0.35">
      <c r="A780" s="313"/>
      <c r="B780" s="72" t="s">
        <v>436</v>
      </c>
      <c r="C780" s="942"/>
      <c r="D780" s="1168"/>
      <c r="E780" s="1169"/>
      <c r="F780" s="1169"/>
      <c r="G780" s="1169"/>
      <c r="H780" s="1169"/>
      <c r="I780" s="1170">
        <v>140570000</v>
      </c>
      <c r="J780" s="1193">
        <v>39526200</v>
      </c>
      <c r="K780" s="1056"/>
      <c r="L780" s="1056"/>
      <c r="M780" s="1235">
        <f t="shared" ref="M780:U780" si="788">+M781+M815</f>
        <v>0</v>
      </c>
      <c r="N780" s="1235">
        <f>+N781+N815</f>
        <v>0</v>
      </c>
      <c r="O780" s="1235">
        <f t="shared" si="788"/>
        <v>0</v>
      </c>
      <c r="P780" s="1235">
        <f t="shared" si="788"/>
        <v>0</v>
      </c>
      <c r="Q780" s="1235">
        <f t="shared" si="788"/>
        <v>0</v>
      </c>
      <c r="R780" s="1235">
        <f t="shared" si="788"/>
        <v>0</v>
      </c>
      <c r="S780" s="1235">
        <f t="shared" si="788"/>
        <v>0</v>
      </c>
      <c r="T780" s="1235">
        <f t="shared" si="788"/>
        <v>0</v>
      </c>
      <c r="U780" s="1235">
        <f t="shared" si="788"/>
        <v>0</v>
      </c>
      <c r="V780" s="1235">
        <f t="shared" si="777"/>
        <v>0</v>
      </c>
      <c r="W780" s="1235">
        <f t="shared" ref="W780:AB780" si="789">+W781+W815</f>
        <v>0</v>
      </c>
      <c r="X780" s="1235">
        <f t="shared" si="789"/>
        <v>0</v>
      </c>
      <c r="Y780" s="1235">
        <f t="shared" si="789"/>
        <v>0</v>
      </c>
      <c r="Z780" s="1235">
        <f t="shared" si="789"/>
        <v>0</v>
      </c>
      <c r="AA780" s="1235">
        <f t="shared" si="789"/>
        <v>0</v>
      </c>
      <c r="AB780" s="1235">
        <f t="shared" si="789"/>
        <v>0</v>
      </c>
      <c r="AD780" s="650">
        <f t="shared" si="775"/>
        <v>0</v>
      </c>
      <c r="AI780" s="1277">
        <f>VLOOKUP(K780,'[2]ผลการเบิกจ่ายสะสม พ.ย. 66'!$C:$N,12,0)</f>
        <v>0</v>
      </c>
      <c r="AJ780" s="1274">
        <f t="shared" si="776"/>
        <v>0</v>
      </c>
    </row>
    <row r="781" spans="1:36" ht="21" customHeight="1" outlineLevel="1" x14ac:dyDescent="0.35">
      <c r="A781" s="313"/>
      <c r="B781" s="293" t="s">
        <v>1224</v>
      </c>
      <c r="C781" s="942"/>
      <c r="D781" s="1168"/>
      <c r="E781" s="1171"/>
      <c r="F781" s="1171"/>
      <c r="G781" s="1171"/>
      <c r="H781" s="1171"/>
      <c r="I781" s="1172"/>
      <c r="J781" s="1172"/>
      <c r="K781" s="1047" t="s">
        <v>1406</v>
      </c>
      <c r="L781" s="1047" t="s">
        <v>1430</v>
      </c>
      <c r="M781" s="1171">
        <f t="shared" ref="M781:U781" si="790">SUM(M783:M814)</f>
        <v>0</v>
      </c>
      <c r="N781" s="1171">
        <f>SUM(N783:N814)</f>
        <v>0</v>
      </c>
      <c r="O781" s="1171">
        <f t="shared" si="790"/>
        <v>0</v>
      </c>
      <c r="P781" s="1171">
        <f t="shared" si="790"/>
        <v>0</v>
      </c>
      <c r="Q781" s="1171">
        <f t="shared" si="790"/>
        <v>0</v>
      </c>
      <c r="R781" s="1171">
        <f t="shared" si="790"/>
        <v>0</v>
      </c>
      <c r="S781" s="1171">
        <f t="shared" si="790"/>
        <v>0</v>
      </c>
      <c r="T781" s="1171">
        <f t="shared" si="790"/>
        <v>0</v>
      </c>
      <c r="U781" s="1171">
        <f t="shared" si="790"/>
        <v>0</v>
      </c>
      <c r="V781" s="1171">
        <f t="shared" si="777"/>
        <v>0</v>
      </c>
      <c r="W781" s="1171">
        <f t="shared" ref="W781:AB781" si="791">SUM(W783:W814)</f>
        <v>0</v>
      </c>
      <c r="X781" s="1171">
        <f t="shared" si="791"/>
        <v>0</v>
      </c>
      <c r="Y781" s="1171">
        <f t="shared" si="791"/>
        <v>0</v>
      </c>
      <c r="Z781" s="1171">
        <f t="shared" si="791"/>
        <v>0</v>
      </c>
      <c r="AA781" s="1171">
        <f t="shared" si="791"/>
        <v>0</v>
      </c>
      <c r="AB781" s="1171">
        <f t="shared" si="791"/>
        <v>0</v>
      </c>
      <c r="AD781" s="650">
        <f t="shared" si="775"/>
        <v>0</v>
      </c>
      <c r="AI781" s="1277" t="e">
        <f>VLOOKUP(K781,'[2]ผลการเบิกจ่ายสะสม พ.ย. 66'!$C:$N,12,0)</f>
        <v>#N/A</v>
      </c>
      <c r="AJ781" s="1274" t="e">
        <f t="shared" si="776"/>
        <v>#N/A</v>
      </c>
    </row>
    <row r="782" spans="1:36" ht="21" customHeight="1" outlineLevel="1" x14ac:dyDescent="0.35">
      <c r="A782" s="313"/>
      <c r="B782" s="293"/>
      <c r="C782" s="943" t="s">
        <v>262</v>
      </c>
      <c r="D782" s="1168"/>
      <c r="E782" s="1171"/>
      <c r="F782" s="1171"/>
      <c r="G782" s="1171"/>
      <c r="H782" s="1171"/>
      <c r="I782" s="1172"/>
      <c r="J782" s="1172"/>
      <c r="K782" s="1047"/>
      <c r="L782" s="1047"/>
      <c r="M782" s="1171"/>
      <c r="N782" s="1171"/>
      <c r="O782" s="1171"/>
      <c r="P782" s="1171"/>
      <c r="Q782" s="1171"/>
      <c r="R782" s="1171"/>
      <c r="S782" s="1171"/>
      <c r="T782" s="1171"/>
      <c r="U782" s="1171"/>
      <c r="V782" s="1171">
        <f t="shared" si="777"/>
        <v>0</v>
      </c>
      <c r="W782" s="1171"/>
      <c r="X782" s="1171"/>
      <c r="Y782" s="1171"/>
      <c r="Z782" s="1171"/>
      <c r="AA782" s="1171"/>
      <c r="AB782" s="1171"/>
      <c r="AD782" s="650">
        <f t="shared" ref="AD782:AD845" si="792">+N782+O782-R782-S782-U782</f>
        <v>0</v>
      </c>
      <c r="AI782" s="1277">
        <f>VLOOKUP(K782,'[2]ผลการเบิกจ่ายสะสม พ.ย. 66'!$C:$N,12,0)</f>
        <v>0</v>
      </c>
      <c r="AJ782" s="1274">
        <f t="shared" si="776"/>
        <v>0</v>
      </c>
    </row>
    <row r="783" spans="1:36" ht="21" customHeight="1" outlineLevel="1" x14ac:dyDescent="0.35">
      <c r="A783" s="313"/>
      <c r="B783" s="293"/>
      <c r="C783" s="930" t="s">
        <v>1246</v>
      </c>
      <c r="D783" s="1168"/>
      <c r="E783" s="1171"/>
      <c r="F783" s="1171"/>
      <c r="G783" s="1171"/>
      <c r="H783" s="1171"/>
      <c r="I783" s="1172"/>
      <c r="J783" s="1172"/>
      <c r="K783" s="1047"/>
      <c r="L783" s="1047"/>
      <c r="M783" s="1171"/>
      <c r="N783" s="1171"/>
      <c r="O783" s="1171"/>
      <c r="P783" s="1171"/>
      <c r="Q783" s="1171"/>
      <c r="R783" s="1171"/>
      <c r="S783" s="1171"/>
      <c r="T783" s="1171"/>
      <c r="U783" s="1171"/>
      <c r="V783" s="1171">
        <f t="shared" si="777"/>
        <v>0</v>
      </c>
      <c r="W783" s="1171"/>
      <c r="X783" s="1171"/>
      <c r="Y783" s="1171"/>
      <c r="Z783" s="1171"/>
      <c r="AA783" s="1171"/>
      <c r="AB783" s="1171"/>
      <c r="AD783" s="650">
        <f t="shared" si="792"/>
        <v>0</v>
      </c>
      <c r="AI783" s="1277">
        <f>VLOOKUP(K783,'[2]ผลการเบิกจ่ายสะสม พ.ย. 66'!$C:$N,12,0)</f>
        <v>0</v>
      </c>
      <c r="AJ783" s="1274">
        <f t="shared" ref="AJ783:AJ846" si="793">+AI783-S783</f>
        <v>0</v>
      </c>
    </row>
    <row r="784" spans="1:36" ht="21" customHeight="1" outlineLevel="1" x14ac:dyDescent="0.35">
      <c r="A784" s="313"/>
      <c r="B784" s="293"/>
      <c r="C784" s="944" t="s">
        <v>1247</v>
      </c>
      <c r="D784" s="1168"/>
      <c r="E784" s="1171"/>
      <c r="F784" s="1171"/>
      <c r="G784" s="1171"/>
      <c r="H784" s="1171"/>
      <c r="I784" s="1172"/>
      <c r="J784" s="1172"/>
      <c r="K784" s="1047"/>
      <c r="L784" s="1047"/>
      <c r="M784" s="1171"/>
      <c r="N784" s="1171"/>
      <c r="O784" s="1171"/>
      <c r="P784" s="1171"/>
      <c r="Q784" s="1171"/>
      <c r="R784" s="1171"/>
      <c r="S784" s="1171"/>
      <c r="T784" s="1171"/>
      <c r="U784" s="1171"/>
      <c r="V784" s="1171">
        <f t="shared" si="777"/>
        <v>0</v>
      </c>
      <c r="W784" s="1171"/>
      <c r="X784" s="1171"/>
      <c r="Y784" s="1171"/>
      <c r="Z784" s="1171"/>
      <c r="AA784" s="1171"/>
      <c r="AB784" s="1171"/>
      <c r="AD784" s="650">
        <f t="shared" si="792"/>
        <v>0</v>
      </c>
      <c r="AI784" s="1277">
        <f>VLOOKUP(K784,'[2]ผลการเบิกจ่ายสะสม พ.ย. 66'!$C:$N,12,0)</f>
        <v>0</v>
      </c>
      <c r="AJ784" s="1274">
        <f t="shared" si="793"/>
        <v>0</v>
      </c>
    </row>
    <row r="785" spans="1:36" ht="21" customHeight="1" outlineLevel="1" x14ac:dyDescent="0.35">
      <c r="A785" s="313"/>
      <c r="B785" s="293"/>
      <c r="C785" s="944" t="s">
        <v>1248</v>
      </c>
      <c r="D785" s="1168"/>
      <c r="E785" s="1171"/>
      <c r="F785" s="1171"/>
      <c r="G785" s="1171"/>
      <c r="H785" s="1171"/>
      <c r="I785" s="1172"/>
      <c r="J785" s="1172"/>
      <c r="K785" s="1047"/>
      <c r="L785" s="1047"/>
      <c r="M785" s="1171"/>
      <c r="N785" s="1171"/>
      <c r="O785" s="1171"/>
      <c r="P785" s="1171"/>
      <c r="Q785" s="1171"/>
      <c r="R785" s="1171"/>
      <c r="S785" s="1171"/>
      <c r="T785" s="1171"/>
      <c r="U785" s="1171"/>
      <c r="V785" s="1171">
        <f t="shared" si="777"/>
        <v>0</v>
      </c>
      <c r="W785" s="1171"/>
      <c r="X785" s="1171"/>
      <c r="Y785" s="1171"/>
      <c r="Z785" s="1171"/>
      <c r="AA785" s="1171"/>
      <c r="AB785" s="1171"/>
      <c r="AD785" s="650">
        <f t="shared" si="792"/>
        <v>0</v>
      </c>
      <c r="AI785" s="1277">
        <f>VLOOKUP(K785,'[2]ผลการเบิกจ่ายสะสม พ.ย. 66'!$C:$N,12,0)</f>
        <v>0</v>
      </c>
      <c r="AJ785" s="1274">
        <f t="shared" si="793"/>
        <v>0</v>
      </c>
    </row>
    <row r="786" spans="1:36" ht="21" customHeight="1" outlineLevel="1" x14ac:dyDescent="0.35">
      <c r="A786" s="313"/>
      <c r="B786" s="293"/>
      <c r="C786" s="944" t="s">
        <v>1249</v>
      </c>
      <c r="D786" s="1168"/>
      <c r="E786" s="1171"/>
      <c r="F786" s="1171"/>
      <c r="G786" s="1171"/>
      <c r="H786" s="1171"/>
      <c r="I786" s="1172"/>
      <c r="J786" s="1172"/>
      <c r="K786" s="1047"/>
      <c r="L786" s="1047"/>
      <c r="M786" s="1171"/>
      <c r="N786" s="1171"/>
      <c r="O786" s="1171"/>
      <c r="P786" s="1171"/>
      <c r="Q786" s="1171"/>
      <c r="R786" s="1171"/>
      <c r="S786" s="1171"/>
      <c r="T786" s="1171"/>
      <c r="U786" s="1171"/>
      <c r="V786" s="1171">
        <f t="shared" ref="V786:V849" si="794">IFERROR(T786*100/(N786+O786),0)</f>
        <v>0</v>
      </c>
      <c r="W786" s="1171"/>
      <c r="X786" s="1171"/>
      <c r="Y786" s="1171"/>
      <c r="Z786" s="1171"/>
      <c r="AA786" s="1171"/>
      <c r="AB786" s="1171"/>
      <c r="AD786" s="650">
        <f t="shared" si="792"/>
        <v>0</v>
      </c>
      <c r="AI786" s="1277">
        <f>VLOOKUP(K786,'[2]ผลการเบิกจ่ายสะสม พ.ย. 66'!$C:$N,12,0)</f>
        <v>0</v>
      </c>
      <c r="AJ786" s="1274">
        <f t="shared" si="793"/>
        <v>0</v>
      </c>
    </row>
    <row r="787" spans="1:36" ht="21" customHeight="1" outlineLevel="1" x14ac:dyDescent="0.35">
      <c r="A787" s="313"/>
      <c r="B787" s="293"/>
      <c r="C787" s="930" t="s">
        <v>1250</v>
      </c>
      <c r="D787" s="1168"/>
      <c r="E787" s="1171"/>
      <c r="F787" s="1171"/>
      <c r="G787" s="1171"/>
      <c r="H787" s="1171"/>
      <c r="I787" s="1172"/>
      <c r="J787" s="1172"/>
      <c r="K787" s="1047"/>
      <c r="L787" s="1047"/>
      <c r="M787" s="1171"/>
      <c r="N787" s="1171"/>
      <c r="O787" s="1171"/>
      <c r="P787" s="1171"/>
      <c r="Q787" s="1171"/>
      <c r="R787" s="1171"/>
      <c r="S787" s="1171"/>
      <c r="T787" s="1171"/>
      <c r="U787" s="1171"/>
      <c r="V787" s="1171">
        <f t="shared" si="794"/>
        <v>0</v>
      </c>
      <c r="W787" s="1171"/>
      <c r="X787" s="1171"/>
      <c r="Y787" s="1171"/>
      <c r="Z787" s="1171"/>
      <c r="AA787" s="1171"/>
      <c r="AB787" s="1171"/>
      <c r="AD787" s="650">
        <f t="shared" si="792"/>
        <v>0</v>
      </c>
      <c r="AI787" s="1277">
        <f>VLOOKUP(K787,'[2]ผลการเบิกจ่ายสะสม พ.ย. 66'!$C:$N,12,0)</f>
        <v>0</v>
      </c>
      <c r="AJ787" s="1274">
        <f t="shared" si="793"/>
        <v>0</v>
      </c>
    </row>
    <row r="788" spans="1:36" ht="21" customHeight="1" outlineLevel="1" x14ac:dyDescent="0.35">
      <c r="A788" s="313"/>
      <c r="B788" s="293"/>
      <c r="C788" s="944" t="s">
        <v>1251</v>
      </c>
      <c r="D788" s="1168"/>
      <c r="E788" s="1171"/>
      <c r="F788" s="1171"/>
      <c r="G788" s="1171"/>
      <c r="H788" s="1171"/>
      <c r="I788" s="1172"/>
      <c r="J788" s="1172"/>
      <c r="K788" s="1047"/>
      <c r="L788" s="1047"/>
      <c r="M788" s="1171"/>
      <c r="N788" s="1171"/>
      <c r="O788" s="1171"/>
      <c r="P788" s="1171"/>
      <c r="Q788" s="1171"/>
      <c r="R788" s="1171"/>
      <c r="S788" s="1171"/>
      <c r="T788" s="1171"/>
      <c r="U788" s="1171"/>
      <c r="V788" s="1171">
        <f t="shared" si="794"/>
        <v>0</v>
      </c>
      <c r="W788" s="1171"/>
      <c r="X788" s="1171"/>
      <c r="Y788" s="1171"/>
      <c r="Z788" s="1171"/>
      <c r="AA788" s="1171"/>
      <c r="AB788" s="1171"/>
      <c r="AD788" s="650">
        <f t="shared" si="792"/>
        <v>0</v>
      </c>
      <c r="AI788" s="1277">
        <f>VLOOKUP(K788,'[2]ผลการเบิกจ่ายสะสม พ.ย. 66'!$C:$N,12,0)</f>
        <v>0</v>
      </c>
      <c r="AJ788" s="1274">
        <f t="shared" si="793"/>
        <v>0</v>
      </c>
    </row>
    <row r="789" spans="1:36" ht="21" customHeight="1" outlineLevel="1" x14ac:dyDescent="0.35">
      <c r="A789" s="313"/>
      <c r="B789" s="293"/>
      <c r="C789" s="944" t="s">
        <v>1252</v>
      </c>
      <c r="D789" s="1168"/>
      <c r="E789" s="1171"/>
      <c r="F789" s="1171"/>
      <c r="G789" s="1171"/>
      <c r="H789" s="1171"/>
      <c r="I789" s="1172"/>
      <c r="J789" s="1172"/>
      <c r="K789" s="1047"/>
      <c r="L789" s="1047"/>
      <c r="M789" s="1171"/>
      <c r="N789" s="1171"/>
      <c r="O789" s="1171"/>
      <c r="P789" s="1171"/>
      <c r="Q789" s="1171"/>
      <c r="R789" s="1171"/>
      <c r="S789" s="1171"/>
      <c r="T789" s="1171"/>
      <c r="U789" s="1171"/>
      <c r="V789" s="1171">
        <f t="shared" si="794"/>
        <v>0</v>
      </c>
      <c r="W789" s="1171"/>
      <c r="X789" s="1171"/>
      <c r="Y789" s="1171"/>
      <c r="Z789" s="1171"/>
      <c r="AA789" s="1171"/>
      <c r="AB789" s="1171"/>
      <c r="AD789" s="650">
        <f t="shared" si="792"/>
        <v>0</v>
      </c>
      <c r="AI789" s="1277">
        <f>VLOOKUP(K789,'[2]ผลการเบิกจ่ายสะสม พ.ย. 66'!$C:$N,12,0)</f>
        <v>0</v>
      </c>
      <c r="AJ789" s="1274">
        <f t="shared" si="793"/>
        <v>0</v>
      </c>
    </row>
    <row r="790" spans="1:36" ht="21" customHeight="1" outlineLevel="1" x14ac:dyDescent="0.35">
      <c r="A790" s="313"/>
      <c r="B790" s="293"/>
      <c r="C790" s="944" t="s">
        <v>1253</v>
      </c>
      <c r="D790" s="1168"/>
      <c r="E790" s="1171"/>
      <c r="F790" s="1171"/>
      <c r="G790" s="1171"/>
      <c r="H790" s="1171"/>
      <c r="I790" s="1172"/>
      <c r="J790" s="1172"/>
      <c r="K790" s="1047"/>
      <c r="L790" s="1047"/>
      <c r="M790" s="1171"/>
      <c r="N790" s="1171"/>
      <c r="O790" s="1171"/>
      <c r="P790" s="1171"/>
      <c r="Q790" s="1171"/>
      <c r="R790" s="1171"/>
      <c r="S790" s="1171"/>
      <c r="T790" s="1171"/>
      <c r="U790" s="1171"/>
      <c r="V790" s="1171">
        <f t="shared" si="794"/>
        <v>0</v>
      </c>
      <c r="W790" s="1171"/>
      <c r="X790" s="1171"/>
      <c r="Y790" s="1171"/>
      <c r="Z790" s="1171"/>
      <c r="AA790" s="1171"/>
      <c r="AB790" s="1171"/>
      <c r="AD790" s="650">
        <f t="shared" si="792"/>
        <v>0</v>
      </c>
      <c r="AI790" s="1277">
        <f>VLOOKUP(K790,'[2]ผลการเบิกจ่ายสะสม พ.ย. 66'!$C:$N,12,0)</f>
        <v>0</v>
      </c>
      <c r="AJ790" s="1274">
        <f t="shared" si="793"/>
        <v>0</v>
      </c>
    </row>
    <row r="791" spans="1:36" ht="42" customHeight="1" outlineLevel="1" x14ac:dyDescent="0.35">
      <c r="A791" s="313"/>
      <c r="B791" s="293"/>
      <c r="C791" s="930" t="s">
        <v>1254</v>
      </c>
      <c r="D791" s="1168"/>
      <c r="E791" s="1171"/>
      <c r="F791" s="1171"/>
      <c r="G791" s="1171"/>
      <c r="H791" s="1171"/>
      <c r="I791" s="1172"/>
      <c r="J791" s="1172"/>
      <c r="K791" s="1047"/>
      <c r="L791" s="1047"/>
      <c r="M791" s="1171"/>
      <c r="N791" s="1171"/>
      <c r="O791" s="1171"/>
      <c r="P791" s="1171"/>
      <c r="Q791" s="1171"/>
      <c r="R791" s="1171"/>
      <c r="S791" s="1171"/>
      <c r="T791" s="1171"/>
      <c r="U791" s="1171"/>
      <c r="V791" s="1171">
        <f t="shared" si="794"/>
        <v>0</v>
      </c>
      <c r="W791" s="1171"/>
      <c r="X791" s="1171"/>
      <c r="Y791" s="1171"/>
      <c r="Z791" s="1171"/>
      <c r="AA791" s="1171"/>
      <c r="AB791" s="1171"/>
      <c r="AD791" s="650">
        <f t="shared" si="792"/>
        <v>0</v>
      </c>
      <c r="AI791" s="1277">
        <f>VLOOKUP(K791,'[2]ผลการเบิกจ่ายสะสม พ.ย. 66'!$C:$N,12,0)</f>
        <v>0</v>
      </c>
      <c r="AJ791" s="1274">
        <f t="shared" si="793"/>
        <v>0</v>
      </c>
    </row>
    <row r="792" spans="1:36" ht="21" customHeight="1" outlineLevel="1" x14ac:dyDescent="0.35">
      <c r="A792" s="313"/>
      <c r="B792" s="293"/>
      <c r="C792" s="944" t="s">
        <v>1255</v>
      </c>
      <c r="D792" s="1168"/>
      <c r="E792" s="1171"/>
      <c r="F792" s="1171"/>
      <c r="G792" s="1171"/>
      <c r="H792" s="1171"/>
      <c r="I792" s="1172"/>
      <c r="J792" s="1172"/>
      <c r="K792" s="1047"/>
      <c r="L792" s="1047"/>
      <c r="M792" s="1171"/>
      <c r="N792" s="1171"/>
      <c r="O792" s="1171"/>
      <c r="P792" s="1171"/>
      <c r="Q792" s="1171"/>
      <c r="R792" s="1171"/>
      <c r="S792" s="1171"/>
      <c r="T792" s="1171"/>
      <c r="U792" s="1171"/>
      <c r="V792" s="1171">
        <f t="shared" si="794"/>
        <v>0</v>
      </c>
      <c r="W792" s="1171"/>
      <c r="X792" s="1171"/>
      <c r="Y792" s="1171"/>
      <c r="Z792" s="1171"/>
      <c r="AA792" s="1171"/>
      <c r="AB792" s="1171"/>
      <c r="AD792" s="650">
        <f t="shared" si="792"/>
        <v>0</v>
      </c>
      <c r="AI792" s="1277">
        <f>VLOOKUP(K792,'[2]ผลการเบิกจ่ายสะสม พ.ย. 66'!$C:$N,12,0)</f>
        <v>0</v>
      </c>
      <c r="AJ792" s="1274">
        <f t="shared" si="793"/>
        <v>0</v>
      </c>
    </row>
    <row r="793" spans="1:36" ht="21" customHeight="1" outlineLevel="1" x14ac:dyDescent="0.35">
      <c r="A793" s="313"/>
      <c r="B793" s="293"/>
      <c r="C793" s="944" t="s">
        <v>1256</v>
      </c>
      <c r="D793" s="1168"/>
      <c r="E793" s="1171"/>
      <c r="F793" s="1171"/>
      <c r="G793" s="1171"/>
      <c r="H793" s="1171"/>
      <c r="I793" s="1172"/>
      <c r="J793" s="1172"/>
      <c r="K793" s="1047"/>
      <c r="L793" s="1047"/>
      <c r="M793" s="1171"/>
      <c r="N793" s="1171"/>
      <c r="O793" s="1171"/>
      <c r="P793" s="1171"/>
      <c r="Q793" s="1171"/>
      <c r="R793" s="1171"/>
      <c r="S793" s="1171"/>
      <c r="T793" s="1171"/>
      <c r="U793" s="1171"/>
      <c r="V793" s="1171">
        <f t="shared" si="794"/>
        <v>0</v>
      </c>
      <c r="W793" s="1171"/>
      <c r="X793" s="1171"/>
      <c r="Y793" s="1171"/>
      <c r="Z793" s="1171"/>
      <c r="AA793" s="1171"/>
      <c r="AB793" s="1171"/>
      <c r="AD793" s="650">
        <f t="shared" si="792"/>
        <v>0</v>
      </c>
      <c r="AI793" s="1277">
        <f>VLOOKUP(K793,'[2]ผลการเบิกจ่ายสะสม พ.ย. 66'!$C:$N,12,0)</f>
        <v>0</v>
      </c>
      <c r="AJ793" s="1274">
        <f t="shared" si="793"/>
        <v>0</v>
      </c>
    </row>
    <row r="794" spans="1:36" ht="21" customHeight="1" outlineLevel="1" x14ac:dyDescent="0.35">
      <c r="A794" s="313"/>
      <c r="B794" s="293"/>
      <c r="C794" s="944" t="s">
        <v>1257</v>
      </c>
      <c r="D794" s="1168"/>
      <c r="E794" s="1171"/>
      <c r="F794" s="1171"/>
      <c r="G794" s="1171"/>
      <c r="H794" s="1171"/>
      <c r="I794" s="1172"/>
      <c r="J794" s="1172"/>
      <c r="K794" s="1047"/>
      <c r="L794" s="1047"/>
      <c r="M794" s="1171"/>
      <c r="N794" s="1171"/>
      <c r="O794" s="1171"/>
      <c r="P794" s="1171"/>
      <c r="Q794" s="1171"/>
      <c r="R794" s="1171"/>
      <c r="S794" s="1171"/>
      <c r="T794" s="1171"/>
      <c r="U794" s="1171"/>
      <c r="V794" s="1171">
        <f t="shared" si="794"/>
        <v>0</v>
      </c>
      <c r="W794" s="1171"/>
      <c r="X794" s="1171"/>
      <c r="Y794" s="1171"/>
      <c r="Z794" s="1171"/>
      <c r="AA794" s="1171"/>
      <c r="AB794" s="1171"/>
      <c r="AD794" s="650">
        <f t="shared" si="792"/>
        <v>0</v>
      </c>
      <c r="AI794" s="1277">
        <f>VLOOKUP(K794,'[2]ผลการเบิกจ่ายสะสม พ.ย. 66'!$C:$N,12,0)</f>
        <v>0</v>
      </c>
      <c r="AJ794" s="1274">
        <f t="shared" si="793"/>
        <v>0</v>
      </c>
    </row>
    <row r="795" spans="1:36" ht="21" customHeight="1" outlineLevel="1" x14ac:dyDescent="0.35">
      <c r="A795" s="313"/>
      <c r="B795" s="293"/>
      <c r="C795" s="930" t="s">
        <v>1258</v>
      </c>
      <c r="D795" s="1168"/>
      <c r="E795" s="1171"/>
      <c r="F795" s="1171"/>
      <c r="G795" s="1171"/>
      <c r="H795" s="1171"/>
      <c r="I795" s="1172"/>
      <c r="J795" s="1172"/>
      <c r="K795" s="1047"/>
      <c r="L795" s="1047"/>
      <c r="M795" s="1171"/>
      <c r="N795" s="1171"/>
      <c r="O795" s="1171"/>
      <c r="P795" s="1171"/>
      <c r="Q795" s="1171"/>
      <c r="R795" s="1171"/>
      <c r="S795" s="1171"/>
      <c r="T795" s="1171"/>
      <c r="U795" s="1171"/>
      <c r="V795" s="1171">
        <f t="shared" si="794"/>
        <v>0</v>
      </c>
      <c r="W795" s="1171"/>
      <c r="X795" s="1171"/>
      <c r="Y795" s="1171"/>
      <c r="Z795" s="1171"/>
      <c r="AA795" s="1171"/>
      <c r="AB795" s="1171"/>
      <c r="AD795" s="650">
        <f t="shared" si="792"/>
        <v>0</v>
      </c>
      <c r="AI795" s="1277">
        <f>VLOOKUP(K795,'[2]ผลการเบิกจ่ายสะสม พ.ย. 66'!$C:$N,12,0)</f>
        <v>0</v>
      </c>
      <c r="AJ795" s="1274">
        <f t="shared" si="793"/>
        <v>0</v>
      </c>
    </row>
    <row r="796" spans="1:36" ht="21" customHeight="1" outlineLevel="1" x14ac:dyDescent="0.35">
      <c r="A796" s="313"/>
      <c r="B796" s="293"/>
      <c r="C796" s="944" t="s">
        <v>1259</v>
      </c>
      <c r="D796" s="1168"/>
      <c r="E796" s="1171"/>
      <c r="F796" s="1171"/>
      <c r="G796" s="1171"/>
      <c r="H796" s="1171"/>
      <c r="I796" s="1172"/>
      <c r="J796" s="1172"/>
      <c r="K796" s="1047"/>
      <c r="L796" s="1047"/>
      <c r="M796" s="1171"/>
      <c r="N796" s="1171"/>
      <c r="O796" s="1171"/>
      <c r="P796" s="1171"/>
      <c r="Q796" s="1171"/>
      <c r="R796" s="1171"/>
      <c r="S796" s="1171"/>
      <c r="T796" s="1171"/>
      <c r="U796" s="1171"/>
      <c r="V796" s="1171">
        <f t="shared" si="794"/>
        <v>0</v>
      </c>
      <c r="W796" s="1171"/>
      <c r="X796" s="1171"/>
      <c r="Y796" s="1171"/>
      <c r="Z796" s="1171"/>
      <c r="AA796" s="1171"/>
      <c r="AB796" s="1171"/>
      <c r="AD796" s="650">
        <f t="shared" si="792"/>
        <v>0</v>
      </c>
      <c r="AI796" s="1277">
        <f>VLOOKUP(K796,'[2]ผลการเบิกจ่ายสะสม พ.ย. 66'!$C:$N,12,0)</f>
        <v>0</v>
      </c>
      <c r="AJ796" s="1274">
        <f t="shared" si="793"/>
        <v>0</v>
      </c>
    </row>
    <row r="797" spans="1:36" ht="21" customHeight="1" outlineLevel="1" x14ac:dyDescent="0.35">
      <c r="A797" s="313"/>
      <c r="B797" s="293"/>
      <c r="C797" s="944" t="s">
        <v>1260</v>
      </c>
      <c r="D797" s="1168"/>
      <c r="E797" s="1171"/>
      <c r="F797" s="1171"/>
      <c r="G797" s="1171"/>
      <c r="H797" s="1171"/>
      <c r="I797" s="1172"/>
      <c r="J797" s="1172"/>
      <c r="K797" s="1047"/>
      <c r="L797" s="1047"/>
      <c r="M797" s="1171"/>
      <c r="N797" s="1171"/>
      <c r="O797" s="1171"/>
      <c r="P797" s="1171"/>
      <c r="Q797" s="1171"/>
      <c r="R797" s="1171"/>
      <c r="S797" s="1171"/>
      <c r="T797" s="1171"/>
      <c r="U797" s="1171"/>
      <c r="V797" s="1171">
        <f t="shared" si="794"/>
        <v>0</v>
      </c>
      <c r="W797" s="1171"/>
      <c r="X797" s="1171"/>
      <c r="Y797" s="1171"/>
      <c r="Z797" s="1171"/>
      <c r="AA797" s="1171"/>
      <c r="AB797" s="1171"/>
      <c r="AD797" s="650">
        <f t="shared" si="792"/>
        <v>0</v>
      </c>
      <c r="AI797" s="1277">
        <f>VLOOKUP(K797,'[2]ผลการเบิกจ่ายสะสม พ.ย. 66'!$C:$N,12,0)</f>
        <v>0</v>
      </c>
      <c r="AJ797" s="1274">
        <f t="shared" si="793"/>
        <v>0</v>
      </c>
    </row>
    <row r="798" spans="1:36" ht="21" customHeight="1" outlineLevel="1" x14ac:dyDescent="0.35">
      <c r="A798" s="313"/>
      <c r="B798" s="293"/>
      <c r="C798" s="944" t="s">
        <v>1261</v>
      </c>
      <c r="D798" s="1168"/>
      <c r="E798" s="1171"/>
      <c r="F798" s="1171"/>
      <c r="G798" s="1171"/>
      <c r="H798" s="1171"/>
      <c r="I798" s="1172"/>
      <c r="J798" s="1172"/>
      <c r="K798" s="1047"/>
      <c r="L798" s="1047"/>
      <c r="M798" s="1171"/>
      <c r="N798" s="1171"/>
      <c r="O798" s="1171"/>
      <c r="P798" s="1171"/>
      <c r="Q798" s="1171"/>
      <c r="R798" s="1171"/>
      <c r="S798" s="1171"/>
      <c r="T798" s="1171"/>
      <c r="U798" s="1171"/>
      <c r="V798" s="1171">
        <f t="shared" si="794"/>
        <v>0</v>
      </c>
      <c r="W798" s="1171"/>
      <c r="X798" s="1171"/>
      <c r="Y798" s="1171"/>
      <c r="Z798" s="1171"/>
      <c r="AA798" s="1171"/>
      <c r="AB798" s="1171"/>
      <c r="AD798" s="650">
        <f t="shared" si="792"/>
        <v>0</v>
      </c>
      <c r="AI798" s="1277">
        <f>VLOOKUP(K798,'[2]ผลการเบิกจ่ายสะสม พ.ย. 66'!$C:$N,12,0)</f>
        <v>0</v>
      </c>
      <c r="AJ798" s="1274">
        <f t="shared" si="793"/>
        <v>0</v>
      </c>
    </row>
    <row r="799" spans="1:36" ht="21" customHeight="1" outlineLevel="1" x14ac:dyDescent="0.35">
      <c r="A799" s="313"/>
      <c r="B799" s="293"/>
      <c r="C799" s="944" t="s">
        <v>1262</v>
      </c>
      <c r="D799" s="1168"/>
      <c r="E799" s="1171"/>
      <c r="F799" s="1171"/>
      <c r="G799" s="1171"/>
      <c r="H799" s="1171"/>
      <c r="I799" s="1172"/>
      <c r="J799" s="1172"/>
      <c r="K799" s="1047"/>
      <c r="L799" s="1047"/>
      <c r="M799" s="1171"/>
      <c r="N799" s="1171"/>
      <c r="O799" s="1171"/>
      <c r="P799" s="1171"/>
      <c r="Q799" s="1171"/>
      <c r="R799" s="1171"/>
      <c r="S799" s="1171"/>
      <c r="T799" s="1171"/>
      <c r="U799" s="1171"/>
      <c r="V799" s="1171">
        <f t="shared" si="794"/>
        <v>0</v>
      </c>
      <c r="W799" s="1171"/>
      <c r="X799" s="1171"/>
      <c r="Y799" s="1171"/>
      <c r="Z799" s="1171"/>
      <c r="AA799" s="1171"/>
      <c r="AB799" s="1171"/>
      <c r="AD799" s="650">
        <f t="shared" si="792"/>
        <v>0</v>
      </c>
      <c r="AI799" s="1277">
        <f>VLOOKUP(K799,'[2]ผลการเบิกจ่ายสะสม พ.ย. 66'!$C:$N,12,0)</f>
        <v>0</v>
      </c>
      <c r="AJ799" s="1274">
        <f t="shared" si="793"/>
        <v>0</v>
      </c>
    </row>
    <row r="800" spans="1:36" ht="21" customHeight="1" outlineLevel="1" x14ac:dyDescent="0.35">
      <c r="A800" s="313"/>
      <c r="B800" s="293"/>
      <c r="C800" s="944" t="s">
        <v>1263</v>
      </c>
      <c r="D800" s="1168"/>
      <c r="E800" s="1171"/>
      <c r="F800" s="1171"/>
      <c r="G800" s="1171"/>
      <c r="H800" s="1171"/>
      <c r="I800" s="1172"/>
      <c r="J800" s="1172"/>
      <c r="K800" s="1047"/>
      <c r="L800" s="1047"/>
      <c r="M800" s="1171"/>
      <c r="N800" s="1171"/>
      <c r="O800" s="1171"/>
      <c r="P800" s="1171"/>
      <c r="Q800" s="1171"/>
      <c r="R800" s="1171"/>
      <c r="S800" s="1171"/>
      <c r="T800" s="1171"/>
      <c r="U800" s="1171"/>
      <c r="V800" s="1171">
        <f t="shared" si="794"/>
        <v>0</v>
      </c>
      <c r="W800" s="1171"/>
      <c r="X800" s="1171"/>
      <c r="Y800" s="1171"/>
      <c r="Z800" s="1171"/>
      <c r="AA800" s="1171"/>
      <c r="AB800" s="1171"/>
      <c r="AD800" s="650">
        <f t="shared" si="792"/>
        <v>0</v>
      </c>
      <c r="AI800" s="1277">
        <f>VLOOKUP(K800,'[2]ผลการเบิกจ่ายสะสม พ.ย. 66'!$C:$N,12,0)</f>
        <v>0</v>
      </c>
      <c r="AJ800" s="1274">
        <f t="shared" si="793"/>
        <v>0</v>
      </c>
    </row>
    <row r="801" spans="1:36" ht="21" customHeight="1" outlineLevel="1" x14ac:dyDescent="0.35">
      <c r="A801" s="313"/>
      <c r="B801" s="293"/>
      <c r="C801" s="943" t="s">
        <v>43</v>
      </c>
      <c r="D801" s="1168"/>
      <c r="E801" s="1171"/>
      <c r="F801" s="1171"/>
      <c r="G801" s="1171"/>
      <c r="H801" s="1171"/>
      <c r="I801" s="1172"/>
      <c r="J801" s="1172"/>
      <c r="K801" s="1047"/>
      <c r="L801" s="1047"/>
      <c r="M801" s="1171"/>
      <c r="N801" s="1171"/>
      <c r="O801" s="1171"/>
      <c r="P801" s="1171"/>
      <c r="Q801" s="1171"/>
      <c r="R801" s="1171"/>
      <c r="S801" s="1171"/>
      <c r="T801" s="1171"/>
      <c r="U801" s="1171"/>
      <c r="V801" s="1171">
        <f t="shared" si="794"/>
        <v>0</v>
      </c>
      <c r="W801" s="1171"/>
      <c r="X801" s="1171"/>
      <c r="Y801" s="1171"/>
      <c r="Z801" s="1171"/>
      <c r="AA801" s="1171"/>
      <c r="AB801" s="1171"/>
      <c r="AD801" s="650">
        <f t="shared" si="792"/>
        <v>0</v>
      </c>
      <c r="AI801" s="1277">
        <f>VLOOKUP(K801,'[2]ผลการเบิกจ่ายสะสม พ.ย. 66'!$C:$N,12,0)</f>
        <v>0</v>
      </c>
      <c r="AJ801" s="1274">
        <f t="shared" si="793"/>
        <v>0</v>
      </c>
    </row>
    <row r="802" spans="1:36" ht="21" customHeight="1" outlineLevel="1" x14ac:dyDescent="0.35">
      <c r="A802" s="313"/>
      <c r="B802" s="293"/>
      <c r="C802" s="944" t="s">
        <v>1264</v>
      </c>
      <c r="D802" s="1168"/>
      <c r="E802" s="1171"/>
      <c r="F802" s="1171"/>
      <c r="G802" s="1171"/>
      <c r="H802" s="1171"/>
      <c r="I802" s="1172"/>
      <c r="J802" s="1172"/>
      <c r="K802" s="1047"/>
      <c r="L802" s="1047"/>
      <c r="M802" s="1171"/>
      <c r="N802" s="1171"/>
      <c r="O802" s="1171"/>
      <c r="P802" s="1171"/>
      <c r="Q802" s="1171"/>
      <c r="R802" s="1171"/>
      <c r="S802" s="1171"/>
      <c r="T802" s="1171"/>
      <c r="U802" s="1171"/>
      <c r="V802" s="1171">
        <f t="shared" si="794"/>
        <v>0</v>
      </c>
      <c r="W802" s="1171"/>
      <c r="X802" s="1171"/>
      <c r="Y802" s="1171"/>
      <c r="Z802" s="1171"/>
      <c r="AA802" s="1171"/>
      <c r="AB802" s="1171"/>
      <c r="AD802" s="650">
        <f t="shared" si="792"/>
        <v>0</v>
      </c>
      <c r="AI802" s="1277">
        <f>VLOOKUP(K802,'[2]ผลการเบิกจ่ายสะสม พ.ย. 66'!$C:$N,12,0)</f>
        <v>0</v>
      </c>
      <c r="AJ802" s="1274">
        <f t="shared" si="793"/>
        <v>0</v>
      </c>
    </row>
    <row r="803" spans="1:36" ht="21" customHeight="1" outlineLevel="1" x14ac:dyDescent="0.35">
      <c r="A803" s="313"/>
      <c r="B803" s="293"/>
      <c r="C803" s="945" t="s">
        <v>61</v>
      </c>
      <c r="D803" s="1168"/>
      <c r="E803" s="1171"/>
      <c r="F803" s="1171"/>
      <c r="G803" s="1171"/>
      <c r="H803" s="1171"/>
      <c r="I803" s="1172"/>
      <c r="J803" s="1172"/>
      <c r="K803" s="1047"/>
      <c r="L803" s="1047"/>
      <c r="M803" s="1171"/>
      <c r="N803" s="1171"/>
      <c r="O803" s="1171"/>
      <c r="P803" s="1171"/>
      <c r="Q803" s="1171"/>
      <c r="R803" s="1171"/>
      <c r="S803" s="1171"/>
      <c r="T803" s="1171"/>
      <c r="U803" s="1171"/>
      <c r="V803" s="1171">
        <f t="shared" si="794"/>
        <v>0</v>
      </c>
      <c r="W803" s="1171"/>
      <c r="X803" s="1171"/>
      <c r="Y803" s="1171"/>
      <c r="Z803" s="1171"/>
      <c r="AA803" s="1171"/>
      <c r="AB803" s="1171"/>
      <c r="AD803" s="650">
        <f t="shared" si="792"/>
        <v>0</v>
      </c>
      <c r="AI803" s="1277">
        <f>VLOOKUP(K803,'[2]ผลการเบิกจ่ายสะสม พ.ย. 66'!$C:$N,12,0)</f>
        <v>0</v>
      </c>
      <c r="AJ803" s="1274">
        <f t="shared" si="793"/>
        <v>0</v>
      </c>
    </row>
    <row r="804" spans="1:36" ht="21" customHeight="1" outlineLevel="1" x14ac:dyDescent="0.35">
      <c r="A804" s="313"/>
      <c r="B804" s="293"/>
      <c r="C804" s="930" t="s">
        <v>1265</v>
      </c>
      <c r="D804" s="1168"/>
      <c r="E804" s="1171"/>
      <c r="F804" s="1171"/>
      <c r="G804" s="1171"/>
      <c r="H804" s="1171"/>
      <c r="I804" s="1172"/>
      <c r="J804" s="1172"/>
      <c r="K804" s="1047"/>
      <c r="L804" s="1047"/>
      <c r="M804" s="1171"/>
      <c r="N804" s="1171"/>
      <c r="O804" s="1171"/>
      <c r="P804" s="1171"/>
      <c r="Q804" s="1171"/>
      <c r="R804" s="1171"/>
      <c r="S804" s="1171"/>
      <c r="T804" s="1171"/>
      <c r="U804" s="1171"/>
      <c r="V804" s="1171">
        <f t="shared" si="794"/>
        <v>0</v>
      </c>
      <c r="W804" s="1171"/>
      <c r="X804" s="1171"/>
      <c r="Y804" s="1171"/>
      <c r="Z804" s="1171"/>
      <c r="AA804" s="1171"/>
      <c r="AB804" s="1171"/>
      <c r="AD804" s="650">
        <f t="shared" si="792"/>
        <v>0</v>
      </c>
      <c r="AI804" s="1277">
        <f>VLOOKUP(K804,'[2]ผลการเบิกจ่ายสะสม พ.ย. 66'!$C:$N,12,0)</f>
        <v>0</v>
      </c>
      <c r="AJ804" s="1274">
        <f t="shared" si="793"/>
        <v>0</v>
      </c>
    </row>
    <row r="805" spans="1:36" ht="21" customHeight="1" outlineLevel="1" x14ac:dyDescent="0.35">
      <c r="A805" s="313"/>
      <c r="B805" s="293"/>
      <c r="C805" s="930" t="s">
        <v>1266</v>
      </c>
      <c r="D805" s="1168"/>
      <c r="E805" s="1171"/>
      <c r="F805" s="1171"/>
      <c r="G805" s="1171"/>
      <c r="H805" s="1171"/>
      <c r="I805" s="1172"/>
      <c r="J805" s="1172"/>
      <c r="K805" s="1047"/>
      <c r="L805" s="1047"/>
      <c r="M805" s="1171"/>
      <c r="N805" s="1171"/>
      <c r="O805" s="1171"/>
      <c r="P805" s="1171"/>
      <c r="Q805" s="1171"/>
      <c r="R805" s="1171"/>
      <c r="S805" s="1171"/>
      <c r="T805" s="1171"/>
      <c r="U805" s="1171"/>
      <c r="V805" s="1171">
        <f t="shared" si="794"/>
        <v>0</v>
      </c>
      <c r="W805" s="1171"/>
      <c r="X805" s="1171"/>
      <c r="Y805" s="1171"/>
      <c r="Z805" s="1171"/>
      <c r="AA805" s="1171"/>
      <c r="AB805" s="1171"/>
      <c r="AD805" s="650">
        <f t="shared" si="792"/>
        <v>0</v>
      </c>
      <c r="AI805" s="1277">
        <f>VLOOKUP(K805,'[2]ผลการเบิกจ่ายสะสม พ.ย. 66'!$C:$N,12,0)</f>
        <v>0</v>
      </c>
      <c r="AJ805" s="1274">
        <f t="shared" si="793"/>
        <v>0</v>
      </c>
    </row>
    <row r="806" spans="1:36" ht="21" customHeight="1" outlineLevel="1" x14ac:dyDescent="0.35">
      <c r="A806" s="313"/>
      <c r="B806" s="293"/>
      <c r="C806" s="945" t="s">
        <v>80</v>
      </c>
      <c r="D806" s="1168"/>
      <c r="E806" s="1171"/>
      <c r="F806" s="1171"/>
      <c r="G806" s="1171"/>
      <c r="H806" s="1171"/>
      <c r="I806" s="1172"/>
      <c r="J806" s="1172"/>
      <c r="K806" s="1047"/>
      <c r="L806" s="1047"/>
      <c r="M806" s="1171"/>
      <c r="N806" s="1171"/>
      <c r="O806" s="1171"/>
      <c r="P806" s="1171"/>
      <c r="Q806" s="1171"/>
      <c r="R806" s="1171"/>
      <c r="S806" s="1171"/>
      <c r="T806" s="1171"/>
      <c r="U806" s="1171"/>
      <c r="V806" s="1171">
        <f t="shared" si="794"/>
        <v>0</v>
      </c>
      <c r="W806" s="1171"/>
      <c r="X806" s="1171"/>
      <c r="Y806" s="1171"/>
      <c r="Z806" s="1171"/>
      <c r="AA806" s="1171"/>
      <c r="AB806" s="1171"/>
      <c r="AD806" s="650">
        <f t="shared" si="792"/>
        <v>0</v>
      </c>
      <c r="AI806" s="1277">
        <f>VLOOKUP(K806,'[2]ผลการเบิกจ่ายสะสม พ.ย. 66'!$C:$N,12,0)</f>
        <v>0</v>
      </c>
      <c r="AJ806" s="1274">
        <f t="shared" si="793"/>
        <v>0</v>
      </c>
    </row>
    <row r="807" spans="1:36" ht="21" customHeight="1" outlineLevel="1" x14ac:dyDescent="0.35">
      <c r="A807" s="313"/>
      <c r="B807" s="293"/>
      <c r="C807" s="930" t="s">
        <v>1267</v>
      </c>
      <c r="D807" s="1168"/>
      <c r="E807" s="1171"/>
      <c r="F807" s="1171"/>
      <c r="G807" s="1171"/>
      <c r="H807" s="1171"/>
      <c r="I807" s="1172"/>
      <c r="J807" s="1172"/>
      <c r="K807" s="1047"/>
      <c r="L807" s="1047"/>
      <c r="M807" s="1171"/>
      <c r="N807" s="1171"/>
      <c r="O807" s="1171"/>
      <c r="P807" s="1171"/>
      <c r="Q807" s="1171"/>
      <c r="R807" s="1171"/>
      <c r="S807" s="1171"/>
      <c r="T807" s="1171"/>
      <c r="U807" s="1171"/>
      <c r="V807" s="1171">
        <f t="shared" si="794"/>
        <v>0</v>
      </c>
      <c r="W807" s="1171"/>
      <c r="X807" s="1171"/>
      <c r="Y807" s="1171"/>
      <c r="Z807" s="1171"/>
      <c r="AA807" s="1171"/>
      <c r="AB807" s="1171"/>
      <c r="AD807" s="650">
        <f t="shared" si="792"/>
        <v>0</v>
      </c>
      <c r="AI807" s="1277">
        <f>VLOOKUP(K807,'[2]ผลการเบิกจ่ายสะสม พ.ย. 66'!$C:$N,12,0)</f>
        <v>0</v>
      </c>
      <c r="AJ807" s="1274">
        <f t="shared" si="793"/>
        <v>0</v>
      </c>
    </row>
    <row r="808" spans="1:36" ht="21" customHeight="1" outlineLevel="1" x14ac:dyDescent="0.35">
      <c r="A808" s="313"/>
      <c r="B808" s="293"/>
      <c r="C808" s="930" t="s">
        <v>1268</v>
      </c>
      <c r="D808" s="1168"/>
      <c r="E808" s="1171"/>
      <c r="F808" s="1171"/>
      <c r="G808" s="1171"/>
      <c r="H808" s="1171"/>
      <c r="I808" s="1172"/>
      <c r="J808" s="1172"/>
      <c r="K808" s="1047"/>
      <c r="L808" s="1047"/>
      <c r="M808" s="1171"/>
      <c r="N808" s="1171"/>
      <c r="O808" s="1171"/>
      <c r="P808" s="1171"/>
      <c r="Q808" s="1171"/>
      <c r="R808" s="1171"/>
      <c r="S808" s="1171"/>
      <c r="T808" s="1171"/>
      <c r="U808" s="1171"/>
      <c r="V808" s="1171">
        <f t="shared" si="794"/>
        <v>0</v>
      </c>
      <c r="W808" s="1171"/>
      <c r="X808" s="1171"/>
      <c r="Y808" s="1171"/>
      <c r="Z808" s="1171"/>
      <c r="AA808" s="1171"/>
      <c r="AB808" s="1171"/>
      <c r="AD808" s="650">
        <f t="shared" si="792"/>
        <v>0</v>
      </c>
      <c r="AI808" s="1277">
        <f>VLOOKUP(K808,'[2]ผลการเบิกจ่ายสะสม พ.ย. 66'!$C:$N,12,0)</f>
        <v>0</v>
      </c>
      <c r="AJ808" s="1274">
        <f t="shared" si="793"/>
        <v>0</v>
      </c>
    </row>
    <row r="809" spans="1:36" ht="21" customHeight="1" outlineLevel="1" x14ac:dyDescent="0.35">
      <c r="A809" s="313"/>
      <c r="B809" s="293"/>
      <c r="C809" s="945" t="s">
        <v>115</v>
      </c>
      <c r="D809" s="1168"/>
      <c r="E809" s="1171"/>
      <c r="F809" s="1171"/>
      <c r="G809" s="1171"/>
      <c r="H809" s="1171"/>
      <c r="I809" s="1172"/>
      <c r="J809" s="1172"/>
      <c r="K809" s="1047"/>
      <c r="L809" s="1047"/>
      <c r="M809" s="1171"/>
      <c r="N809" s="1171"/>
      <c r="O809" s="1171"/>
      <c r="P809" s="1171"/>
      <c r="Q809" s="1171"/>
      <c r="R809" s="1171"/>
      <c r="S809" s="1171"/>
      <c r="T809" s="1171"/>
      <c r="U809" s="1171"/>
      <c r="V809" s="1171">
        <f t="shared" si="794"/>
        <v>0</v>
      </c>
      <c r="W809" s="1171"/>
      <c r="X809" s="1171"/>
      <c r="Y809" s="1171"/>
      <c r="Z809" s="1171"/>
      <c r="AA809" s="1171"/>
      <c r="AB809" s="1171"/>
      <c r="AD809" s="650">
        <f t="shared" si="792"/>
        <v>0</v>
      </c>
      <c r="AI809" s="1277">
        <f>VLOOKUP(K809,'[2]ผลการเบิกจ่ายสะสม พ.ย. 66'!$C:$N,12,0)</f>
        <v>0</v>
      </c>
      <c r="AJ809" s="1274">
        <f t="shared" si="793"/>
        <v>0</v>
      </c>
    </row>
    <row r="810" spans="1:36" ht="21" customHeight="1" outlineLevel="1" x14ac:dyDescent="0.35">
      <c r="A810" s="313"/>
      <c r="B810" s="293"/>
      <c r="C810" s="930" t="s">
        <v>1269</v>
      </c>
      <c r="D810" s="1168"/>
      <c r="E810" s="1171"/>
      <c r="F810" s="1171"/>
      <c r="G810" s="1171"/>
      <c r="H810" s="1171"/>
      <c r="I810" s="1172"/>
      <c r="J810" s="1172"/>
      <c r="K810" s="1047"/>
      <c r="L810" s="1047"/>
      <c r="M810" s="1171"/>
      <c r="N810" s="1171"/>
      <c r="O810" s="1171"/>
      <c r="P810" s="1171"/>
      <c r="Q810" s="1171"/>
      <c r="R810" s="1171"/>
      <c r="S810" s="1171"/>
      <c r="T810" s="1171"/>
      <c r="U810" s="1171"/>
      <c r="V810" s="1171">
        <f t="shared" si="794"/>
        <v>0</v>
      </c>
      <c r="W810" s="1171"/>
      <c r="X810" s="1171"/>
      <c r="Y810" s="1171"/>
      <c r="Z810" s="1171"/>
      <c r="AA810" s="1171"/>
      <c r="AB810" s="1171"/>
      <c r="AD810" s="650">
        <f t="shared" si="792"/>
        <v>0</v>
      </c>
      <c r="AI810" s="1277">
        <f>VLOOKUP(K810,'[2]ผลการเบิกจ่ายสะสม พ.ย. 66'!$C:$N,12,0)</f>
        <v>0</v>
      </c>
      <c r="AJ810" s="1274">
        <f t="shared" si="793"/>
        <v>0</v>
      </c>
    </row>
    <row r="811" spans="1:36" ht="21" customHeight="1" outlineLevel="1" x14ac:dyDescent="0.35">
      <c r="A811" s="313"/>
      <c r="B811" s="293"/>
      <c r="C811" s="945" t="s">
        <v>69</v>
      </c>
      <c r="D811" s="1168"/>
      <c r="E811" s="1171"/>
      <c r="F811" s="1171"/>
      <c r="G811" s="1171"/>
      <c r="H811" s="1171"/>
      <c r="I811" s="1172"/>
      <c r="J811" s="1172"/>
      <c r="K811" s="1047"/>
      <c r="L811" s="1047"/>
      <c r="M811" s="1171"/>
      <c r="N811" s="1171"/>
      <c r="O811" s="1171"/>
      <c r="P811" s="1171"/>
      <c r="Q811" s="1171"/>
      <c r="R811" s="1171"/>
      <c r="S811" s="1171"/>
      <c r="T811" s="1171"/>
      <c r="U811" s="1171"/>
      <c r="V811" s="1171">
        <f t="shared" si="794"/>
        <v>0</v>
      </c>
      <c r="W811" s="1171"/>
      <c r="X811" s="1171"/>
      <c r="Y811" s="1171"/>
      <c r="Z811" s="1171"/>
      <c r="AA811" s="1171"/>
      <c r="AB811" s="1171"/>
      <c r="AD811" s="650">
        <f t="shared" si="792"/>
        <v>0</v>
      </c>
      <c r="AI811" s="1277">
        <f>VLOOKUP(K811,'[2]ผลการเบิกจ่ายสะสม พ.ย. 66'!$C:$N,12,0)</f>
        <v>0</v>
      </c>
      <c r="AJ811" s="1274">
        <f t="shared" si="793"/>
        <v>0</v>
      </c>
    </row>
    <row r="812" spans="1:36" ht="21" customHeight="1" outlineLevel="1" x14ac:dyDescent="0.35">
      <c r="A812" s="313"/>
      <c r="B812" s="293"/>
      <c r="C812" s="930" t="s">
        <v>1270</v>
      </c>
      <c r="D812" s="1168"/>
      <c r="E812" s="1171"/>
      <c r="F812" s="1171"/>
      <c r="G812" s="1171"/>
      <c r="H812" s="1171"/>
      <c r="I812" s="1172"/>
      <c r="J812" s="1172"/>
      <c r="K812" s="1047"/>
      <c r="L812" s="1047"/>
      <c r="M812" s="1171"/>
      <c r="N812" s="1171"/>
      <c r="O812" s="1171"/>
      <c r="P812" s="1171"/>
      <c r="Q812" s="1171"/>
      <c r="R812" s="1171"/>
      <c r="S812" s="1171"/>
      <c r="T812" s="1171"/>
      <c r="U812" s="1171"/>
      <c r="V812" s="1171">
        <f t="shared" si="794"/>
        <v>0</v>
      </c>
      <c r="W812" s="1171"/>
      <c r="X812" s="1171"/>
      <c r="Y812" s="1171"/>
      <c r="Z812" s="1171"/>
      <c r="AA812" s="1171"/>
      <c r="AB812" s="1171"/>
      <c r="AD812" s="650">
        <f t="shared" si="792"/>
        <v>0</v>
      </c>
      <c r="AI812" s="1277">
        <f>VLOOKUP(K812,'[2]ผลการเบิกจ่ายสะสม พ.ย. 66'!$C:$N,12,0)</f>
        <v>0</v>
      </c>
      <c r="AJ812" s="1274">
        <f t="shared" si="793"/>
        <v>0</v>
      </c>
    </row>
    <row r="813" spans="1:36" ht="21" customHeight="1" outlineLevel="1" x14ac:dyDescent="0.35">
      <c r="A813" s="313"/>
      <c r="B813" s="293"/>
      <c r="C813" s="945" t="s">
        <v>116</v>
      </c>
      <c r="D813" s="1168"/>
      <c r="E813" s="1171"/>
      <c r="F813" s="1171"/>
      <c r="G813" s="1171"/>
      <c r="H813" s="1171"/>
      <c r="I813" s="1172"/>
      <c r="J813" s="1172"/>
      <c r="K813" s="1047"/>
      <c r="L813" s="1047"/>
      <c r="M813" s="1171"/>
      <c r="N813" s="1171"/>
      <c r="O813" s="1171"/>
      <c r="P813" s="1171"/>
      <c r="Q813" s="1171"/>
      <c r="R813" s="1171"/>
      <c r="S813" s="1171"/>
      <c r="T813" s="1171"/>
      <c r="U813" s="1171"/>
      <c r="V813" s="1171">
        <f t="shared" si="794"/>
        <v>0</v>
      </c>
      <c r="W813" s="1171"/>
      <c r="X813" s="1171"/>
      <c r="Y813" s="1171"/>
      <c r="Z813" s="1171"/>
      <c r="AA813" s="1171"/>
      <c r="AB813" s="1171"/>
      <c r="AD813" s="650">
        <f t="shared" si="792"/>
        <v>0</v>
      </c>
      <c r="AI813" s="1277">
        <f>VLOOKUP(K813,'[2]ผลการเบิกจ่ายสะสม พ.ย. 66'!$C:$N,12,0)</f>
        <v>0</v>
      </c>
      <c r="AJ813" s="1274">
        <f t="shared" si="793"/>
        <v>0</v>
      </c>
    </row>
    <row r="814" spans="1:36" ht="21" customHeight="1" outlineLevel="1" x14ac:dyDescent="0.35">
      <c r="A814" s="313"/>
      <c r="B814" s="293"/>
      <c r="C814" s="930" t="s">
        <v>1271</v>
      </c>
      <c r="D814" s="1168"/>
      <c r="E814" s="1171"/>
      <c r="F814" s="1171"/>
      <c r="G814" s="1171"/>
      <c r="H814" s="1171"/>
      <c r="I814" s="1172"/>
      <c r="J814" s="1172"/>
      <c r="K814" s="1047"/>
      <c r="L814" s="1047"/>
      <c r="M814" s="1171"/>
      <c r="N814" s="1171"/>
      <c r="O814" s="1171"/>
      <c r="P814" s="1171"/>
      <c r="Q814" s="1171"/>
      <c r="R814" s="1171"/>
      <c r="S814" s="1171"/>
      <c r="T814" s="1171"/>
      <c r="U814" s="1171"/>
      <c r="V814" s="1171">
        <f t="shared" si="794"/>
        <v>0</v>
      </c>
      <c r="W814" s="1171"/>
      <c r="X814" s="1171"/>
      <c r="Y814" s="1171"/>
      <c r="Z814" s="1171"/>
      <c r="AA814" s="1171"/>
      <c r="AB814" s="1171"/>
      <c r="AD814" s="650">
        <f t="shared" si="792"/>
        <v>0</v>
      </c>
      <c r="AI814" s="1277">
        <f>VLOOKUP(K814,'[2]ผลการเบิกจ่ายสะสม พ.ย. 66'!$C:$N,12,0)</f>
        <v>0</v>
      </c>
      <c r="AJ814" s="1274">
        <f t="shared" si="793"/>
        <v>0</v>
      </c>
    </row>
    <row r="815" spans="1:36" ht="21" customHeight="1" outlineLevel="1" x14ac:dyDescent="0.35">
      <c r="A815" s="313"/>
      <c r="B815" s="293" t="s">
        <v>654</v>
      </c>
      <c r="C815" s="944"/>
      <c r="D815" s="1168"/>
      <c r="E815" s="1171"/>
      <c r="F815" s="1171"/>
      <c r="G815" s="1171"/>
      <c r="H815" s="1171"/>
      <c r="I815" s="1172"/>
      <c r="J815" s="1172">
        <f>J817</f>
        <v>19322300</v>
      </c>
      <c r="K815" s="1047"/>
      <c r="L815" s="1047"/>
      <c r="M815" s="1171">
        <f t="shared" ref="M815:U815" si="795">M817</f>
        <v>0</v>
      </c>
      <c r="N815" s="1171">
        <f>N817</f>
        <v>0</v>
      </c>
      <c r="O815" s="1171">
        <f t="shared" si="795"/>
        <v>0</v>
      </c>
      <c r="P815" s="1171">
        <f t="shared" si="795"/>
        <v>0</v>
      </c>
      <c r="Q815" s="1171">
        <f t="shared" si="795"/>
        <v>0</v>
      </c>
      <c r="R815" s="1171">
        <f t="shared" si="795"/>
        <v>0</v>
      </c>
      <c r="S815" s="1171">
        <f t="shared" si="795"/>
        <v>0</v>
      </c>
      <c r="T815" s="1171">
        <f t="shared" si="795"/>
        <v>0</v>
      </c>
      <c r="U815" s="1171">
        <f t="shared" si="795"/>
        <v>0</v>
      </c>
      <c r="V815" s="1171">
        <f t="shared" si="794"/>
        <v>0</v>
      </c>
      <c r="W815" s="1171">
        <f t="shared" ref="W815:AB815" si="796">W817</f>
        <v>0</v>
      </c>
      <c r="X815" s="1171">
        <f t="shared" si="796"/>
        <v>0</v>
      </c>
      <c r="Y815" s="1171">
        <f t="shared" si="796"/>
        <v>0</v>
      </c>
      <c r="Z815" s="1171">
        <f t="shared" si="796"/>
        <v>0</v>
      </c>
      <c r="AA815" s="1171">
        <f t="shared" si="796"/>
        <v>0</v>
      </c>
      <c r="AB815" s="1171">
        <f t="shared" si="796"/>
        <v>0</v>
      </c>
      <c r="AD815" s="650">
        <f t="shared" si="792"/>
        <v>0</v>
      </c>
      <c r="AI815" s="1277">
        <f>VLOOKUP(K815,'[2]ผลการเบิกจ่ายสะสม พ.ย. 66'!$C:$N,12,0)</f>
        <v>0</v>
      </c>
      <c r="AJ815" s="1274">
        <f t="shared" si="793"/>
        <v>0</v>
      </c>
    </row>
    <row r="816" spans="1:36" ht="21" customHeight="1" outlineLevel="1" x14ac:dyDescent="0.35">
      <c r="A816" s="313"/>
      <c r="B816" s="293"/>
      <c r="C816" s="943" t="s">
        <v>262</v>
      </c>
      <c r="D816" s="1168"/>
      <c r="E816" s="1171"/>
      <c r="F816" s="1171"/>
      <c r="G816" s="1171"/>
      <c r="H816" s="1171"/>
      <c r="I816" s="1172"/>
      <c r="J816" s="1172"/>
      <c r="K816" s="1047"/>
      <c r="L816" s="1047"/>
      <c r="M816" s="1171"/>
      <c r="N816" s="1171"/>
      <c r="O816" s="1171"/>
      <c r="P816" s="1171"/>
      <c r="Q816" s="1171"/>
      <c r="R816" s="1171"/>
      <c r="S816" s="1171"/>
      <c r="T816" s="1171"/>
      <c r="U816" s="1171"/>
      <c r="V816" s="1171">
        <f t="shared" si="794"/>
        <v>0</v>
      </c>
      <c r="W816" s="1171"/>
      <c r="X816" s="1171"/>
      <c r="Y816" s="1171"/>
      <c r="Z816" s="1171"/>
      <c r="AA816" s="1171"/>
      <c r="AB816" s="1171"/>
      <c r="AD816" s="650">
        <f t="shared" si="792"/>
        <v>0</v>
      </c>
      <c r="AI816" s="1277">
        <f>VLOOKUP(K816,'[2]ผลการเบิกจ่ายสะสม พ.ย. 66'!$C:$N,12,0)</f>
        <v>0</v>
      </c>
      <c r="AJ816" s="1274">
        <f t="shared" si="793"/>
        <v>0</v>
      </c>
    </row>
    <row r="817" spans="1:36" ht="21" customHeight="1" outlineLevel="1" x14ac:dyDescent="0.35">
      <c r="A817" s="313"/>
      <c r="B817" s="293"/>
      <c r="C817" s="930" t="s">
        <v>1272</v>
      </c>
      <c r="D817" s="1168"/>
      <c r="E817" s="1171"/>
      <c r="F817" s="1171"/>
      <c r="G817" s="1171"/>
      <c r="H817" s="1171"/>
      <c r="I817" s="1172"/>
      <c r="J817" s="1172">
        <v>19322300</v>
      </c>
      <c r="K817" s="1047" t="s">
        <v>1407</v>
      </c>
      <c r="L817" s="1047" t="s">
        <v>1430</v>
      </c>
      <c r="M817" s="1171"/>
      <c r="N817" s="1171"/>
      <c r="O817" s="1171"/>
      <c r="P817" s="1171"/>
      <c r="Q817" s="1171"/>
      <c r="R817" s="1171"/>
      <c r="S817" s="1171"/>
      <c r="T817" s="1171"/>
      <c r="U817" s="1171"/>
      <c r="V817" s="1171">
        <f t="shared" si="794"/>
        <v>0</v>
      </c>
      <c r="W817" s="1171"/>
      <c r="X817" s="1171"/>
      <c r="Y817" s="1171"/>
      <c r="Z817" s="1171"/>
      <c r="AA817" s="1171"/>
      <c r="AB817" s="1171"/>
      <c r="AD817" s="650">
        <f t="shared" si="792"/>
        <v>0</v>
      </c>
      <c r="AI817" s="1277" t="e">
        <f>VLOOKUP(K817,'[2]ผลการเบิกจ่ายสะสม พ.ย. 66'!$C:$N,12,0)</f>
        <v>#N/A</v>
      </c>
      <c r="AJ817" s="1274" t="e">
        <f t="shared" si="793"/>
        <v>#N/A</v>
      </c>
    </row>
    <row r="818" spans="1:36" ht="21" customHeight="1" outlineLevel="1" x14ac:dyDescent="0.35">
      <c r="A818" s="313"/>
      <c r="B818" s="72" t="s">
        <v>437</v>
      </c>
      <c r="C818" s="942"/>
      <c r="D818" s="1168"/>
      <c r="E818" s="1169"/>
      <c r="F818" s="1169"/>
      <c r="G818" s="1169"/>
      <c r="H818" s="1169"/>
      <c r="I818" s="1170">
        <v>128000</v>
      </c>
      <c r="J818" s="1170">
        <v>88000</v>
      </c>
      <c r="K818" s="1046"/>
      <c r="L818" s="1046"/>
      <c r="M818" s="1169">
        <f t="shared" ref="M818:AB818" si="797">+M819</f>
        <v>0</v>
      </c>
      <c r="N818" s="1169">
        <f>+N819</f>
        <v>0</v>
      </c>
      <c r="O818" s="1169">
        <f t="shared" si="797"/>
        <v>0</v>
      </c>
      <c r="P818" s="1169">
        <f t="shared" si="797"/>
        <v>0</v>
      </c>
      <c r="Q818" s="1169">
        <f t="shared" si="797"/>
        <v>0</v>
      </c>
      <c r="R818" s="1169">
        <f t="shared" si="797"/>
        <v>0</v>
      </c>
      <c r="S818" s="1169">
        <f t="shared" si="797"/>
        <v>0</v>
      </c>
      <c r="T818" s="1169">
        <f t="shared" si="797"/>
        <v>0</v>
      </c>
      <c r="U818" s="1169">
        <f t="shared" si="797"/>
        <v>0</v>
      </c>
      <c r="V818" s="1169">
        <f t="shared" si="794"/>
        <v>0</v>
      </c>
      <c r="W818" s="1169">
        <f t="shared" si="797"/>
        <v>0</v>
      </c>
      <c r="X818" s="1169">
        <f t="shared" si="797"/>
        <v>0</v>
      </c>
      <c r="Y818" s="1169">
        <f t="shared" si="797"/>
        <v>0</v>
      </c>
      <c r="Z818" s="1169">
        <f t="shared" si="797"/>
        <v>0</v>
      </c>
      <c r="AA818" s="1169">
        <f t="shared" si="797"/>
        <v>0</v>
      </c>
      <c r="AB818" s="1169">
        <f t="shared" si="797"/>
        <v>0</v>
      </c>
      <c r="AD818" s="650">
        <f t="shared" si="792"/>
        <v>0</v>
      </c>
      <c r="AI818" s="1277">
        <f>VLOOKUP(K818,'[2]ผลการเบิกจ่ายสะสม พ.ย. 66'!$C:$N,12,0)</f>
        <v>0</v>
      </c>
      <c r="AJ818" s="1274">
        <f t="shared" si="793"/>
        <v>0</v>
      </c>
    </row>
    <row r="819" spans="1:36" ht="21" customHeight="1" outlineLevel="1" x14ac:dyDescent="0.35">
      <c r="A819" s="313"/>
      <c r="B819" s="293" t="s">
        <v>1226</v>
      </c>
      <c r="C819" s="942"/>
      <c r="D819" s="1168"/>
      <c r="E819" s="1171"/>
      <c r="F819" s="1171"/>
      <c r="G819" s="1171"/>
      <c r="H819" s="1171"/>
      <c r="I819" s="1172"/>
      <c r="J819" s="1172"/>
      <c r="K819" s="1047" t="s">
        <v>1408</v>
      </c>
      <c r="L819" s="1047" t="s">
        <v>1430</v>
      </c>
      <c r="M819" s="1171">
        <f t="shared" ref="M819:O819" si="798">SUM(M820:M829)</f>
        <v>0</v>
      </c>
      <c r="N819" s="1171">
        <f>SUM(N820:N829)</f>
        <v>0</v>
      </c>
      <c r="O819" s="1171">
        <f t="shared" si="798"/>
        <v>0</v>
      </c>
      <c r="P819" s="1171">
        <f t="shared" ref="P819:U819" si="799">SUM(P820:P829)</f>
        <v>0</v>
      </c>
      <c r="Q819" s="1171">
        <f t="shared" si="799"/>
        <v>0</v>
      </c>
      <c r="R819" s="1171">
        <f t="shared" si="799"/>
        <v>0</v>
      </c>
      <c r="S819" s="1171">
        <f t="shared" si="799"/>
        <v>0</v>
      </c>
      <c r="T819" s="1171">
        <f t="shared" si="799"/>
        <v>0</v>
      </c>
      <c r="U819" s="1171">
        <f t="shared" si="799"/>
        <v>0</v>
      </c>
      <c r="V819" s="1171">
        <f t="shared" si="794"/>
        <v>0</v>
      </c>
      <c r="W819" s="1171">
        <f t="shared" ref="W819:AB819" si="800">SUM(W820:W829)</f>
        <v>0</v>
      </c>
      <c r="X819" s="1171">
        <f t="shared" si="800"/>
        <v>0</v>
      </c>
      <c r="Y819" s="1171">
        <f t="shared" si="800"/>
        <v>0</v>
      </c>
      <c r="Z819" s="1171">
        <f t="shared" si="800"/>
        <v>0</v>
      </c>
      <c r="AA819" s="1171">
        <f t="shared" si="800"/>
        <v>0</v>
      </c>
      <c r="AB819" s="1171">
        <f t="shared" si="800"/>
        <v>0</v>
      </c>
      <c r="AD819" s="650">
        <f t="shared" si="792"/>
        <v>0</v>
      </c>
      <c r="AI819" s="1277" t="e">
        <f>VLOOKUP(K819,'[2]ผลการเบิกจ่ายสะสม พ.ย. 66'!$C:$N,12,0)</f>
        <v>#N/A</v>
      </c>
      <c r="AJ819" s="1274" t="e">
        <f t="shared" si="793"/>
        <v>#N/A</v>
      </c>
    </row>
    <row r="820" spans="1:36" ht="21" customHeight="1" outlineLevel="1" x14ac:dyDescent="0.35">
      <c r="A820" s="313"/>
      <c r="B820" s="293"/>
      <c r="C820" s="945" t="s">
        <v>262</v>
      </c>
      <c r="D820" s="1168"/>
      <c r="E820" s="1171"/>
      <c r="F820" s="1171"/>
      <c r="G820" s="1171"/>
      <c r="H820" s="1171"/>
      <c r="I820" s="1172"/>
      <c r="J820" s="1172"/>
      <c r="K820" s="1047"/>
      <c r="L820" s="1047"/>
      <c r="M820" s="1171"/>
      <c r="N820" s="1171"/>
      <c r="O820" s="1171"/>
      <c r="P820" s="1171"/>
      <c r="Q820" s="1171"/>
      <c r="R820" s="1171"/>
      <c r="S820" s="1171"/>
      <c r="T820" s="1171"/>
      <c r="U820" s="1171"/>
      <c r="V820" s="1171">
        <f t="shared" si="794"/>
        <v>0</v>
      </c>
      <c r="W820" s="1171"/>
      <c r="X820" s="1171"/>
      <c r="Y820" s="1171"/>
      <c r="Z820" s="1171"/>
      <c r="AA820" s="1171"/>
      <c r="AB820" s="1171"/>
      <c r="AD820" s="650">
        <f t="shared" si="792"/>
        <v>0</v>
      </c>
      <c r="AI820" s="1277">
        <f>VLOOKUP(K820,'[2]ผลการเบิกจ่ายสะสม พ.ย. 66'!$C:$N,12,0)</f>
        <v>0</v>
      </c>
      <c r="AJ820" s="1274">
        <f t="shared" si="793"/>
        <v>0</v>
      </c>
    </row>
    <row r="821" spans="1:36" ht="21" customHeight="1" outlineLevel="1" x14ac:dyDescent="0.35">
      <c r="A821" s="313"/>
      <c r="B821" s="293"/>
      <c r="C821" s="944" t="s">
        <v>981</v>
      </c>
      <c r="D821" s="1168"/>
      <c r="E821" s="1171"/>
      <c r="F821" s="1171"/>
      <c r="G821" s="1171"/>
      <c r="H821" s="1171"/>
      <c r="I821" s="1172"/>
      <c r="J821" s="1172">
        <v>26000</v>
      </c>
      <c r="K821" s="1047"/>
      <c r="L821" s="1047"/>
      <c r="M821" s="1171"/>
      <c r="N821" s="1171"/>
      <c r="O821" s="1171"/>
      <c r="P821" s="1171"/>
      <c r="Q821" s="1171"/>
      <c r="R821" s="1171"/>
      <c r="S821" s="1171"/>
      <c r="T821" s="1171"/>
      <c r="U821" s="1171"/>
      <c r="V821" s="1171">
        <f t="shared" si="794"/>
        <v>0</v>
      </c>
      <c r="W821" s="1171"/>
      <c r="X821" s="1171"/>
      <c r="Y821" s="1171"/>
      <c r="Z821" s="1171"/>
      <c r="AA821" s="1171"/>
      <c r="AB821" s="1171"/>
      <c r="AD821" s="650">
        <f t="shared" si="792"/>
        <v>0</v>
      </c>
      <c r="AI821" s="1277">
        <f>VLOOKUP(K821,'[2]ผลการเบิกจ่ายสะสม พ.ย. 66'!$C:$N,12,0)</f>
        <v>0</v>
      </c>
      <c r="AJ821" s="1274">
        <f t="shared" si="793"/>
        <v>0</v>
      </c>
    </row>
    <row r="822" spans="1:36" ht="21" customHeight="1" outlineLevel="1" x14ac:dyDescent="0.35">
      <c r="A822" s="313"/>
      <c r="B822" s="293"/>
      <c r="C822" s="945" t="s">
        <v>263</v>
      </c>
      <c r="D822" s="1168"/>
      <c r="E822" s="1171"/>
      <c r="F822" s="1171"/>
      <c r="G822" s="1171"/>
      <c r="H822" s="1171"/>
      <c r="I822" s="1172"/>
      <c r="J822" s="1192"/>
      <c r="K822" s="1054"/>
      <c r="L822" s="1054"/>
      <c r="M822" s="1196"/>
      <c r="N822" s="1196"/>
      <c r="O822" s="1196"/>
      <c r="P822" s="1196"/>
      <c r="Q822" s="1196"/>
      <c r="R822" s="1196"/>
      <c r="S822" s="1196"/>
      <c r="T822" s="1196"/>
      <c r="U822" s="1196"/>
      <c r="V822" s="1196">
        <f t="shared" si="794"/>
        <v>0</v>
      </c>
      <c r="W822" s="1196"/>
      <c r="X822" s="1196"/>
      <c r="Y822" s="1196"/>
      <c r="Z822" s="1196"/>
      <c r="AA822" s="1196"/>
      <c r="AB822" s="1196"/>
      <c r="AD822" s="650">
        <f t="shared" si="792"/>
        <v>0</v>
      </c>
      <c r="AI822" s="1277">
        <f>VLOOKUP(K822,'[2]ผลการเบิกจ่ายสะสม พ.ย. 66'!$C:$N,12,0)</f>
        <v>0</v>
      </c>
      <c r="AJ822" s="1274">
        <f t="shared" si="793"/>
        <v>0</v>
      </c>
    </row>
    <row r="823" spans="1:36" ht="21" customHeight="1" outlineLevel="1" x14ac:dyDescent="0.35">
      <c r="A823" s="313"/>
      <c r="B823" s="293"/>
      <c r="C823" s="930" t="s">
        <v>982</v>
      </c>
      <c r="D823" s="1168"/>
      <c r="E823" s="1171"/>
      <c r="F823" s="1171"/>
      <c r="G823" s="1171"/>
      <c r="H823" s="1171"/>
      <c r="I823" s="1172"/>
      <c r="J823" s="1172">
        <v>24000</v>
      </c>
      <c r="K823" s="1057"/>
      <c r="L823" s="1057"/>
      <c r="M823" s="1236"/>
      <c r="N823" s="1237"/>
      <c r="O823" s="1236"/>
      <c r="P823" s="1236"/>
      <c r="Q823" s="1236"/>
      <c r="R823" s="1236"/>
      <c r="S823" s="1236"/>
      <c r="T823" s="1236"/>
      <c r="U823" s="1236"/>
      <c r="V823" s="1236">
        <f t="shared" si="794"/>
        <v>0</v>
      </c>
      <c r="W823" s="1236"/>
      <c r="X823" s="1236"/>
      <c r="Y823" s="1236"/>
      <c r="Z823" s="1236"/>
      <c r="AA823" s="1236"/>
      <c r="AB823" s="1236"/>
      <c r="AD823" s="650">
        <f t="shared" si="792"/>
        <v>0</v>
      </c>
      <c r="AI823" s="1277">
        <f>VLOOKUP(K823,'[2]ผลการเบิกจ่ายสะสม พ.ย. 66'!$C:$N,12,0)</f>
        <v>0</v>
      </c>
      <c r="AJ823" s="1274">
        <f t="shared" si="793"/>
        <v>0</v>
      </c>
    </row>
    <row r="824" spans="1:36" ht="21" customHeight="1" outlineLevel="1" x14ac:dyDescent="0.35">
      <c r="A824" s="313"/>
      <c r="B824" s="293"/>
      <c r="C824" s="945" t="s">
        <v>51</v>
      </c>
      <c r="D824" s="1168"/>
      <c r="E824" s="1171"/>
      <c r="F824" s="1171"/>
      <c r="G824" s="1171"/>
      <c r="H824" s="1171"/>
      <c r="I824" s="1172"/>
      <c r="J824" s="1172"/>
      <c r="K824" s="1057"/>
      <c r="L824" s="1057"/>
      <c r="M824" s="1236"/>
      <c r="N824" s="1237"/>
      <c r="O824" s="1236"/>
      <c r="P824" s="1236"/>
      <c r="Q824" s="1236"/>
      <c r="R824" s="1236"/>
      <c r="S824" s="1236"/>
      <c r="T824" s="1236"/>
      <c r="U824" s="1236"/>
      <c r="V824" s="1236">
        <f t="shared" si="794"/>
        <v>0</v>
      </c>
      <c r="W824" s="1236"/>
      <c r="X824" s="1236"/>
      <c r="Y824" s="1236"/>
      <c r="Z824" s="1236"/>
      <c r="AA824" s="1236"/>
      <c r="AB824" s="1236"/>
      <c r="AD824" s="650">
        <f t="shared" si="792"/>
        <v>0</v>
      </c>
      <c r="AI824" s="1277">
        <f>VLOOKUP(K824,'[2]ผลการเบิกจ่ายสะสม พ.ย. 66'!$C:$N,12,0)</f>
        <v>0</v>
      </c>
      <c r="AJ824" s="1274">
        <f t="shared" si="793"/>
        <v>0</v>
      </c>
    </row>
    <row r="825" spans="1:36" ht="21" customHeight="1" outlineLevel="1" x14ac:dyDescent="0.35">
      <c r="A825" s="313"/>
      <c r="B825" s="293"/>
      <c r="C825" s="930" t="s">
        <v>983</v>
      </c>
      <c r="D825" s="1168"/>
      <c r="E825" s="1171"/>
      <c r="F825" s="1171"/>
      <c r="G825" s="1171"/>
      <c r="H825" s="1171"/>
      <c r="I825" s="1172"/>
      <c r="J825" s="1172">
        <v>9500</v>
      </c>
      <c r="K825" s="1055"/>
      <c r="L825" s="1055"/>
      <c r="M825" s="1234"/>
      <c r="N825" s="1234"/>
      <c r="O825" s="1234"/>
      <c r="P825" s="1234"/>
      <c r="Q825" s="1234"/>
      <c r="R825" s="1234"/>
      <c r="S825" s="1234"/>
      <c r="T825" s="1234"/>
      <c r="U825" s="1234"/>
      <c r="V825" s="1234">
        <f t="shared" si="794"/>
        <v>0</v>
      </c>
      <c r="W825" s="1234"/>
      <c r="X825" s="1234"/>
      <c r="Y825" s="1234"/>
      <c r="Z825" s="1234"/>
      <c r="AA825" s="1234"/>
      <c r="AB825" s="1234"/>
      <c r="AD825" s="650">
        <f t="shared" si="792"/>
        <v>0</v>
      </c>
      <c r="AI825" s="1277">
        <f>VLOOKUP(K825,'[2]ผลการเบิกจ่ายสะสม พ.ย. 66'!$C:$N,12,0)</f>
        <v>0</v>
      </c>
      <c r="AJ825" s="1274">
        <f t="shared" si="793"/>
        <v>0</v>
      </c>
    </row>
    <row r="826" spans="1:36" ht="21" customHeight="1" outlineLevel="1" x14ac:dyDescent="0.35">
      <c r="A826" s="313"/>
      <c r="B826" s="293"/>
      <c r="C826" s="945" t="s">
        <v>61</v>
      </c>
      <c r="D826" s="1168"/>
      <c r="E826" s="1171"/>
      <c r="F826" s="1171"/>
      <c r="G826" s="1171"/>
      <c r="H826" s="1171"/>
      <c r="I826" s="1172"/>
      <c r="J826" s="1194"/>
      <c r="K826" s="1058"/>
      <c r="L826" s="1058"/>
      <c r="M826" s="1238"/>
      <c r="N826" s="1238"/>
      <c r="O826" s="1238"/>
      <c r="P826" s="1238"/>
      <c r="Q826" s="1238"/>
      <c r="R826" s="1238"/>
      <c r="S826" s="1238"/>
      <c r="T826" s="1238"/>
      <c r="U826" s="1238"/>
      <c r="V826" s="1238">
        <f t="shared" si="794"/>
        <v>0</v>
      </c>
      <c r="W826" s="1238"/>
      <c r="X826" s="1238"/>
      <c r="Y826" s="1238"/>
      <c r="Z826" s="1238"/>
      <c r="AA826" s="1238"/>
      <c r="AB826" s="1238"/>
      <c r="AD826" s="650">
        <f t="shared" si="792"/>
        <v>0</v>
      </c>
      <c r="AI826" s="1277">
        <f>VLOOKUP(K826,'[2]ผลการเบิกจ่ายสะสม พ.ย. 66'!$C:$N,12,0)</f>
        <v>0</v>
      </c>
      <c r="AJ826" s="1274">
        <f t="shared" si="793"/>
        <v>0</v>
      </c>
    </row>
    <row r="827" spans="1:36" ht="21" customHeight="1" outlineLevel="1" x14ac:dyDescent="0.35">
      <c r="A827" s="313"/>
      <c r="B827" s="293"/>
      <c r="C827" s="930" t="s">
        <v>984</v>
      </c>
      <c r="D827" s="1168"/>
      <c r="E827" s="1171"/>
      <c r="F827" s="1171"/>
      <c r="G827" s="1171"/>
      <c r="H827" s="1171"/>
      <c r="I827" s="1172"/>
      <c r="J827" s="1172">
        <v>19000</v>
      </c>
      <c r="K827" s="1047"/>
      <c r="L827" s="1047"/>
      <c r="M827" s="1171"/>
      <c r="N827" s="1171"/>
      <c r="O827" s="1171"/>
      <c r="P827" s="1171"/>
      <c r="Q827" s="1171"/>
      <c r="R827" s="1171"/>
      <c r="S827" s="1171"/>
      <c r="T827" s="1171"/>
      <c r="U827" s="1171"/>
      <c r="V827" s="1171">
        <f t="shared" si="794"/>
        <v>0</v>
      </c>
      <c r="W827" s="1171"/>
      <c r="X827" s="1171"/>
      <c r="Y827" s="1171"/>
      <c r="Z827" s="1171"/>
      <c r="AA827" s="1171"/>
      <c r="AB827" s="1171"/>
      <c r="AD827" s="650">
        <f t="shared" si="792"/>
        <v>0</v>
      </c>
      <c r="AI827" s="1277">
        <f>VLOOKUP(K827,'[2]ผลการเบิกจ่ายสะสม พ.ย. 66'!$C:$N,12,0)</f>
        <v>0</v>
      </c>
      <c r="AJ827" s="1274">
        <f t="shared" si="793"/>
        <v>0</v>
      </c>
    </row>
    <row r="828" spans="1:36" ht="21" customHeight="1" outlineLevel="1" x14ac:dyDescent="0.35">
      <c r="A828" s="313"/>
      <c r="B828" s="293"/>
      <c r="C828" s="945" t="s">
        <v>985</v>
      </c>
      <c r="D828" s="1168"/>
      <c r="E828" s="1171"/>
      <c r="F828" s="1171"/>
      <c r="G828" s="1171"/>
      <c r="H828" s="1171"/>
      <c r="I828" s="1172"/>
      <c r="J828" s="1172"/>
      <c r="K828" s="1047"/>
      <c r="L828" s="1047"/>
      <c r="M828" s="1171"/>
      <c r="N828" s="1171"/>
      <c r="O828" s="1171"/>
      <c r="P828" s="1171"/>
      <c r="Q828" s="1171"/>
      <c r="R828" s="1171"/>
      <c r="S828" s="1171"/>
      <c r="T828" s="1171"/>
      <c r="U828" s="1171"/>
      <c r="V828" s="1171">
        <f t="shared" si="794"/>
        <v>0</v>
      </c>
      <c r="W828" s="1171"/>
      <c r="X828" s="1171"/>
      <c r="Y828" s="1171"/>
      <c r="Z828" s="1171"/>
      <c r="AA828" s="1171"/>
      <c r="AB828" s="1171"/>
      <c r="AD828" s="650">
        <f t="shared" si="792"/>
        <v>0</v>
      </c>
      <c r="AI828" s="1277">
        <f>VLOOKUP(K828,'[2]ผลการเบิกจ่ายสะสม พ.ย. 66'!$C:$N,12,0)</f>
        <v>0</v>
      </c>
      <c r="AJ828" s="1274">
        <f t="shared" si="793"/>
        <v>0</v>
      </c>
    </row>
    <row r="829" spans="1:36" ht="21" customHeight="1" outlineLevel="1" x14ac:dyDescent="0.35">
      <c r="A829" s="313"/>
      <c r="B829" s="293"/>
      <c r="C829" s="930" t="s">
        <v>986</v>
      </c>
      <c r="D829" s="1168"/>
      <c r="E829" s="1171"/>
      <c r="F829" s="1171"/>
      <c r="G829" s="1171"/>
      <c r="H829" s="1171"/>
      <c r="I829" s="1172"/>
      <c r="J829" s="1172">
        <v>9500</v>
      </c>
      <c r="K829" s="1055"/>
      <c r="L829" s="1055"/>
      <c r="M829" s="1234"/>
      <c r="N829" s="1234"/>
      <c r="O829" s="1234"/>
      <c r="P829" s="1234"/>
      <c r="Q829" s="1234"/>
      <c r="R829" s="1234"/>
      <c r="S829" s="1234"/>
      <c r="T829" s="1234"/>
      <c r="U829" s="1234"/>
      <c r="V829" s="1234">
        <f t="shared" si="794"/>
        <v>0</v>
      </c>
      <c r="W829" s="1234"/>
      <c r="X829" s="1234"/>
      <c r="Y829" s="1234"/>
      <c r="Z829" s="1234"/>
      <c r="AA829" s="1234"/>
      <c r="AB829" s="1234"/>
      <c r="AD829" s="650">
        <f t="shared" si="792"/>
        <v>0</v>
      </c>
      <c r="AI829" s="1277">
        <f>VLOOKUP(K829,'[2]ผลการเบิกจ่ายสะสม พ.ย. 66'!$C:$N,12,0)</f>
        <v>0</v>
      </c>
      <c r="AJ829" s="1274">
        <f t="shared" si="793"/>
        <v>0</v>
      </c>
    </row>
    <row r="830" spans="1:36" ht="21" customHeight="1" outlineLevel="1" x14ac:dyDescent="0.35">
      <c r="A830" s="313"/>
      <c r="B830" s="72" t="s">
        <v>438</v>
      </c>
      <c r="C830" s="942"/>
      <c r="D830" s="1168"/>
      <c r="E830" s="1169"/>
      <c r="F830" s="1169"/>
      <c r="G830" s="1169"/>
      <c r="H830" s="1169"/>
      <c r="I830" s="1170">
        <v>683200</v>
      </c>
      <c r="J830" s="1170">
        <v>644100</v>
      </c>
      <c r="K830" s="1046"/>
      <c r="L830" s="1046"/>
      <c r="M830" s="1169">
        <f t="shared" ref="M830:AB830" si="801">+M831</f>
        <v>0</v>
      </c>
      <c r="N830" s="1169">
        <f>+N831</f>
        <v>0</v>
      </c>
      <c r="O830" s="1169">
        <f t="shared" si="801"/>
        <v>0</v>
      </c>
      <c r="P830" s="1169">
        <f t="shared" si="801"/>
        <v>0</v>
      </c>
      <c r="Q830" s="1169">
        <f t="shared" si="801"/>
        <v>0</v>
      </c>
      <c r="R830" s="1169">
        <f t="shared" si="801"/>
        <v>0</v>
      </c>
      <c r="S830" s="1169">
        <f t="shared" si="801"/>
        <v>0</v>
      </c>
      <c r="T830" s="1169">
        <f t="shared" si="801"/>
        <v>0</v>
      </c>
      <c r="U830" s="1169">
        <f t="shared" si="801"/>
        <v>0</v>
      </c>
      <c r="V830" s="1169">
        <f t="shared" si="794"/>
        <v>0</v>
      </c>
      <c r="W830" s="1169">
        <f t="shared" si="801"/>
        <v>0</v>
      </c>
      <c r="X830" s="1169">
        <f t="shared" si="801"/>
        <v>0</v>
      </c>
      <c r="Y830" s="1169">
        <f t="shared" si="801"/>
        <v>0</v>
      </c>
      <c r="Z830" s="1169">
        <f t="shared" si="801"/>
        <v>0</v>
      </c>
      <c r="AA830" s="1169">
        <f t="shared" si="801"/>
        <v>0</v>
      </c>
      <c r="AB830" s="1169">
        <f t="shared" si="801"/>
        <v>0</v>
      </c>
      <c r="AD830" s="650">
        <f t="shared" si="792"/>
        <v>0</v>
      </c>
      <c r="AI830" s="1277">
        <f>VLOOKUP(K830,'[2]ผลการเบิกจ่ายสะสม พ.ย. 66'!$C:$N,12,0)</f>
        <v>0</v>
      </c>
      <c r="AJ830" s="1274">
        <f t="shared" si="793"/>
        <v>0</v>
      </c>
    </row>
    <row r="831" spans="1:36" ht="21" customHeight="1" outlineLevel="1" x14ac:dyDescent="0.35">
      <c r="A831" s="313"/>
      <c r="B831" s="293" t="s">
        <v>1227</v>
      </c>
      <c r="C831" s="942"/>
      <c r="D831" s="1168"/>
      <c r="E831" s="1171"/>
      <c r="F831" s="1171"/>
      <c r="G831" s="1171"/>
      <c r="H831" s="1171"/>
      <c r="I831" s="1172"/>
      <c r="J831" s="1172"/>
      <c r="K831" s="1047" t="s">
        <v>1409</v>
      </c>
      <c r="L831" s="1047" t="s">
        <v>1430</v>
      </c>
      <c r="M831" s="1171">
        <f t="shared" ref="M831:U831" si="802">SUM(M833:M841)</f>
        <v>0</v>
      </c>
      <c r="N831" s="1171">
        <f>SUM(N833:N841)</f>
        <v>0</v>
      </c>
      <c r="O831" s="1171">
        <f t="shared" si="802"/>
        <v>0</v>
      </c>
      <c r="P831" s="1171">
        <f t="shared" si="802"/>
        <v>0</v>
      </c>
      <c r="Q831" s="1171">
        <f t="shared" si="802"/>
        <v>0</v>
      </c>
      <c r="R831" s="1171">
        <f t="shared" si="802"/>
        <v>0</v>
      </c>
      <c r="S831" s="1171">
        <f t="shared" si="802"/>
        <v>0</v>
      </c>
      <c r="T831" s="1171">
        <f t="shared" si="802"/>
        <v>0</v>
      </c>
      <c r="U831" s="1171">
        <f t="shared" si="802"/>
        <v>0</v>
      </c>
      <c r="V831" s="1171">
        <f t="shared" si="794"/>
        <v>0</v>
      </c>
      <c r="W831" s="1171">
        <f t="shared" ref="W831:AB831" si="803">SUM(W833:W841)</f>
        <v>0</v>
      </c>
      <c r="X831" s="1171">
        <f t="shared" si="803"/>
        <v>0</v>
      </c>
      <c r="Y831" s="1171">
        <f t="shared" si="803"/>
        <v>0</v>
      </c>
      <c r="Z831" s="1171">
        <f t="shared" si="803"/>
        <v>0</v>
      </c>
      <c r="AA831" s="1171">
        <f t="shared" si="803"/>
        <v>0</v>
      </c>
      <c r="AB831" s="1171">
        <f t="shared" si="803"/>
        <v>0</v>
      </c>
      <c r="AD831" s="650">
        <f t="shared" si="792"/>
        <v>0</v>
      </c>
      <c r="AI831" s="1277" t="e">
        <f>VLOOKUP(K831,'[2]ผลการเบิกจ่ายสะสม พ.ย. 66'!$C:$N,12,0)</f>
        <v>#N/A</v>
      </c>
      <c r="AJ831" s="1274" t="e">
        <f t="shared" si="793"/>
        <v>#N/A</v>
      </c>
    </row>
    <row r="832" spans="1:36" ht="21" customHeight="1" outlineLevel="1" x14ac:dyDescent="0.35">
      <c r="A832" s="313"/>
      <c r="B832" s="293"/>
      <c r="C832" s="945" t="s">
        <v>262</v>
      </c>
      <c r="D832" s="1168"/>
      <c r="E832" s="1171"/>
      <c r="F832" s="1171"/>
      <c r="G832" s="1171"/>
      <c r="H832" s="1171"/>
      <c r="I832" s="1172"/>
      <c r="J832" s="1172"/>
      <c r="K832" s="1047"/>
      <c r="L832" s="1047"/>
      <c r="M832" s="1171"/>
      <c r="N832" s="1171"/>
      <c r="O832" s="1171"/>
      <c r="P832" s="1171"/>
      <c r="Q832" s="1171"/>
      <c r="R832" s="1171"/>
      <c r="S832" s="1171"/>
      <c r="T832" s="1171"/>
      <c r="U832" s="1171"/>
      <c r="V832" s="1171">
        <f t="shared" si="794"/>
        <v>0</v>
      </c>
      <c r="W832" s="1171"/>
      <c r="X832" s="1171"/>
      <c r="Y832" s="1171"/>
      <c r="Z832" s="1171"/>
      <c r="AA832" s="1171"/>
      <c r="AB832" s="1171"/>
      <c r="AD832" s="650">
        <f t="shared" si="792"/>
        <v>0</v>
      </c>
      <c r="AI832" s="1277">
        <f>VLOOKUP(K832,'[2]ผลการเบิกจ่ายสะสม พ.ย. 66'!$C:$N,12,0)</f>
        <v>0</v>
      </c>
      <c r="AJ832" s="1274">
        <f t="shared" si="793"/>
        <v>0</v>
      </c>
    </row>
    <row r="833" spans="1:36" ht="42" customHeight="1" outlineLevel="1" x14ac:dyDescent="0.35">
      <c r="A833" s="313"/>
      <c r="B833" s="293"/>
      <c r="C833" s="930" t="s">
        <v>987</v>
      </c>
      <c r="D833" s="1168"/>
      <c r="E833" s="1171"/>
      <c r="F833" s="1171"/>
      <c r="G833" s="1171"/>
      <c r="H833" s="1171"/>
      <c r="I833" s="1172"/>
      <c r="J833" s="1172">
        <v>120000</v>
      </c>
      <c r="K833" s="1047"/>
      <c r="L833" s="1047"/>
      <c r="M833" s="1171"/>
      <c r="N833" s="1171"/>
      <c r="O833" s="1171"/>
      <c r="P833" s="1171"/>
      <c r="Q833" s="1171"/>
      <c r="R833" s="1171"/>
      <c r="S833" s="1171"/>
      <c r="T833" s="1171"/>
      <c r="U833" s="1171"/>
      <c r="V833" s="1171">
        <f t="shared" si="794"/>
        <v>0</v>
      </c>
      <c r="W833" s="1171"/>
      <c r="X833" s="1171"/>
      <c r="Y833" s="1171"/>
      <c r="Z833" s="1171"/>
      <c r="AA833" s="1171"/>
      <c r="AB833" s="1171"/>
      <c r="AD833" s="650">
        <f t="shared" si="792"/>
        <v>0</v>
      </c>
      <c r="AI833" s="1277">
        <f>VLOOKUP(K833,'[2]ผลการเบิกจ่ายสะสม พ.ย. 66'!$C:$N,12,0)</f>
        <v>0</v>
      </c>
      <c r="AJ833" s="1274">
        <f t="shared" si="793"/>
        <v>0</v>
      </c>
    </row>
    <row r="834" spans="1:36" ht="21" customHeight="1" outlineLevel="1" x14ac:dyDescent="0.35">
      <c r="A834" s="313"/>
      <c r="B834" s="293"/>
      <c r="C834" s="945" t="s">
        <v>158</v>
      </c>
      <c r="D834" s="1168"/>
      <c r="E834" s="1171"/>
      <c r="F834" s="1171"/>
      <c r="G834" s="1171"/>
      <c r="H834" s="1171"/>
      <c r="I834" s="1172"/>
      <c r="J834" s="1172"/>
      <c r="K834" s="1047"/>
      <c r="L834" s="1047"/>
      <c r="M834" s="1171"/>
      <c r="N834" s="1171"/>
      <c r="O834" s="1171"/>
      <c r="P834" s="1171"/>
      <c r="Q834" s="1171"/>
      <c r="R834" s="1171"/>
      <c r="S834" s="1171"/>
      <c r="T834" s="1171"/>
      <c r="U834" s="1171"/>
      <c r="V834" s="1171">
        <f t="shared" si="794"/>
        <v>0</v>
      </c>
      <c r="W834" s="1171"/>
      <c r="X834" s="1171"/>
      <c r="Y834" s="1171"/>
      <c r="Z834" s="1171"/>
      <c r="AA834" s="1171"/>
      <c r="AB834" s="1171"/>
      <c r="AD834" s="650">
        <f t="shared" si="792"/>
        <v>0</v>
      </c>
      <c r="AI834" s="1277">
        <f>VLOOKUP(K834,'[2]ผลการเบิกจ่ายสะสม พ.ย. 66'!$C:$N,12,0)</f>
        <v>0</v>
      </c>
      <c r="AJ834" s="1274">
        <f t="shared" si="793"/>
        <v>0</v>
      </c>
    </row>
    <row r="835" spans="1:36" ht="21" customHeight="1" outlineLevel="1" x14ac:dyDescent="0.35">
      <c r="A835" s="313"/>
      <c r="B835" s="293"/>
      <c r="C835" s="944" t="s">
        <v>988</v>
      </c>
      <c r="D835" s="1168"/>
      <c r="E835" s="1171"/>
      <c r="F835" s="1171"/>
      <c r="G835" s="1171"/>
      <c r="H835" s="1171"/>
      <c r="I835" s="1172"/>
      <c r="J835" s="1172">
        <v>160000</v>
      </c>
      <c r="K835" s="1047"/>
      <c r="L835" s="1047"/>
      <c r="M835" s="1171"/>
      <c r="N835" s="1171"/>
      <c r="O835" s="1171"/>
      <c r="P835" s="1171"/>
      <c r="Q835" s="1171"/>
      <c r="R835" s="1171"/>
      <c r="S835" s="1171"/>
      <c r="T835" s="1171"/>
      <c r="U835" s="1171"/>
      <c r="V835" s="1171">
        <f t="shared" si="794"/>
        <v>0</v>
      </c>
      <c r="W835" s="1171"/>
      <c r="X835" s="1171"/>
      <c r="Y835" s="1171"/>
      <c r="Z835" s="1171"/>
      <c r="AA835" s="1171"/>
      <c r="AB835" s="1171"/>
      <c r="AD835" s="650">
        <f t="shared" si="792"/>
        <v>0</v>
      </c>
      <c r="AI835" s="1277">
        <f>VLOOKUP(K835,'[2]ผลการเบิกจ่ายสะสม พ.ย. 66'!$C:$N,12,0)</f>
        <v>0</v>
      </c>
      <c r="AJ835" s="1274">
        <f t="shared" si="793"/>
        <v>0</v>
      </c>
    </row>
    <row r="836" spans="1:36" ht="21" customHeight="1" outlineLevel="1" x14ac:dyDescent="0.35">
      <c r="A836" s="313"/>
      <c r="B836" s="293"/>
      <c r="C836" s="944" t="s">
        <v>989</v>
      </c>
      <c r="D836" s="1168"/>
      <c r="E836" s="1171"/>
      <c r="F836" s="1171"/>
      <c r="G836" s="1171"/>
      <c r="H836" s="1171"/>
      <c r="I836" s="1172"/>
      <c r="J836" s="1172">
        <v>237000</v>
      </c>
      <c r="K836" s="1047"/>
      <c r="L836" s="1047"/>
      <c r="M836" s="1171"/>
      <c r="N836" s="1171"/>
      <c r="O836" s="1171"/>
      <c r="P836" s="1171"/>
      <c r="Q836" s="1171"/>
      <c r="R836" s="1171"/>
      <c r="S836" s="1171"/>
      <c r="T836" s="1171"/>
      <c r="U836" s="1171"/>
      <c r="V836" s="1171">
        <f t="shared" si="794"/>
        <v>0</v>
      </c>
      <c r="W836" s="1171"/>
      <c r="X836" s="1171"/>
      <c r="Y836" s="1171"/>
      <c r="Z836" s="1171"/>
      <c r="AA836" s="1171"/>
      <c r="AB836" s="1171"/>
      <c r="AD836" s="650">
        <f t="shared" si="792"/>
        <v>0</v>
      </c>
      <c r="AI836" s="1277">
        <f>VLOOKUP(K836,'[2]ผลการเบิกจ่ายสะสม พ.ย. 66'!$C:$N,12,0)</f>
        <v>0</v>
      </c>
      <c r="AJ836" s="1274">
        <f t="shared" si="793"/>
        <v>0</v>
      </c>
    </row>
    <row r="837" spans="1:36" ht="21" customHeight="1" outlineLevel="1" x14ac:dyDescent="0.35">
      <c r="A837" s="313"/>
      <c r="B837" s="293"/>
      <c r="C837" s="943" t="s">
        <v>43</v>
      </c>
      <c r="D837" s="1168"/>
      <c r="E837" s="1171"/>
      <c r="F837" s="1171"/>
      <c r="G837" s="1171"/>
      <c r="H837" s="1171"/>
      <c r="I837" s="1172"/>
      <c r="J837" s="1172"/>
      <c r="K837" s="1047"/>
      <c r="L837" s="1047"/>
      <c r="M837" s="1171"/>
      <c r="N837" s="1171"/>
      <c r="O837" s="1171"/>
      <c r="P837" s="1171"/>
      <c r="Q837" s="1171"/>
      <c r="R837" s="1171"/>
      <c r="S837" s="1171"/>
      <c r="T837" s="1171"/>
      <c r="U837" s="1171"/>
      <c r="V837" s="1171">
        <f t="shared" si="794"/>
        <v>0</v>
      </c>
      <c r="W837" s="1171"/>
      <c r="X837" s="1171"/>
      <c r="Y837" s="1171"/>
      <c r="Z837" s="1171"/>
      <c r="AA837" s="1171"/>
      <c r="AB837" s="1171"/>
      <c r="AD837" s="650">
        <f t="shared" si="792"/>
        <v>0</v>
      </c>
      <c r="AI837" s="1277">
        <f>VLOOKUP(K837,'[2]ผลการเบิกจ่ายสะสม พ.ย. 66'!$C:$N,12,0)</f>
        <v>0</v>
      </c>
      <c r="AJ837" s="1274">
        <f t="shared" si="793"/>
        <v>0</v>
      </c>
    </row>
    <row r="838" spans="1:36" ht="21" customHeight="1" outlineLevel="1" x14ac:dyDescent="0.35">
      <c r="A838" s="313"/>
      <c r="B838" s="293"/>
      <c r="C838" s="930" t="s">
        <v>990</v>
      </c>
      <c r="D838" s="1168"/>
      <c r="E838" s="1171"/>
      <c r="F838" s="1171"/>
      <c r="G838" s="1171"/>
      <c r="H838" s="1171"/>
      <c r="I838" s="1172"/>
      <c r="J838" s="1172">
        <v>49900</v>
      </c>
      <c r="K838" s="1047"/>
      <c r="L838" s="1047"/>
      <c r="M838" s="1171"/>
      <c r="N838" s="1171"/>
      <c r="O838" s="1171"/>
      <c r="P838" s="1171"/>
      <c r="Q838" s="1171"/>
      <c r="R838" s="1171"/>
      <c r="S838" s="1171"/>
      <c r="T838" s="1171"/>
      <c r="U838" s="1171"/>
      <c r="V838" s="1171">
        <f t="shared" si="794"/>
        <v>0</v>
      </c>
      <c r="W838" s="1171"/>
      <c r="X838" s="1171"/>
      <c r="Y838" s="1171"/>
      <c r="Z838" s="1171"/>
      <c r="AA838" s="1171"/>
      <c r="AB838" s="1171"/>
      <c r="AD838" s="650">
        <f t="shared" si="792"/>
        <v>0</v>
      </c>
      <c r="AI838" s="1277">
        <f>VLOOKUP(K838,'[2]ผลการเบิกจ่ายสะสม พ.ย. 66'!$C:$N,12,0)</f>
        <v>0</v>
      </c>
      <c r="AJ838" s="1274">
        <f t="shared" si="793"/>
        <v>0</v>
      </c>
    </row>
    <row r="839" spans="1:36" ht="21" customHeight="1" outlineLevel="1" x14ac:dyDescent="0.35">
      <c r="A839" s="313"/>
      <c r="B839" s="293"/>
      <c r="C839" s="945" t="s">
        <v>62</v>
      </c>
      <c r="D839" s="1168"/>
      <c r="E839" s="1171"/>
      <c r="F839" s="1171"/>
      <c r="G839" s="1171"/>
      <c r="H839" s="1171"/>
      <c r="I839" s="1172"/>
      <c r="J839" s="1172"/>
      <c r="K839" s="1047"/>
      <c r="L839" s="1047"/>
      <c r="M839" s="1171"/>
      <c r="N839" s="1171"/>
      <c r="O839" s="1171"/>
      <c r="P839" s="1171"/>
      <c r="Q839" s="1171"/>
      <c r="R839" s="1171"/>
      <c r="S839" s="1171"/>
      <c r="T839" s="1171"/>
      <c r="U839" s="1171"/>
      <c r="V839" s="1171">
        <f t="shared" si="794"/>
        <v>0</v>
      </c>
      <c r="W839" s="1171"/>
      <c r="X839" s="1171"/>
      <c r="Y839" s="1171"/>
      <c r="Z839" s="1171"/>
      <c r="AA839" s="1171"/>
      <c r="AB839" s="1171"/>
      <c r="AD839" s="650">
        <f t="shared" si="792"/>
        <v>0</v>
      </c>
      <c r="AI839" s="1277">
        <f>VLOOKUP(K839,'[2]ผลการเบิกจ่ายสะสม พ.ย. 66'!$C:$N,12,0)</f>
        <v>0</v>
      </c>
      <c r="AJ839" s="1274">
        <f t="shared" si="793"/>
        <v>0</v>
      </c>
    </row>
    <row r="840" spans="1:36" ht="42" customHeight="1" outlineLevel="1" x14ac:dyDescent="0.35">
      <c r="A840" s="313"/>
      <c r="B840" s="293"/>
      <c r="C840" s="930" t="s">
        <v>991</v>
      </c>
      <c r="D840" s="1168"/>
      <c r="E840" s="1171"/>
      <c r="F840" s="1171"/>
      <c r="G840" s="1171"/>
      <c r="H840" s="1171"/>
      <c r="I840" s="1172"/>
      <c r="J840" s="1172">
        <v>30000</v>
      </c>
      <c r="K840" s="1047"/>
      <c r="L840" s="1047"/>
      <c r="M840" s="1171"/>
      <c r="N840" s="1171"/>
      <c r="O840" s="1171"/>
      <c r="P840" s="1171"/>
      <c r="Q840" s="1171"/>
      <c r="R840" s="1171"/>
      <c r="S840" s="1171"/>
      <c r="T840" s="1171"/>
      <c r="U840" s="1171"/>
      <c r="V840" s="1171">
        <f t="shared" si="794"/>
        <v>0</v>
      </c>
      <c r="W840" s="1171"/>
      <c r="X840" s="1171"/>
      <c r="Y840" s="1171"/>
      <c r="Z840" s="1171"/>
      <c r="AA840" s="1171"/>
      <c r="AB840" s="1171"/>
      <c r="AD840" s="650">
        <f t="shared" si="792"/>
        <v>0</v>
      </c>
      <c r="AI840" s="1277">
        <f>VLOOKUP(K840,'[2]ผลการเบิกจ่ายสะสม พ.ย. 66'!$C:$N,12,0)</f>
        <v>0</v>
      </c>
      <c r="AJ840" s="1274">
        <f t="shared" si="793"/>
        <v>0</v>
      </c>
    </row>
    <row r="841" spans="1:36" ht="21" customHeight="1" outlineLevel="1" x14ac:dyDescent="0.35">
      <c r="A841" s="313"/>
      <c r="B841" s="293"/>
      <c r="C841" s="930" t="s">
        <v>992</v>
      </c>
      <c r="D841" s="1168"/>
      <c r="E841" s="1171"/>
      <c r="F841" s="1171"/>
      <c r="G841" s="1171"/>
      <c r="H841" s="1171"/>
      <c r="I841" s="1172"/>
      <c r="J841" s="1172">
        <v>47200</v>
      </c>
      <c r="K841" s="1047"/>
      <c r="L841" s="1047"/>
      <c r="M841" s="1171"/>
      <c r="N841" s="1171"/>
      <c r="O841" s="1171"/>
      <c r="P841" s="1171"/>
      <c r="Q841" s="1171"/>
      <c r="R841" s="1171"/>
      <c r="S841" s="1171"/>
      <c r="T841" s="1171"/>
      <c r="U841" s="1171"/>
      <c r="V841" s="1171">
        <f t="shared" si="794"/>
        <v>0</v>
      </c>
      <c r="W841" s="1171"/>
      <c r="X841" s="1171"/>
      <c r="Y841" s="1171"/>
      <c r="Z841" s="1171"/>
      <c r="AA841" s="1171"/>
      <c r="AB841" s="1171"/>
      <c r="AD841" s="650">
        <f t="shared" si="792"/>
        <v>0</v>
      </c>
      <c r="AI841" s="1277">
        <f>VLOOKUP(K841,'[2]ผลการเบิกจ่ายสะสม พ.ย. 66'!$C:$N,12,0)</f>
        <v>0</v>
      </c>
      <c r="AJ841" s="1274">
        <f t="shared" si="793"/>
        <v>0</v>
      </c>
    </row>
    <row r="842" spans="1:36" ht="21" customHeight="1" outlineLevel="1" x14ac:dyDescent="0.35">
      <c r="A842" s="313"/>
      <c r="B842" s="72" t="s">
        <v>993</v>
      </c>
      <c r="C842" s="942"/>
      <c r="D842" s="1168"/>
      <c r="E842" s="1169"/>
      <c r="F842" s="1169"/>
      <c r="G842" s="1169"/>
      <c r="H842" s="1169"/>
      <c r="I842" s="1170">
        <v>1975900</v>
      </c>
      <c r="J842" s="1170">
        <v>1799900</v>
      </c>
      <c r="K842" s="1046"/>
      <c r="L842" s="1046"/>
      <c r="M842" s="1169">
        <f t="shared" ref="M842:AB842" si="804">+M843</f>
        <v>0</v>
      </c>
      <c r="N842" s="1169">
        <f>+N843</f>
        <v>0</v>
      </c>
      <c r="O842" s="1169">
        <f t="shared" si="804"/>
        <v>0</v>
      </c>
      <c r="P842" s="1169">
        <f t="shared" si="804"/>
        <v>0</v>
      </c>
      <c r="Q842" s="1169">
        <f t="shared" si="804"/>
        <v>0</v>
      </c>
      <c r="R842" s="1169">
        <f t="shared" si="804"/>
        <v>0</v>
      </c>
      <c r="S842" s="1169">
        <f t="shared" si="804"/>
        <v>0</v>
      </c>
      <c r="T842" s="1169">
        <f t="shared" si="804"/>
        <v>0</v>
      </c>
      <c r="U842" s="1169">
        <f t="shared" si="804"/>
        <v>0</v>
      </c>
      <c r="V842" s="1169">
        <f t="shared" si="794"/>
        <v>0</v>
      </c>
      <c r="W842" s="1169">
        <f t="shared" si="804"/>
        <v>0</v>
      </c>
      <c r="X842" s="1169">
        <f t="shared" si="804"/>
        <v>0</v>
      </c>
      <c r="Y842" s="1169">
        <f t="shared" si="804"/>
        <v>0</v>
      </c>
      <c r="Z842" s="1169">
        <f t="shared" si="804"/>
        <v>0</v>
      </c>
      <c r="AA842" s="1169">
        <f t="shared" si="804"/>
        <v>0</v>
      </c>
      <c r="AB842" s="1169">
        <f t="shared" si="804"/>
        <v>0</v>
      </c>
      <c r="AD842" s="650">
        <f t="shared" si="792"/>
        <v>0</v>
      </c>
      <c r="AI842" s="1277">
        <f>VLOOKUP(K842,'[2]ผลการเบิกจ่ายสะสม พ.ย. 66'!$C:$N,12,0)</f>
        <v>0</v>
      </c>
      <c r="AJ842" s="1274">
        <f t="shared" si="793"/>
        <v>0</v>
      </c>
    </row>
    <row r="843" spans="1:36" ht="21" customHeight="1" outlineLevel="1" x14ac:dyDescent="0.35">
      <c r="A843" s="313"/>
      <c r="B843" s="293" t="s">
        <v>1228</v>
      </c>
      <c r="C843" s="942"/>
      <c r="D843" s="1168"/>
      <c r="E843" s="1171"/>
      <c r="F843" s="1171"/>
      <c r="G843" s="1171"/>
      <c r="H843" s="1171"/>
      <c r="I843" s="1172"/>
      <c r="J843" s="1172"/>
      <c r="K843" s="1047" t="s">
        <v>1410</v>
      </c>
      <c r="L843" s="1047" t="s">
        <v>1430</v>
      </c>
      <c r="M843" s="1171">
        <f t="shared" ref="M843:U843" si="805">SUM(M845:M854)</f>
        <v>0</v>
      </c>
      <c r="N843" s="1171">
        <f>SUM(N845:N854)</f>
        <v>0</v>
      </c>
      <c r="O843" s="1171">
        <f t="shared" si="805"/>
        <v>0</v>
      </c>
      <c r="P843" s="1171">
        <f t="shared" si="805"/>
        <v>0</v>
      </c>
      <c r="Q843" s="1171">
        <f t="shared" si="805"/>
        <v>0</v>
      </c>
      <c r="R843" s="1171">
        <f t="shared" si="805"/>
        <v>0</v>
      </c>
      <c r="S843" s="1171">
        <f t="shared" si="805"/>
        <v>0</v>
      </c>
      <c r="T843" s="1171">
        <f t="shared" si="805"/>
        <v>0</v>
      </c>
      <c r="U843" s="1171">
        <f t="shared" si="805"/>
        <v>0</v>
      </c>
      <c r="V843" s="1171">
        <f t="shared" si="794"/>
        <v>0</v>
      </c>
      <c r="W843" s="1171">
        <f t="shared" ref="W843:AB843" si="806">SUM(W845:W854)</f>
        <v>0</v>
      </c>
      <c r="X843" s="1171">
        <f t="shared" si="806"/>
        <v>0</v>
      </c>
      <c r="Y843" s="1171">
        <f t="shared" si="806"/>
        <v>0</v>
      </c>
      <c r="Z843" s="1171">
        <f t="shared" si="806"/>
        <v>0</v>
      </c>
      <c r="AA843" s="1171">
        <f t="shared" si="806"/>
        <v>0</v>
      </c>
      <c r="AB843" s="1171">
        <f t="shared" si="806"/>
        <v>0</v>
      </c>
      <c r="AD843" s="650">
        <f t="shared" si="792"/>
        <v>0</v>
      </c>
      <c r="AI843" s="1277" t="e">
        <f>VLOOKUP(K843,'[2]ผลการเบิกจ่ายสะสม พ.ย. 66'!$C:$N,12,0)</f>
        <v>#N/A</v>
      </c>
      <c r="AJ843" s="1274" t="e">
        <f t="shared" si="793"/>
        <v>#N/A</v>
      </c>
    </row>
    <row r="844" spans="1:36" ht="21" customHeight="1" outlineLevel="1" x14ac:dyDescent="0.35">
      <c r="A844" s="313"/>
      <c r="B844" s="293"/>
      <c r="C844" s="945" t="s">
        <v>849</v>
      </c>
      <c r="D844" s="1168"/>
      <c r="E844" s="1171"/>
      <c r="F844" s="1171"/>
      <c r="G844" s="1171"/>
      <c r="H844" s="1171"/>
      <c r="I844" s="1172"/>
      <c r="J844" s="1192"/>
      <c r="K844" s="1054"/>
      <c r="L844" s="1054"/>
      <c r="M844" s="1196"/>
      <c r="N844" s="1196"/>
      <c r="O844" s="1196"/>
      <c r="P844" s="1196"/>
      <c r="Q844" s="1196"/>
      <c r="R844" s="1196"/>
      <c r="S844" s="1196"/>
      <c r="T844" s="1196"/>
      <c r="U844" s="1196"/>
      <c r="V844" s="1196">
        <f t="shared" si="794"/>
        <v>0</v>
      </c>
      <c r="W844" s="1196"/>
      <c r="X844" s="1196"/>
      <c r="Y844" s="1196"/>
      <c r="Z844" s="1196"/>
      <c r="AA844" s="1196"/>
      <c r="AB844" s="1196"/>
      <c r="AD844" s="650">
        <f t="shared" si="792"/>
        <v>0</v>
      </c>
      <c r="AI844" s="1277">
        <f>VLOOKUP(K844,'[2]ผลการเบิกจ่ายสะสม พ.ย. 66'!$C:$N,12,0)</f>
        <v>0</v>
      </c>
      <c r="AJ844" s="1274">
        <f t="shared" si="793"/>
        <v>0</v>
      </c>
    </row>
    <row r="845" spans="1:36" ht="21" customHeight="1" outlineLevel="1" x14ac:dyDescent="0.35">
      <c r="A845" s="313"/>
      <c r="B845" s="293"/>
      <c r="C845" s="944" t="s">
        <v>994</v>
      </c>
      <c r="D845" s="1168"/>
      <c r="E845" s="1171"/>
      <c r="F845" s="1171"/>
      <c r="G845" s="1171"/>
      <c r="H845" s="1171"/>
      <c r="I845" s="1172"/>
      <c r="J845" s="1172">
        <v>5000</v>
      </c>
      <c r="K845" s="1055"/>
      <c r="L845" s="1055"/>
      <c r="M845" s="1234"/>
      <c r="N845" s="1234"/>
      <c r="O845" s="1234"/>
      <c r="P845" s="1234"/>
      <c r="Q845" s="1234"/>
      <c r="R845" s="1234"/>
      <c r="S845" s="1234"/>
      <c r="T845" s="1234"/>
      <c r="U845" s="1234"/>
      <c r="V845" s="1234">
        <f t="shared" si="794"/>
        <v>0</v>
      </c>
      <c r="W845" s="1234"/>
      <c r="X845" s="1234"/>
      <c r="Y845" s="1234"/>
      <c r="Z845" s="1234"/>
      <c r="AA845" s="1234"/>
      <c r="AB845" s="1234"/>
      <c r="AD845" s="650">
        <f t="shared" si="792"/>
        <v>0</v>
      </c>
      <c r="AI845" s="1277">
        <f>VLOOKUP(K845,'[2]ผลการเบิกจ่ายสะสม พ.ย. 66'!$C:$N,12,0)</f>
        <v>0</v>
      </c>
      <c r="AJ845" s="1274">
        <f t="shared" si="793"/>
        <v>0</v>
      </c>
    </row>
    <row r="846" spans="1:36" ht="21" customHeight="1" outlineLevel="1" x14ac:dyDescent="0.35">
      <c r="A846" s="313"/>
      <c r="B846" s="293"/>
      <c r="C846" s="945" t="s">
        <v>263</v>
      </c>
      <c r="D846" s="1168"/>
      <c r="E846" s="1171"/>
      <c r="F846" s="1171"/>
      <c r="G846" s="1171"/>
      <c r="H846" s="1171"/>
      <c r="I846" s="1172"/>
      <c r="J846" s="1172"/>
      <c r="K846" s="1047"/>
      <c r="L846" s="1047"/>
      <c r="M846" s="1171"/>
      <c r="N846" s="1171"/>
      <c r="O846" s="1171"/>
      <c r="P846" s="1171"/>
      <c r="Q846" s="1171"/>
      <c r="R846" s="1171"/>
      <c r="S846" s="1171"/>
      <c r="T846" s="1171"/>
      <c r="U846" s="1171"/>
      <c r="V846" s="1171">
        <f t="shared" si="794"/>
        <v>0</v>
      </c>
      <c r="W846" s="1171"/>
      <c r="X846" s="1171"/>
      <c r="Y846" s="1171"/>
      <c r="Z846" s="1171"/>
      <c r="AA846" s="1171"/>
      <c r="AB846" s="1171"/>
      <c r="AD846" s="650">
        <f t="shared" ref="AD846:AD909" si="807">+N846+O846-R846-S846-U846</f>
        <v>0</v>
      </c>
      <c r="AI846" s="1277">
        <f>VLOOKUP(K846,'[2]ผลการเบิกจ่ายสะสม พ.ย. 66'!$C:$N,12,0)</f>
        <v>0</v>
      </c>
      <c r="AJ846" s="1274">
        <f t="shared" si="793"/>
        <v>0</v>
      </c>
    </row>
    <row r="847" spans="1:36" ht="21" customHeight="1" outlineLevel="1" x14ac:dyDescent="0.35">
      <c r="A847" s="313"/>
      <c r="B847" s="293"/>
      <c r="C847" s="944" t="s">
        <v>995</v>
      </c>
      <c r="D847" s="1168"/>
      <c r="E847" s="1171"/>
      <c r="F847" s="1171"/>
      <c r="G847" s="1171"/>
      <c r="H847" s="1171"/>
      <c r="I847" s="1172"/>
      <c r="J847" s="1172">
        <v>2900</v>
      </c>
      <c r="K847" s="1047"/>
      <c r="L847" s="1047"/>
      <c r="M847" s="1171"/>
      <c r="N847" s="1171"/>
      <c r="O847" s="1171"/>
      <c r="P847" s="1171"/>
      <c r="Q847" s="1171"/>
      <c r="R847" s="1171"/>
      <c r="S847" s="1171"/>
      <c r="T847" s="1171"/>
      <c r="U847" s="1171"/>
      <c r="V847" s="1171">
        <f t="shared" si="794"/>
        <v>0</v>
      </c>
      <c r="W847" s="1171"/>
      <c r="X847" s="1171"/>
      <c r="Y847" s="1171"/>
      <c r="Z847" s="1171"/>
      <c r="AA847" s="1171"/>
      <c r="AB847" s="1171"/>
      <c r="AD847" s="650">
        <f t="shared" si="807"/>
        <v>0</v>
      </c>
      <c r="AI847" s="1277">
        <f>VLOOKUP(K847,'[2]ผลการเบิกจ่ายสะสม พ.ย. 66'!$C:$N,12,0)</f>
        <v>0</v>
      </c>
      <c r="AJ847" s="1274">
        <f t="shared" ref="AJ847:AJ910" si="808">+AI847-S847</f>
        <v>0</v>
      </c>
    </row>
    <row r="848" spans="1:36" ht="21" customHeight="1" outlineLevel="1" x14ac:dyDescent="0.35">
      <c r="A848" s="313"/>
      <c r="B848" s="293"/>
      <c r="C848" s="945" t="s">
        <v>158</v>
      </c>
      <c r="D848" s="1168"/>
      <c r="E848" s="1171"/>
      <c r="F848" s="1171"/>
      <c r="G848" s="1171"/>
      <c r="H848" s="1171"/>
      <c r="I848" s="1172"/>
      <c r="J848" s="1172"/>
      <c r="K848" s="1047"/>
      <c r="L848" s="1047"/>
      <c r="M848" s="1171"/>
      <c r="N848" s="1171"/>
      <c r="O848" s="1171"/>
      <c r="P848" s="1171"/>
      <c r="Q848" s="1171"/>
      <c r="R848" s="1171"/>
      <c r="S848" s="1171"/>
      <c r="T848" s="1171"/>
      <c r="U848" s="1171"/>
      <c r="V848" s="1171">
        <f t="shared" si="794"/>
        <v>0</v>
      </c>
      <c r="W848" s="1171"/>
      <c r="X848" s="1171"/>
      <c r="Y848" s="1171"/>
      <c r="Z848" s="1171"/>
      <c r="AA848" s="1171"/>
      <c r="AB848" s="1171"/>
      <c r="AD848" s="650">
        <f t="shared" si="807"/>
        <v>0</v>
      </c>
      <c r="AI848" s="1277">
        <f>VLOOKUP(K848,'[2]ผลการเบิกจ่ายสะสม พ.ย. 66'!$C:$N,12,0)</f>
        <v>0</v>
      </c>
      <c r="AJ848" s="1274">
        <f t="shared" si="808"/>
        <v>0</v>
      </c>
    </row>
    <row r="849" spans="1:36" ht="21" customHeight="1" outlineLevel="1" x14ac:dyDescent="0.35">
      <c r="A849" s="313"/>
      <c r="B849" s="293"/>
      <c r="C849" s="944" t="s">
        <v>996</v>
      </c>
      <c r="D849" s="1168"/>
      <c r="E849" s="1171"/>
      <c r="F849" s="1171"/>
      <c r="G849" s="1171"/>
      <c r="H849" s="1171"/>
      <c r="I849" s="1172"/>
      <c r="J849" s="1172">
        <v>780000</v>
      </c>
      <c r="K849" s="1047"/>
      <c r="L849" s="1047"/>
      <c r="M849" s="1171"/>
      <c r="N849" s="1171"/>
      <c r="O849" s="1171"/>
      <c r="P849" s="1171"/>
      <c r="Q849" s="1171"/>
      <c r="R849" s="1171"/>
      <c r="S849" s="1171"/>
      <c r="T849" s="1171"/>
      <c r="U849" s="1171"/>
      <c r="V849" s="1171">
        <f t="shared" si="794"/>
        <v>0</v>
      </c>
      <c r="W849" s="1171"/>
      <c r="X849" s="1171"/>
      <c r="Y849" s="1171"/>
      <c r="Z849" s="1171"/>
      <c r="AA849" s="1171"/>
      <c r="AB849" s="1171"/>
      <c r="AD849" s="650">
        <f t="shared" si="807"/>
        <v>0</v>
      </c>
      <c r="AI849" s="1277">
        <f>VLOOKUP(K849,'[2]ผลการเบิกจ่ายสะสม พ.ย. 66'!$C:$N,12,0)</f>
        <v>0</v>
      </c>
      <c r="AJ849" s="1274">
        <f t="shared" si="808"/>
        <v>0</v>
      </c>
    </row>
    <row r="850" spans="1:36" ht="21" customHeight="1" outlineLevel="1" x14ac:dyDescent="0.35">
      <c r="A850" s="313"/>
      <c r="B850" s="293"/>
      <c r="C850" s="944" t="s">
        <v>997</v>
      </c>
      <c r="D850" s="1168"/>
      <c r="E850" s="1171"/>
      <c r="F850" s="1171"/>
      <c r="G850" s="1171"/>
      <c r="H850" s="1171"/>
      <c r="I850" s="1172"/>
      <c r="J850" s="1172">
        <v>160000</v>
      </c>
      <c r="K850" s="1047"/>
      <c r="L850" s="1047"/>
      <c r="M850" s="1171"/>
      <c r="N850" s="1171"/>
      <c r="O850" s="1171"/>
      <c r="P850" s="1171"/>
      <c r="Q850" s="1171"/>
      <c r="R850" s="1171"/>
      <c r="S850" s="1171"/>
      <c r="T850" s="1171"/>
      <c r="U850" s="1171"/>
      <c r="V850" s="1171">
        <f t="shared" ref="V850:V913" si="809">IFERROR(T850*100/(N850+O850),0)</f>
        <v>0</v>
      </c>
      <c r="W850" s="1171"/>
      <c r="X850" s="1171"/>
      <c r="Y850" s="1171"/>
      <c r="Z850" s="1171"/>
      <c r="AA850" s="1171"/>
      <c r="AB850" s="1171"/>
      <c r="AD850" s="650">
        <f t="shared" si="807"/>
        <v>0</v>
      </c>
      <c r="AI850" s="1277">
        <f>VLOOKUP(K850,'[2]ผลการเบิกจ่ายสะสม พ.ย. 66'!$C:$N,12,0)</f>
        <v>0</v>
      </c>
      <c r="AJ850" s="1274">
        <f t="shared" si="808"/>
        <v>0</v>
      </c>
    </row>
    <row r="851" spans="1:36" ht="21" customHeight="1" outlineLevel="1" x14ac:dyDescent="0.35">
      <c r="A851" s="313"/>
      <c r="B851" s="293"/>
      <c r="C851" s="945" t="s">
        <v>43</v>
      </c>
      <c r="D851" s="1168"/>
      <c r="E851" s="1171"/>
      <c r="F851" s="1171"/>
      <c r="G851" s="1171"/>
      <c r="H851" s="1171"/>
      <c r="I851" s="1172"/>
      <c r="J851" s="1172"/>
      <c r="K851" s="1047"/>
      <c r="L851" s="1047"/>
      <c r="M851" s="1171"/>
      <c r="N851" s="1171"/>
      <c r="O851" s="1171"/>
      <c r="P851" s="1171"/>
      <c r="Q851" s="1171"/>
      <c r="R851" s="1171"/>
      <c r="S851" s="1171"/>
      <c r="T851" s="1171"/>
      <c r="U851" s="1171"/>
      <c r="V851" s="1171">
        <f t="shared" si="809"/>
        <v>0</v>
      </c>
      <c r="W851" s="1171"/>
      <c r="X851" s="1171"/>
      <c r="Y851" s="1171"/>
      <c r="Z851" s="1171"/>
      <c r="AA851" s="1171"/>
      <c r="AB851" s="1171"/>
      <c r="AD851" s="650">
        <f t="shared" si="807"/>
        <v>0</v>
      </c>
      <c r="AI851" s="1277">
        <f>VLOOKUP(K851,'[2]ผลการเบิกจ่ายสะสม พ.ย. 66'!$C:$N,12,0)</f>
        <v>0</v>
      </c>
      <c r="AJ851" s="1274">
        <f t="shared" si="808"/>
        <v>0</v>
      </c>
    </row>
    <row r="852" spans="1:36" ht="21" customHeight="1" outlineLevel="1" x14ac:dyDescent="0.35">
      <c r="A852" s="313"/>
      <c r="B852" s="293"/>
      <c r="C852" s="944" t="s">
        <v>998</v>
      </c>
      <c r="D852" s="1168"/>
      <c r="E852" s="1171"/>
      <c r="F852" s="1171"/>
      <c r="G852" s="1171"/>
      <c r="H852" s="1171"/>
      <c r="I852" s="1172"/>
      <c r="J852" s="1172">
        <v>780000</v>
      </c>
      <c r="K852" s="1047"/>
      <c r="L852" s="1047"/>
      <c r="M852" s="1171"/>
      <c r="N852" s="1171"/>
      <c r="O852" s="1171"/>
      <c r="P852" s="1171"/>
      <c r="Q852" s="1171"/>
      <c r="R852" s="1171"/>
      <c r="S852" s="1171"/>
      <c r="T852" s="1171"/>
      <c r="U852" s="1171"/>
      <c r="V852" s="1171">
        <f t="shared" si="809"/>
        <v>0</v>
      </c>
      <c r="W852" s="1171"/>
      <c r="X852" s="1171"/>
      <c r="Y852" s="1171"/>
      <c r="Z852" s="1171"/>
      <c r="AA852" s="1171"/>
      <c r="AB852" s="1171"/>
      <c r="AD852" s="650">
        <f t="shared" si="807"/>
        <v>0</v>
      </c>
      <c r="AI852" s="1277">
        <f>VLOOKUP(K852,'[2]ผลการเบิกจ่ายสะสม พ.ย. 66'!$C:$N,12,0)</f>
        <v>0</v>
      </c>
      <c r="AJ852" s="1274">
        <f t="shared" si="808"/>
        <v>0</v>
      </c>
    </row>
    <row r="853" spans="1:36" ht="21" customHeight="1" outlineLevel="1" x14ac:dyDescent="0.35">
      <c r="A853" s="313"/>
      <c r="B853" s="293"/>
      <c r="C853" s="945" t="s">
        <v>62</v>
      </c>
      <c r="D853" s="1168"/>
      <c r="E853" s="1171"/>
      <c r="F853" s="1171"/>
      <c r="G853" s="1171"/>
      <c r="H853" s="1171"/>
      <c r="I853" s="1172"/>
      <c r="J853" s="1172"/>
      <c r="K853" s="1047"/>
      <c r="L853" s="1047"/>
      <c r="M853" s="1171"/>
      <c r="N853" s="1171"/>
      <c r="O853" s="1171"/>
      <c r="P853" s="1171"/>
      <c r="Q853" s="1171"/>
      <c r="R853" s="1171"/>
      <c r="S853" s="1171"/>
      <c r="T853" s="1171"/>
      <c r="U853" s="1171"/>
      <c r="V853" s="1171">
        <f t="shared" si="809"/>
        <v>0</v>
      </c>
      <c r="W853" s="1171"/>
      <c r="X853" s="1171"/>
      <c r="Y853" s="1171"/>
      <c r="Z853" s="1171"/>
      <c r="AA853" s="1171"/>
      <c r="AB853" s="1171"/>
      <c r="AD853" s="650">
        <f t="shared" si="807"/>
        <v>0</v>
      </c>
      <c r="AI853" s="1277">
        <f>VLOOKUP(K853,'[2]ผลการเบิกจ่ายสะสม พ.ย. 66'!$C:$N,12,0)</f>
        <v>0</v>
      </c>
      <c r="AJ853" s="1274">
        <f t="shared" si="808"/>
        <v>0</v>
      </c>
    </row>
    <row r="854" spans="1:36" ht="21" customHeight="1" outlineLevel="1" x14ac:dyDescent="0.35">
      <c r="A854" s="313"/>
      <c r="B854" s="293"/>
      <c r="C854" s="944" t="s">
        <v>999</v>
      </c>
      <c r="D854" s="1168"/>
      <c r="E854" s="1171"/>
      <c r="F854" s="1171"/>
      <c r="G854" s="1171"/>
      <c r="H854" s="1171"/>
      <c r="I854" s="1172"/>
      <c r="J854" s="1172">
        <v>72000</v>
      </c>
      <c r="K854" s="1047"/>
      <c r="L854" s="1047"/>
      <c r="M854" s="1171"/>
      <c r="N854" s="1171"/>
      <c r="O854" s="1171"/>
      <c r="P854" s="1171"/>
      <c r="Q854" s="1171"/>
      <c r="R854" s="1171"/>
      <c r="S854" s="1171"/>
      <c r="T854" s="1171"/>
      <c r="U854" s="1171"/>
      <c r="V854" s="1171">
        <f t="shared" si="809"/>
        <v>0</v>
      </c>
      <c r="W854" s="1171"/>
      <c r="X854" s="1171"/>
      <c r="Y854" s="1171"/>
      <c r="Z854" s="1171"/>
      <c r="AA854" s="1171"/>
      <c r="AB854" s="1171"/>
      <c r="AD854" s="650">
        <f t="shared" si="807"/>
        <v>0</v>
      </c>
      <c r="AI854" s="1277">
        <f>VLOOKUP(K854,'[2]ผลการเบิกจ่ายสะสม พ.ย. 66'!$C:$N,12,0)</f>
        <v>0</v>
      </c>
      <c r="AJ854" s="1274">
        <f t="shared" si="808"/>
        <v>0</v>
      </c>
    </row>
    <row r="855" spans="1:36" ht="21" customHeight="1" outlineLevel="1" x14ac:dyDescent="0.35">
      <c r="A855" s="313"/>
      <c r="B855" s="72" t="s">
        <v>1000</v>
      </c>
      <c r="C855" s="942"/>
      <c r="D855" s="1168"/>
      <c r="E855" s="1169"/>
      <c r="F855" s="1169"/>
      <c r="G855" s="1169"/>
      <c r="H855" s="1169"/>
      <c r="I855" s="1170">
        <v>6500</v>
      </c>
      <c r="J855" s="1170">
        <v>5200</v>
      </c>
      <c r="K855" s="1046"/>
      <c r="L855" s="1046"/>
      <c r="M855" s="1169">
        <f t="shared" ref="M855:AB855" si="810">+M856</f>
        <v>0</v>
      </c>
      <c r="N855" s="1169">
        <f>+N856</f>
        <v>0</v>
      </c>
      <c r="O855" s="1169">
        <f t="shared" si="810"/>
        <v>0</v>
      </c>
      <c r="P855" s="1169">
        <f t="shared" si="810"/>
        <v>0</v>
      </c>
      <c r="Q855" s="1169">
        <f t="shared" si="810"/>
        <v>0</v>
      </c>
      <c r="R855" s="1169">
        <f t="shared" si="810"/>
        <v>0</v>
      </c>
      <c r="S855" s="1169">
        <f t="shared" si="810"/>
        <v>0</v>
      </c>
      <c r="T855" s="1169">
        <f t="shared" si="810"/>
        <v>0</v>
      </c>
      <c r="U855" s="1169">
        <f t="shared" si="810"/>
        <v>0</v>
      </c>
      <c r="V855" s="1169">
        <f t="shared" si="809"/>
        <v>0</v>
      </c>
      <c r="W855" s="1169">
        <f t="shared" si="810"/>
        <v>0</v>
      </c>
      <c r="X855" s="1169">
        <f t="shared" si="810"/>
        <v>0</v>
      </c>
      <c r="Y855" s="1169">
        <f t="shared" si="810"/>
        <v>0</v>
      </c>
      <c r="Z855" s="1169">
        <f t="shared" si="810"/>
        <v>0</v>
      </c>
      <c r="AA855" s="1169">
        <f t="shared" si="810"/>
        <v>0</v>
      </c>
      <c r="AB855" s="1169">
        <f t="shared" si="810"/>
        <v>0</v>
      </c>
      <c r="AD855" s="650">
        <f t="shared" si="807"/>
        <v>0</v>
      </c>
      <c r="AI855" s="1277">
        <f>VLOOKUP(K855,'[2]ผลการเบิกจ่ายสะสม พ.ย. 66'!$C:$N,12,0)</f>
        <v>0</v>
      </c>
      <c r="AJ855" s="1274">
        <f t="shared" si="808"/>
        <v>0</v>
      </c>
    </row>
    <row r="856" spans="1:36" ht="21" customHeight="1" outlineLevel="1" x14ac:dyDescent="0.35">
      <c r="A856" s="313"/>
      <c r="B856" s="293" t="s">
        <v>1229</v>
      </c>
      <c r="C856" s="942"/>
      <c r="D856" s="1168"/>
      <c r="E856" s="1171"/>
      <c r="F856" s="1171"/>
      <c r="G856" s="1171"/>
      <c r="H856" s="1171"/>
      <c r="I856" s="1172"/>
      <c r="J856" s="1172"/>
      <c r="K856" s="1047" t="s">
        <v>1411</v>
      </c>
      <c r="L856" s="1047" t="s">
        <v>1430</v>
      </c>
      <c r="M856" s="1171">
        <f t="shared" ref="M856:O856" si="811">SUM(M858:M859)</f>
        <v>0</v>
      </c>
      <c r="N856" s="1171">
        <f>SUM(N858:N859)</f>
        <v>0</v>
      </c>
      <c r="O856" s="1171">
        <f t="shared" si="811"/>
        <v>0</v>
      </c>
      <c r="P856" s="1171">
        <f t="shared" ref="P856:U856" si="812">SUM(P858:P859)</f>
        <v>0</v>
      </c>
      <c r="Q856" s="1171">
        <f t="shared" si="812"/>
        <v>0</v>
      </c>
      <c r="R856" s="1171">
        <f t="shared" si="812"/>
        <v>0</v>
      </c>
      <c r="S856" s="1171">
        <f t="shared" si="812"/>
        <v>0</v>
      </c>
      <c r="T856" s="1171">
        <f t="shared" si="812"/>
        <v>0</v>
      </c>
      <c r="U856" s="1171">
        <f t="shared" si="812"/>
        <v>0</v>
      </c>
      <c r="V856" s="1171">
        <f t="shared" si="809"/>
        <v>0</v>
      </c>
      <c r="W856" s="1171">
        <f t="shared" ref="W856:AB856" si="813">SUM(W858:W859)</f>
        <v>0</v>
      </c>
      <c r="X856" s="1171">
        <f t="shared" si="813"/>
        <v>0</v>
      </c>
      <c r="Y856" s="1171">
        <f t="shared" si="813"/>
        <v>0</v>
      </c>
      <c r="Z856" s="1171">
        <f t="shared" si="813"/>
        <v>0</v>
      </c>
      <c r="AA856" s="1171">
        <f t="shared" si="813"/>
        <v>0</v>
      </c>
      <c r="AB856" s="1171">
        <f t="shared" si="813"/>
        <v>0</v>
      </c>
      <c r="AD856" s="650">
        <f t="shared" si="807"/>
        <v>0</v>
      </c>
      <c r="AI856" s="1277" t="e">
        <f>VLOOKUP(K856,'[2]ผลการเบิกจ่ายสะสม พ.ย. 66'!$C:$N,12,0)</f>
        <v>#N/A</v>
      </c>
      <c r="AJ856" s="1274" t="e">
        <f t="shared" si="808"/>
        <v>#N/A</v>
      </c>
    </row>
    <row r="857" spans="1:36" ht="21" customHeight="1" outlineLevel="1" x14ac:dyDescent="0.35">
      <c r="A857" s="313"/>
      <c r="B857" s="293"/>
      <c r="C857" s="945" t="s">
        <v>262</v>
      </c>
      <c r="D857" s="1168"/>
      <c r="E857" s="1171"/>
      <c r="F857" s="1171"/>
      <c r="G857" s="1171"/>
      <c r="H857" s="1171"/>
      <c r="I857" s="1172"/>
      <c r="J857" s="1172"/>
      <c r="K857" s="1047"/>
      <c r="L857" s="1047"/>
      <c r="M857" s="1171"/>
      <c r="N857" s="1171"/>
      <c r="O857" s="1171"/>
      <c r="P857" s="1171"/>
      <c r="Q857" s="1171"/>
      <c r="R857" s="1171"/>
      <c r="S857" s="1171"/>
      <c r="T857" s="1171"/>
      <c r="U857" s="1171"/>
      <c r="V857" s="1171">
        <f t="shared" si="809"/>
        <v>0</v>
      </c>
      <c r="W857" s="1171"/>
      <c r="X857" s="1171"/>
      <c r="Y857" s="1171"/>
      <c r="Z857" s="1171"/>
      <c r="AA857" s="1171"/>
      <c r="AB857" s="1171"/>
      <c r="AD857" s="650">
        <f t="shared" si="807"/>
        <v>0</v>
      </c>
      <c r="AI857" s="1277">
        <f>VLOOKUP(K857,'[2]ผลการเบิกจ่ายสะสม พ.ย. 66'!$C:$N,12,0)</f>
        <v>0</v>
      </c>
      <c r="AJ857" s="1274">
        <f t="shared" si="808"/>
        <v>0</v>
      </c>
    </row>
    <row r="858" spans="1:36" ht="21" customHeight="1" outlineLevel="1" x14ac:dyDescent="0.35">
      <c r="A858" s="313"/>
      <c r="B858" s="293"/>
      <c r="C858" s="946" t="s">
        <v>1001</v>
      </c>
      <c r="D858" s="1168"/>
      <c r="E858" s="1171"/>
      <c r="F858" s="1171"/>
      <c r="G858" s="1171"/>
      <c r="H858" s="1171"/>
      <c r="I858" s="1172"/>
      <c r="J858" s="1172">
        <v>3100</v>
      </c>
      <c r="K858" s="1047"/>
      <c r="L858" s="1047"/>
      <c r="M858" s="1171"/>
      <c r="N858" s="1171"/>
      <c r="O858" s="1171"/>
      <c r="P858" s="1171"/>
      <c r="Q858" s="1171"/>
      <c r="R858" s="1171"/>
      <c r="S858" s="1171"/>
      <c r="T858" s="1171"/>
      <c r="U858" s="1171"/>
      <c r="V858" s="1171">
        <f t="shared" si="809"/>
        <v>0</v>
      </c>
      <c r="W858" s="1171"/>
      <c r="X858" s="1171"/>
      <c r="Y858" s="1171"/>
      <c r="Z858" s="1171"/>
      <c r="AA858" s="1171"/>
      <c r="AB858" s="1171"/>
      <c r="AD858" s="650">
        <f t="shared" si="807"/>
        <v>0</v>
      </c>
      <c r="AI858" s="1277">
        <f>VLOOKUP(K858,'[2]ผลการเบิกจ่ายสะสม พ.ย. 66'!$C:$N,12,0)</f>
        <v>0</v>
      </c>
      <c r="AJ858" s="1274">
        <f t="shared" si="808"/>
        <v>0</v>
      </c>
    </row>
    <row r="859" spans="1:36" ht="21" customHeight="1" outlineLevel="1" x14ac:dyDescent="0.35">
      <c r="A859" s="313"/>
      <c r="B859" s="293"/>
      <c r="C859" s="947" t="s">
        <v>1002</v>
      </c>
      <c r="D859" s="1168"/>
      <c r="E859" s="1171"/>
      <c r="F859" s="1171"/>
      <c r="G859" s="1171"/>
      <c r="H859" s="1171"/>
      <c r="I859" s="1172"/>
      <c r="J859" s="1172">
        <v>2100</v>
      </c>
      <c r="K859" s="1047"/>
      <c r="L859" s="1047"/>
      <c r="M859" s="1171"/>
      <c r="N859" s="1171"/>
      <c r="O859" s="1171"/>
      <c r="P859" s="1171"/>
      <c r="Q859" s="1171"/>
      <c r="R859" s="1171"/>
      <c r="S859" s="1171"/>
      <c r="T859" s="1171"/>
      <c r="U859" s="1171"/>
      <c r="V859" s="1171">
        <f t="shared" si="809"/>
        <v>0</v>
      </c>
      <c r="W859" s="1171"/>
      <c r="X859" s="1171"/>
      <c r="Y859" s="1171"/>
      <c r="Z859" s="1171"/>
      <c r="AA859" s="1171"/>
      <c r="AB859" s="1171"/>
      <c r="AD859" s="650">
        <f t="shared" si="807"/>
        <v>0</v>
      </c>
      <c r="AI859" s="1277">
        <f>VLOOKUP(K859,'[2]ผลการเบิกจ่ายสะสม พ.ย. 66'!$C:$N,12,0)</f>
        <v>0</v>
      </c>
      <c r="AJ859" s="1274">
        <f t="shared" si="808"/>
        <v>0</v>
      </c>
    </row>
    <row r="860" spans="1:36" ht="21" customHeight="1" outlineLevel="1" x14ac:dyDescent="0.35">
      <c r="A860" s="313"/>
      <c r="B860" s="72" t="s">
        <v>1003</v>
      </c>
      <c r="C860" s="942"/>
      <c r="D860" s="1168"/>
      <c r="E860" s="1169"/>
      <c r="F860" s="1169"/>
      <c r="G860" s="1169"/>
      <c r="H860" s="1169"/>
      <c r="I860" s="1170">
        <v>193600</v>
      </c>
      <c r="J860" s="1170">
        <v>193600</v>
      </c>
      <c r="K860" s="1046"/>
      <c r="L860" s="1046"/>
      <c r="M860" s="1169">
        <f t="shared" ref="M860:AB860" si="814">+M861</f>
        <v>0</v>
      </c>
      <c r="N860" s="1169">
        <f>+N861</f>
        <v>0</v>
      </c>
      <c r="O860" s="1169">
        <f t="shared" si="814"/>
        <v>0</v>
      </c>
      <c r="P860" s="1169">
        <f t="shared" si="814"/>
        <v>0</v>
      </c>
      <c r="Q860" s="1169">
        <f t="shared" si="814"/>
        <v>0</v>
      </c>
      <c r="R860" s="1169">
        <f t="shared" si="814"/>
        <v>0</v>
      </c>
      <c r="S860" s="1169">
        <f t="shared" si="814"/>
        <v>0</v>
      </c>
      <c r="T860" s="1169">
        <f t="shared" si="814"/>
        <v>0</v>
      </c>
      <c r="U860" s="1169">
        <f t="shared" si="814"/>
        <v>0</v>
      </c>
      <c r="V860" s="1169">
        <f t="shared" si="809"/>
        <v>0</v>
      </c>
      <c r="W860" s="1169">
        <f t="shared" si="814"/>
        <v>0</v>
      </c>
      <c r="X860" s="1169">
        <f t="shared" si="814"/>
        <v>0</v>
      </c>
      <c r="Y860" s="1169">
        <f t="shared" si="814"/>
        <v>0</v>
      </c>
      <c r="Z860" s="1169">
        <f t="shared" si="814"/>
        <v>0</v>
      </c>
      <c r="AA860" s="1169">
        <f t="shared" si="814"/>
        <v>0</v>
      </c>
      <c r="AB860" s="1169">
        <f t="shared" si="814"/>
        <v>0</v>
      </c>
      <c r="AD860" s="650">
        <f t="shared" si="807"/>
        <v>0</v>
      </c>
      <c r="AI860" s="1277">
        <f>VLOOKUP(K860,'[2]ผลการเบิกจ่ายสะสม พ.ย. 66'!$C:$N,12,0)</f>
        <v>0</v>
      </c>
      <c r="AJ860" s="1274">
        <f t="shared" si="808"/>
        <v>0</v>
      </c>
    </row>
    <row r="861" spans="1:36" ht="42" customHeight="1" outlineLevel="1" x14ac:dyDescent="0.35">
      <c r="A861" s="313"/>
      <c r="B861" s="293"/>
      <c r="C861" s="934" t="s">
        <v>1230</v>
      </c>
      <c r="D861" s="1168"/>
      <c r="E861" s="1171"/>
      <c r="F861" s="1171"/>
      <c r="G861" s="1171"/>
      <c r="H861" s="1171"/>
      <c r="I861" s="1172"/>
      <c r="J861" s="1172"/>
      <c r="K861" s="1047" t="s">
        <v>1412</v>
      </c>
      <c r="L861" s="1047" t="s">
        <v>1430</v>
      </c>
      <c r="M861" s="1171">
        <f t="shared" ref="M861:U861" si="815">SUM(M863:M865)</f>
        <v>0</v>
      </c>
      <c r="N861" s="1171">
        <f>SUM(N863:N865)</f>
        <v>0</v>
      </c>
      <c r="O861" s="1171">
        <f t="shared" si="815"/>
        <v>0</v>
      </c>
      <c r="P861" s="1171">
        <f t="shared" si="815"/>
        <v>0</v>
      </c>
      <c r="Q861" s="1171">
        <f t="shared" si="815"/>
        <v>0</v>
      </c>
      <c r="R861" s="1171">
        <f t="shared" si="815"/>
        <v>0</v>
      </c>
      <c r="S861" s="1171">
        <f t="shared" si="815"/>
        <v>0</v>
      </c>
      <c r="T861" s="1171">
        <f t="shared" si="815"/>
        <v>0</v>
      </c>
      <c r="U861" s="1171">
        <f t="shared" si="815"/>
        <v>0</v>
      </c>
      <c r="V861" s="1171">
        <f t="shared" si="809"/>
        <v>0</v>
      </c>
      <c r="W861" s="1171">
        <f t="shared" ref="W861:AB861" si="816">SUM(W863:W865)</f>
        <v>0</v>
      </c>
      <c r="X861" s="1171">
        <f t="shared" si="816"/>
        <v>0</v>
      </c>
      <c r="Y861" s="1171">
        <f t="shared" si="816"/>
        <v>0</v>
      </c>
      <c r="Z861" s="1171">
        <f t="shared" si="816"/>
        <v>0</v>
      </c>
      <c r="AA861" s="1171">
        <f t="shared" si="816"/>
        <v>0</v>
      </c>
      <c r="AB861" s="1171">
        <f t="shared" si="816"/>
        <v>0</v>
      </c>
      <c r="AD861" s="650">
        <f t="shared" si="807"/>
        <v>0</v>
      </c>
      <c r="AI861" s="1277" t="e">
        <f>VLOOKUP(K861,'[2]ผลการเบิกจ่ายสะสม พ.ย. 66'!$C:$N,12,0)</f>
        <v>#N/A</v>
      </c>
      <c r="AJ861" s="1274" t="e">
        <f t="shared" si="808"/>
        <v>#N/A</v>
      </c>
    </row>
    <row r="862" spans="1:36" ht="21" customHeight="1" outlineLevel="1" x14ac:dyDescent="0.35">
      <c r="A862" s="313"/>
      <c r="B862" s="293"/>
      <c r="C862" s="945" t="s">
        <v>262</v>
      </c>
      <c r="D862" s="1168"/>
      <c r="E862" s="1171"/>
      <c r="F862" s="1171"/>
      <c r="G862" s="1171"/>
      <c r="H862" s="1171"/>
      <c r="I862" s="1172"/>
      <c r="J862" s="1172"/>
      <c r="K862" s="1047"/>
      <c r="L862" s="1047"/>
      <c r="M862" s="1171"/>
      <c r="N862" s="1171"/>
      <c r="O862" s="1171"/>
      <c r="P862" s="1171"/>
      <c r="Q862" s="1171"/>
      <c r="R862" s="1171"/>
      <c r="S862" s="1171"/>
      <c r="T862" s="1171"/>
      <c r="U862" s="1171"/>
      <c r="V862" s="1171">
        <f t="shared" si="809"/>
        <v>0</v>
      </c>
      <c r="W862" s="1171"/>
      <c r="X862" s="1171"/>
      <c r="Y862" s="1171"/>
      <c r="Z862" s="1171"/>
      <c r="AA862" s="1171"/>
      <c r="AB862" s="1171"/>
      <c r="AD862" s="650">
        <f t="shared" si="807"/>
        <v>0</v>
      </c>
      <c r="AI862" s="1277">
        <f>VLOOKUP(K862,'[2]ผลการเบิกจ่ายสะสม พ.ย. 66'!$C:$N,12,0)</f>
        <v>0</v>
      </c>
      <c r="AJ862" s="1274">
        <f t="shared" si="808"/>
        <v>0</v>
      </c>
    </row>
    <row r="863" spans="1:36" ht="21" customHeight="1" outlineLevel="1" x14ac:dyDescent="0.35">
      <c r="A863" s="313"/>
      <c r="B863" s="293"/>
      <c r="C863" s="944" t="s">
        <v>1004</v>
      </c>
      <c r="D863" s="1168"/>
      <c r="E863" s="1171"/>
      <c r="F863" s="1171"/>
      <c r="G863" s="1171"/>
      <c r="H863" s="1171"/>
      <c r="I863" s="1172"/>
      <c r="J863" s="1172">
        <v>96800</v>
      </c>
      <c r="K863" s="1047"/>
      <c r="L863" s="1047"/>
      <c r="M863" s="1171"/>
      <c r="N863" s="1171"/>
      <c r="O863" s="1171"/>
      <c r="P863" s="1171"/>
      <c r="Q863" s="1171"/>
      <c r="R863" s="1171"/>
      <c r="S863" s="1171"/>
      <c r="T863" s="1171"/>
      <c r="U863" s="1171"/>
      <c r="V863" s="1171">
        <f t="shared" si="809"/>
        <v>0</v>
      </c>
      <c r="W863" s="1171"/>
      <c r="X863" s="1171"/>
      <c r="Y863" s="1171"/>
      <c r="Z863" s="1171"/>
      <c r="AA863" s="1171"/>
      <c r="AB863" s="1171"/>
      <c r="AD863" s="650">
        <f t="shared" si="807"/>
        <v>0</v>
      </c>
      <c r="AI863" s="1277">
        <f>VLOOKUP(K863,'[2]ผลการเบิกจ่ายสะสม พ.ย. 66'!$C:$N,12,0)</f>
        <v>0</v>
      </c>
      <c r="AJ863" s="1274">
        <f t="shared" si="808"/>
        <v>0</v>
      </c>
    </row>
    <row r="864" spans="1:36" ht="21" customHeight="1" outlineLevel="1" x14ac:dyDescent="0.35">
      <c r="A864" s="313"/>
      <c r="B864" s="293"/>
      <c r="C864" s="943" t="s">
        <v>849</v>
      </c>
      <c r="D864" s="1168"/>
      <c r="E864" s="1171"/>
      <c r="F864" s="1171"/>
      <c r="G864" s="1171"/>
      <c r="H864" s="1171"/>
      <c r="I864" s="1172"/>
      <c r="J864" s="1172"/>
      <c r="K864" s="1047"/>
      <c r="L864" s="1047"/>
      <c r="M864" s="1171"/>
      <c r="N864" s="1171"/>
      <c r="O864" s="1171"/>
      <c r="P864" s="1171"/>
      <c r="Q864" s="1171"/>
      <c r="R864" s="1171"/>
      <c r="S864" s="1171"/>
      <c r="T864" s="1171"/>
      <c r="U864" s="1171"/>
      <c r="V864" s="1171">
        <f t="shared" si="809"/>
        <v>0</v>
      </c>
      <c r="W864" s="1171"/>
      <c r="X864" s="1171"/>
      <c r="Y864" s="1171"/>
      <c r="Z864" s="1171"/>
      <c r="AA864" s="1171"/>
      <c r="AB864" s="1171"/>
      <c r="AD864" s="650">
        <f t="shared" si="807"/>
        <v>0</v>
      </c>
      <c r="AI864" s="1277">
        <f>VLOOKUP(K864,'[2]ผลการเบิกจ่ายสะสม พ.ย. 66'!$C:$N,12,0)</f>
        <v>0</v>
      </c>
      <c r="AJ864" s="1274">
        <f t="shared" si="808"/>
        <v>0</v>
      </c>
    </row>
    <row r="865" spans="1:36" ht="21" customHeight="1" outlineLevel="1" x14ac:dyDescent="0.35">
      <c r="A865" s="313"/>
      <c r="B865" s="293"/>
      <c r="C865" s="930" t="s">
        <v>1005</v>
      </c>
      <c r="D865" s="1168"/>
      <c r="E865" s="1171"/>
      <c r="F865" s="1171"/>
      <c r="G865" s="1171"/>
      <c r="H865" s="1171"/>
      <c r="I865" s="1172"/>
      <c r="J865" s="1172">
        <v>96800</v>
      </c>
      <c r="K865" s="1047"/>
      <c r="L865" s="1047"/>
      <c r="M865" s="1171"/>
      <c r="N865" s="1171"/>
      <c r="O865" s="1171"/>
      <c r="P865" s="1171"/>
      <c r="Q865" s="1171"/>
      <c r="R865" s="1171"/>
      <c r="S865" s="1171"/>
      <c r="T865" s="1171"/>
      <c r="U865" s="1171"/>
      <c r="V865" s="1171">
        <f t="shared" si="809"/>
        <v>0</v>
      </c>
      <c r="W865" s="1171"/>
      <c r="X865" s="1171"/>
      <c r="Y865" s="1171"/>
      <c r="Z865" s="1171"/>
      <c r="AA865" s="1171"/>
      <c r="AB865" s="1171"/>
      <c r="AD865" s="650">
        <f t="shared" si="807"/>
        <v>0</v>
      </c>
      <c r="AI865" s="1277">
        <f>VLOOKUP(K865,'[2]ผลการเบิกจ่ายสะสม พ.ย. 66'!$C:$N,12,0)</f>
        <v>0</v>
      </c>
      <c r="AJ865" s="1274">
        <f t="shared" si="808"/>
        <v>0</v>
      </c>
    </row>
    <row r="866" spans="1:36" s="941" customFormat="1" x14ac:dyDescent="0.35">
      <c r="A866" s="939" t="s">
        <v>293</v>
      </c>
      <c r="B866" s="948"/>
      <c r="C866" s="949"/>
      <c r="D866" s="1189"/>
      <c r="E866" s="1190"/>
      <c r="F866" s="1190"/>
      <c r="G866" s="1190"/>
      <c r="H866" s="1190">
        <v>72563200</v>
      </c>
      <c r="I866" s="1191">
        <v>198875400</v>
      </c>
      <c r="J866" s="1191">
        <f>+J867</f>
        <v>118192800</v>
      </c>
      <c r="K866" s="1053"/>
      <c r="L866" s="1053"/>
      <c r="M866" s="1190">
        <f t="shared" ref="M866:AB866" si="817">+M867</f>
        <v>0</v>
      </c>
      <c r="N866" s="1190">
        <f>+N867</f>
        <v>0</v>
      </c>
      <c r="O866" s="1190">
        <f t="shared" si="817"/>
        <v>0</v>
      </c>
      <c r="P866" s="1190">
        <f t="shared" si="817"/>
        <v>0</v>
      </c>
      <c r="Q866" s="1190">
        <f t="shared" si="817"/>
        <v>0</v>
      </c>
      <c r="R866" s="1190">
        <f t="shared" si="817"/>
        <v>0</v>
      </c>
      <c r="S866" s="1190">
        <f t="shared" si="817"/>
        <v>0</v>
      </c>
      <c r="T866" s="1190">
        <f t="shared" si="817"/>
        <v>0</v>
      </c>
      <c r="U866" s="1190">
        <f t="shared" si="817"/>
        <v>0</v>
      </c>
      <c r="V866" s="1190">
        <f t="shared" si="809"/>
        <v>0</v>
      </c>
      <c r="W866" s="1190">
        <f t="shared" si="817"/>
        <v>0</v>
      </c>
      <c r="X866" s="1190">
        <f t="shared" si="817"/>
        <v>0</v>
      </c>
      <c r="Y866" s="1190">
        <f t="shared" si="817"/>
        <v>0</v>
      </c>
      <c r="Z866" s="1190">
        <f t="shared" si="817"/>
        <v>0</v>
      </c>
      <c r="AA866" s="1190">
        <f t="shared" si="817"/>
        <v>0</v>
      </c>
      <c r="AB866" s="1190">
        <f t="shared" si="817"/>
        <v>0</v>
      </c>
      <c r="AD866" s="650">
        <f t="shared" si="807"/>
        <v>0</v>
      </c>
      <c r="AI866" s="1277">
        <f>VLOOKUP(K866,'[2]ผลการเบิกจ่ายสะสม พ.ย. 66'!$C:$N,12,0)</f>
        <v>0</v>
      </c>
      <c r="AJ866" s="1274">
        <f t="shared" si="808"/>
        <v>0</v>
      </c>
    </row>
    <row r="867" spans="1:36" ht="21" customHeight="1" outlineLevel="1" x14ac:dyDescent="0.35">
      <c r="A867" s="313"/>
      <c r="B867" s="72" t="s">
        <v>440</v>
      </c>
      <c r="C867" s="274"/>
      <c r="D867" s="1168"/>
      <c r="E867" s="1169"/>
      <c r="F867" s="1169"/>
      <c r="G867" s="1169"/>
      <c r="H867" s="1169"/>
      <c r="I867" s="1170">
        <v>128231000</v>
      </c>
      <c r="J867" s="1170">
        <f>SUM(J868+J880)</f>
        <v>118192800</v>
      </c>
      <c r="K867" s="1046"/>
      <c r="L867" s="1046"/>
      <c r="M867" s="1169">
        <f t="shared" ref="M867:U867" si="818">SUM(M868+M880)</f>
        <v>0</v>
      </c>
      <c r="N867" s="1169">
        <f>SUM(N868+N880)</f>
        <v>0</v>
      </c>
      <c r="O867" s="1169">
        <f t="shared" si="818"/>
        <v>0</v>
      </c>
      <c r="P867" s="1169">
        <f t="shared" si="818"/>
        <v>0</v>
      </c>
      <c r="Q867" s="1169">
        <f t="shared" si="818"/>
        <v>0</v>
      </c>
      <c r="R867" s="1169">
        <f t="shared" si="818"/>
        <v>0</v>
      </c>
      <c r="S867" s="1169">
        <f t="shared" si="818"/>
        <v>0</v>
      </c>
      <c r="T867" s="1169">
        <f t="shared" si="818"/>
        <v>0</v>
      </c>
      <c r="U867" s="1169">
        <f t="shared" si="818"/>
        <v>0</v>
      </c>
      <c r="V867" s="1169">
        <f t="shared" si="809"/>
        <v>0</v>
      </c>
      <c r="W867" s="1169">
        <f t="shared" ref="W867:AB867" si="819">SUM(W868+W880)</f>
        <v>0</v>
      </c>
      <c r="X867" s="1169">
        <f t="shared" si="819"/>
        <v>0</v>
      </c>
      <c r="Y867" s="1169">
        <f t="shared" si="819"/>
        <v>0</v>
      </c>
      <c r="Z867" s="1169">
        <f t="shared" si="819"/>
        <v>0</v>
      </c>
      <c r="AA867" s="1169">
        <f t="shared" si="819"/>
        <v>0</v>
      </c>
      <c r="AB867" s="1169">
        <f t="shared" si="819"/>
        <v>0</v>
      </c>
      <c r="AD867" s="650">
        <f t="shared" si="807"/>
        <v>0</v>
      </c>
      <c r="AI867" s="1277">
        <f>VLOOKUP(K867,'[2]ผลการเบิกจ่ายสะสม พ.ย. 66'!$C:$N,12,0)</f>
        <v>0</v>
      </c>
      <c r="AJ867" s="1274">
        <f t="shared" si="808"/>
        <v>0</v>
      </c>
    </row>
    <row r="868" spans="1:36" ht="42" customHeight="1" outlineLevel="1" x14ac:dyDescent="0.35">
      <c r="A868" s="313"/>
      <c r="B868" s="293"/>
      <c r="C868" s="934" t="s">
        <v>762</v>
      </c>
      <c r="D868" s="1168"/>
      <c r="E868" s="1171"/>
      <c r="F868" s="1171"/>
      <c r="G868" s="1171"/>
      <c r="H868" s="1171"/>
      <c r="I868" s="1172"/>
      <c r="J868" s="1172">
        <f>SUM(J870:J879)</f>
        <v>31952700</v>
      </c>
      <c r="K868" s="1047" t="s">
        <v>1413</v>
      </c>
      <c r="L868" s="1047" t="s">
        <v>1430</v>
      </c>
      <c r="M868" s="1169">
        <f t="shared" ref="M868:U868" si="820">SUM(M870:M879)</f>
        <v>0</v>
      </c>
      <c r="N868" s="1169">
        <f>SUM(N870:N879)</f>
        <v>0</v>
      </c>
      <c r="O868" s="1169">
        <f t="shared" si="820"/>
        <v>0</v>
      </c>
      <c r="P868" s="1169">
        <f t="shared" si="820"/>
        <v>0</v>
      </c>
      <c r="Q868" s="1169">
        <f t="shared" si="820"/>
        <v>0</v>
      </c>
      <c r="R868" s="1169">
        <f t="shared" si="820"/>
        <v>0</v>
      </c>
      <c r="S868" s="1169">
        <f t="shared" si="820"/>
        <v>0</v>
      </c>
      <c r="T868" s="1169">
        <f t="shared" si="820"/>
        <v>0</v>
      </c>
      <c r="U868" s="1169">
        <f t="shared" si="820"/>
        <v>0</v>
      </c>
      <c r="V868" s="1169">
        <f t="shared" si="809"/>
        <v>0</v>
      </c>
      <c r="W868" s="1169">
        <f t="shared" ref="W868:AB868" si="821">SUM(W870:W879)</f>
        <v>0</v>
      </c>
      <c r="X868" s="1169">
        <f t="shared" si="821"/>
        <v>0</v>
      </c>
      <c r="Y868" s="1169">
        <f t="shared" si="821"/>
        <v>0</v>
      </c>
      <c r="Z868" s="1169">
        <f t="shared" si="821"/>
        <v>0</v>
      </c>
      <c r="AA868" s="1169">
        <f t="shared" si="821"/>
        <v>0</v>
      </c>
      <c r="AB868" s="1169">
        <f t="shared" si="821"/>
        <v>0</v>
      </c>
      <c r="AD868" s="650">
        <f t="shared" si="807"/>
        <v>0</v>
      </c>
      <c r="AI868" s="1277" t="e">
        <f>VLOOKUP(K868,'[2]ผลการเบิกจ่ายสะสม พ.ย. 66'!$C:$N,12,0)</f>
        <v>#N/A</v>
      </c>
      <c r="AJ868" s="1274" t="e">
        <f t="shared" si="808"/>
        <v>#N/A</v>
      </c>
    </row>
    <row r="869" spans="1:36" ht="21" customHeight="1" outlineLevel="1" x14ac:dyDescent="0.35">
      <c r="A869" s="313"/>
      <c r="B869" s="293"/>
      <c r="C869" s="950" t="s">
        <v>264</v>
      </c>
      <c r="D869" s="1168"/>
      <c r="E869" s="1171"/>
      <c r="F869" s="1171"/>
      <c r="G869" s="1171"/>
      <c r="H869" s="1171"/>
      <c r="I869" s="1172"/>
      <c r="J869" s="1172"/>
      <c r="K869" s="1047"/>
      <c r="L869" s="1047"/>
      <c r="M869" s="1171"/>
      <c r="N869" s="1171"/>
      <c r="O869" s="1171"/>
      <c r="P869" s="1171"/>
      <c r="Q869" s="1171"/>
      <c r="R869" s="1171"/>
      <c r="S869" s="1171"/>
      <c r="T869" s="1171"/>
      <c r="U869" s="1171"/>
      <c r="V869" s="1171">
        <f t="shared" si="809"/>
        <v>0</v>
      </c>
      <c r="W869" s="1171"/>
      <c r="X869" s="1171"/>
      <c r="Y869" s="1171"/>
      <c r="Z869" s="1171"/>
      <c r="AA869" s="1171"/>
      <c r="AB869" s="1171"/>
      <c r="AD869" s="650">
        <f t="shared" si="807"/>
        <v>0</v>
      </c>
      <c r="AI869" s="1277">
        <f>VLOOKUP(K869,'[2]ผลการเบิกจ่ายสะสม พ.ย. 66'!$C:$N,12,0)</f>
        <v>0</v>
      </c>
      <c r="AJ869" s="1274">
        <f t="shared" si="808"/>
        <v>0</v>
      </c>
    </row>
    <row r="870" spans="1:36" ht="42" customHeight="1" outlineLevel="1" x14ac:dyDescent="0.35">
      <c r="A870" s="313"/>
      <c r="B870" s="293"/>
      <c r="C870" s="951" t="s">
        <v>1006</v>
      </c>
      <c r="D870" s="1168"/>
      <c r="E870" s="1171"/>
      <c r="F870" s="1171"/>
      <c r="G870" s="1171"/>
      <c r="H870" s="1171"/>
      <c r="I870" s="1172"/>
      <c r="J870" s="1172">
        <v>5435600</v>
      </c>
      <c r="K870" s="1047"/>
      <c r="L870" s="1047"/>
      <c r="M870" s="1171"/>
      <c r="N870" s="1171"/>
      <c r="O870" s="1171"/>
      <c r="P870" s="1171"/>
      <c r="Q870" s="1171"/>
      <c r="R870" s="1171"/>
      <c r="S870" s="1171"/>
      <c r="T870" s="1171"/>
      <c r="U870" s="1171"/>
      <c r="V870" s="1171">
        <f t="shared" si="809"/>
        <v>0</v>
      </c>
      <c r="W870" s="1171"/>
      <c r="X870" s="1171"/>
      <c r="Y870" s="1171"/>
      <c r="Z870" s="1171"/>
      <c r="AA870" s="1171"/>
      <c r="AB870" s="1171"/>
      <c r="AD870" s="650">
        <f t="shared" si="807"/>
        <v>0</v>
      </c>
      <c r="AI870" s="1277">
        <f>VLOOKUP(K870,'[2]ผลการเบิกจ่ายสะสม พ.ย. 66'!$C:$N,12,0)</f>
        <v>0</v>
      </c>
      <c r="AJ870" s="1274">
        <f t="shared" si="808"/>
        <v>0</v>
      </c>
    </row>
    <row r="871" spans="1:36" ht="42" customHeight="1" outlineLevel="1" x14ac:dyDescent="0.35">
      <c r="A871" s="313"/>
      <c r="B871" s="293"/>
      <c r="C871" s="951" t="s">
        <v>1007</v>
      </c>
      <c r="D871" s="1168"/>
      <c r="E871" s="1171"/>
      <c r="F871" s="1171"/>
      <c r="G871" s="1171"/>
      <c r="H871" s="1171"/>
      <c r="I871" s="1172"/>
      <c r="J871" s="1172">
        <v>4300000</v>
      </c>
      <c r="K871" s="1047"/>
      <c r="L871" s="1047"/>
      <c r="M871" s="1171"/>
      <c r="N871" s="1171"/>
      <c r="O871" s="1171"/>
      <c r="P871" s="1171"/>
      <c r="Q871" s="1171"/>
      <c r="R871" s="1171"/>
      <c r="S871" s="1171"/>
      <c r="T871" s="1171"/>
      <c r="U871" s="1171"/>
      <c r="V871" s="1171">
        <f t="shared" si="809"/>
        <v>0</v>
      </c>
      <c r="W871" s="1171"/>
      <c r="X871" s="1171"/>
      <c r="Y871" s="1171"/>
      <c r="Z871" s="1171"/>
      <c r="AA871" s="1171"/>
      <c r="AB871" s="1171"/>
      <c r="AD871" s="650">
        <f t="shared" si="807"/>
        <v>0</v>
      </c>
      <c r="AI871" s="1277">
        <f>VLOOKUP(K871,'[2]ผลการเบิกจ่ายสะสม พ.ย. 66'!$C:$N,12,0)</f>
        <v>0</v>
      </c>
      <c r="AJ871" s="1274">
        <f t="shared" si="808"/>
        <v>0</v>
      </c>
    </row>
    <row r="872" spans="1:36" ht="42" customHeight="1" outlineLevel="1" x14ac:dyDescent="0.35">
      <c r="A872" s="313"/>
      <c r="B872" s="293"/>
      <c r="C872" s="951" t="s">
        <v>1008</v>
      </c>
      <c r="D872" s="1168"/>
      <c r="E872" s="1171"/>
      <c r="F872" s="1171"/>
      <c r="G872" s="1171"/>
      <c r="H872" s="1171"/>
      <c r="I872" s="1172"/>
      <c r="J872" s="1172">
        <v>1483300</v>
      </c>
      <c r="K872" s="1047"/>
      <c r="L872" s="1047"/>
      <c r="M872" s="1171"/>
      <c r="N872" s="1171"/>
      <c r="O872" s="1171"/>
      <c r="P872" s="1171"/>
      <c r="Q872" s="1171"/>
      <c r="R872" s="1171"/>
      <c r="S872" s="1171"/>
      <c r="T872" s="1171"/>
      <c r="U872" s="1171"/>
      <c r="V872" s="1171">
        <f t="shared" si="809"/>
        <v>0</v>
      </c>
      <c r="W872" s="1171"/>
      <c r="X872" s="1171"/>
      <c r="Y872" s="1171"/>
      <c r="Z872" s="1171"/>
      <c r="AA872" s="1171"/>
      <c r="AB872" s="1171"/>
      <c r="AD872" s="650">
        <f t="shared" si="807"/>
        <v>0</v>
      </c>
      <c r="AI872" s="1277">
        <f>VLOOKUP(K872,'[2]ผลการเบิกจ่ายสะสม พ.ย. 66'!$C:$N,12,0)</f>
        <v>0</v>
      </c>
      <c r="AJ872" s="1274">
        <f t="shared" si="808"/>
        <v>0</v>
      </c>
    </row>
    <row r="873" spans="1:36" ht="42" customHeight="1" outlineLevel="1" x14ac:dyDescent="0.35">
      <c r="A873" s="313"/>
      <c r="B873" s="293"/>
      <c r="C873" s="951" t="s">
        <v>1009</v>
      </c>
      <c r="D873" s="1168"/>
      <c r="E873" s="1171"/>
      <c r="F873" s="1171"/>
      <c r="G873" s="1171"/>
      <c r="H873" s="1171"/>
      <c r="I873" s="1172"/>
      <c r="J873" s="1172">
        <v>7560000</v>
      </c>
      <c r="K873" s="1047"/>
      <c r="L873" s="1047"/>
      <c r="M873" s="1171"/>
      <c r="N873" s="1171"/>
      <c r="O873" s="1171"/>
      <c r="P873" s="1171"/>
      <c r="Q873" s="1171"/>
      <c r="R873" s="1171"/>
      <c r="S873" s="1171"/>
      <c r="T873" s="1171"/>
      <c r="U873" s="1171"/>
      <c r="V873" s="1171">
        <f t="shared" si="809"/>
        <v>0</v>
      </c>
      <c r="W873" s="1171"/>
      <c r="X873" s="1171"/>
      <c r="Y873" s="1171"/>
      <c r="Z873" s="1171"/>
      <c r="AA873" s="1171"/>
      <c r="AB873" s="1171"/>
      <c r="AD873" s="650">
        <f t="shared" si="807"/>
        <v>0</v>
      </c>
      <c r="AI873" s="1277">
        <f>VLOOKUP(K873,'[2]ผลการเบิกจ่ายสะสม พ.ย. 66'!$C:$N,12,0)</f>
        <v>0</v>
      </c>
      <c r="AJ873" s="1274">
        <f t="shared" si="808"/>
        <v>0</v>
      </c>
    </row>
    <row r="874" spans="1:36" ht="21" customHeight="1" outlineLevel="1" x14ac:dyDescent="0.35">
      <c r="A874" s="313"/>
      <c r="B874" s="293"/>
      <c r="C874" s="950" t="s">
        <v>115</v>
      </c>
      <c r="D874" s="1168"/>
      <c r="E874" s="1171"/>
      <c r="F874" s="1171"/>
      <c r="G874" s="1171"/>
      <c r="H874" s="1171"/>
      <c r="I874" s="1172"/>
      <c r="J874" s="1172"/>
      <c r="K874" s="1047"/>
      <c r="L874" s="1047"/>
      <c r="M874" s="1171"/>
      <c r="N874" s="1171"/>
      <c r="O874" s="1171"/>
      <c r="P874" s="1171"/>
      <c r="Q874" s="1171"/>
      <c r="R874" s="1171"/>
      <c r="S874" s="1171"/>
      <c r="T874" s="1171"/>
      <c r="U874" s="1171"/>
      <c r="V874" s="1171">
        <f t="shared" si="809"/>
        <v>0</v>
      </c>
      <c r="W874" s="1171"/>
      <c r="X874" s="1171"/>
      <c r="Y874" s="1171"/>
      <c r="Z874" s="1171"/>
      <c r="AA874" s="1171"/>
      <c r="AB874" s="1171"/>
      <c r="AD874" s="650">
        <f t="shared" si="807"/>
        <v>0</v>
      </c>
      <c r="AI874" s="1277">
        <f>VLOOKUP(K874,'[2]ผลการเบิกจ่ายสะสม พ.ย. 66'!$C:$N,12,0)</f>
        <v>0</v>
      </c>
      <c r="AJ874" s="1274">
        <f t="shared" si="808"/>
        <v>0</v>
      </c>
    </row>
    <row r="875" spans="1:36" ht="42" customHeight="1" outlineLevel="1" x14ac:dyDescent="0.35">
      <c r="A875" s="313"/>
      <c r="B875" s="293"/>
      <c r="C875" s="951" t="s">
        <v>1010</v>
      </c>
      <c r="D875" s="1168"/>
      <c r="E875" s="1171"/>
      <c r="F875" s="1171"/>
      <c r="G875" s="1171"/>
      <c r="H875" s="1171"/>
      <c r="I875" s="1172"/>
      <c r="J875" s="1172">
        <v>2760000</v>
      </c>
      <c r="K875" s="1047"/>
      <c r="L875" s="1047"/>
      <c r="M875" s="1171"/>
      <c r="N875" s="1171"/>
      <c r="O875" s="1171"/>
      <c r="P875" s="1171"/>
      <c r="Q875" s="1171"/>
      <c r="R875" s="1171"/>
      <c r="S875" s="1171"/>
      <c r="T875" s="1171"/>
      <c r="U875" s="1171"/>
      <c r="V875" s="1171">
        <f t="shared" si="809"/>
        <v>0</v>
      </c>
      <c r="W875" s="1171"/>
      <c r="X875" s="1171"/>
      <c r="Y875" s="1171"/>
      <c r="Z875" s="1171"/>
      <c r="AA875" s="1171"/>
      <c r="AB875" s="1171"/>
      <c r="AD875" s="650">
        <f t="shared" si="807"/>
        <v>0</v>
      </c>
      <c r="AI875" s="1277">
        <f>VLOOKUP(K875,'[2]ผลการเบิกจ่ายสะสม พ.ย. 66'!$C:$N,12,0)</f>
        <v>0</v>
      </c>
      <c r="AJ875" s="1274">
        <f t="shared" si="808"/>
        <v>0</v>
      </c>
    </row>
    <row r="876" spans="1:36" ht="21" customHeight="1" outlineLevel="1" x14ac:dyDescent="0.35">
      <c r="A876" s="313"/>
      <c r="B876" s="293"/>
      <c r="C876" s="950" t="s">
        <v>51</v>
      </c>
      <c r="D876" s="1168"/>
      <c r="E876" s="1171"/>
      <c r="F876" s="1171"/>
      <c r="G876" s="1171"/>
      <c r="H876" s="1171"/>
      <c r="I876" s="1172"/>
      <c r="J876" s="1172"/>
      <c r="K876" s="1047"/>
      <c r="L876" s="1047"/>
      <c r="M876" s="1171"/>
      <c r="N876" s="1171"/>
      <c r="O876" s="1171"/>
      <c r="P876" s="1171"/>
      <c r="Q876" s="1171"/>
      <c r="R876" s="1171"/>
      <c r="S876" s="1171"/>
      <c r="T876" s="1171"/>
      <c r="U876" s="1171"/>
      <c r="V876" s="1171">
        <f t="shared" si="809"/>
        <v>0</v>
      </c>
      <c r="W876" s="1171"/>
      <c r="X876" s="1171"/>
      <c r="Y876" s="1171"/>
      <c r="Z876" s="1171"/>
      <c r="AA876" s="1171"/>
      <c r="AB876" s="1171"/>
      <c r="AD876" s="650">
        <f t="shared" si="807"/>
        <v>0</v>
      </c>
      <c r="AI876" s="1277">
        <f>VLOOKUP(K876,'[2]ผลการเบิกจ่ายสะสม พ.ย. 66'!$C:$N,12,0)</f>
        <v>0</v>
      </c>
      <c r="AJ876" s="1274">
        <f t="shared" si="808"/>
        <v>0</v>
      </c>
    </row>
    <row r="877" spans="1:36" ht="42" customHeight="1" outlineLevel="1" x14ac:dyDescent="0.35">
      <c r="A877" s="313"/>
      <c r="B877" s="293"/>
      <c r="C877" s="951" t="s">
        <v>1011</v>
      </c>
      <c r="D877" s="1168"/>
      <c r="E877" s="1171"/>
      <c r="F877" s="1171"/>
      <c r="G877" s="1171"/>
      <c r="H877" s="1171"/>
      <c r="I877" s="1172"/>
      <c r="J877" s="1172">
        <v>1329000</v>
      </c>
      <c r="K877" s="1047"/>
      <c r="L877" s="1047"/>
      <c r="M877" s="1171"/>
      <c r="N877" s="1171"/>
      <c r="O877" s="1171"/>
      <c r="P877" s="1171"/>
      <c r="Q877" s="1171"/>
      <c r="R877" s="1171"/>
      <c r="S877" s="1171"/>
      <c r="T877" s="1171"/>
      <c r="U877" s="1171"/>
      <c r="V877" s="1171">
        <f t="shared" si="809"/>
        <v>0</v>
      </c>
      <c r="W877" s="1171"/>
      <c r="X877" s="1171"/>
      <c r="Y877" s="1171"/>
      <c r="Z877" s="1171"/>
      <c r="AA877" s="1171"/>
      <c r="AB877" s="1171"/>
      <c r="AD877" s="650">
        <f t="shared" si="807"/>
        <v>0</v>
      </c>
      <c r="AI877" s="1277">
        <f>VLOOKUP(K877,'[2]ผลการเบิกจ่ายสะสม พ.ย. 66'!$C:$N,12,0)</f>
        <v>0</v>
      </c>
      <c r="AJ877" s="1274">
        <f t="shared" si="808"/>
        <v>0</v>
      </c>
    </row>
    <row r="878" spans="1:36" ht="21" customHeight="1" outlineLevel="1" x14ac:dyDescent="0.35">
      <c r="A878" s="313"/>
      <c r="B878" s="293"/>
      <c r="C878" s="950" t="s">
        <v>52</v>
      </c>
      <c r="D878" s="1168"/>
      <c r="E878" s="1171"/>
      <c r="F878" s="1171"/>
      <c r="G878" s="1171"/>
      <c r="H878" s="1171"/>
      <c r="I878" s="1172"/>
      <c r="J878" s="1172"/>
      <c r="K878" s="1047"/>
      <c r="L878" s="1047"/>
      <c r="M878" s="1171"/>
      <c r="N878" s="1171"/>
      <c r="O878" s="1171"/>
      <c r="P878" s="1171"/>
      <c r="Q878" s="1171"/>
      <c r="R878" s="1171"/>
      <c r="S878" s="1171"/>
      <c r="T878" s="1171"/>
      <c r="U878" s="1171"/>
      <c r="V878" s="1171">
        <f t="shared" si="809"/>
        <v>0</v>
      </c>
      <c r="W878" s="1171"/>
      <c r="X878" s="1171"/>
      <c r="Y878" s="1171"/>
      <c r="Z878" s="1171"/>
      <c r="AA878" s="1171"/>
      <c r="AB878" s="1171"/>
      <c r="AD878" s="650">
        <f t="shared" si="807"/>
        <v>0</v>
      </c>
      <c r="AI878" s="1277">
        <f>VLOOKUP(K878,'[2]ผลการเบิกจ่ายสะสม พ.ย. 66'!$C:$N,12,0)</f>
        <v>0</v>
      </c>
      <c r="AJ878" s="1274">
        <f t="shared" si="808"/>
        <v>0</v>
      </c>
    </row>
    <row r="879" spans="1:36" ht="21" customHeight="1" outlineLevel="1" x14ac:dyDescent="0.35">
      <c r="A879" s="313"/>
      <c r="B879" s="293"/>
      <c r="C879" s="951" t="s">
        <v>1012</v>
      </c>
      <c r="D879" s="1168"/>
      <c r="E879" s="1171"/>
      <c r="F879" s="1171"/>
      <c r="G879" s="1171"/>
      <c r="H879" s="1171"/>
      <c r="I879" s="1172"/>
      <c r="J879" s="1172">
        <v>9084800</v>
      </c>
      <c r="K879" s="1047"/>
      <c r="L879" s="1047"/>
      <c r="M879" s="1171"/>
      <c r="N879" s="1171"/>
      <c r="O879" s="1171"/>
      <c r="P879" s="1171"/>
      <c r="Q879" s="1171"/>
      <c r="R879" s="1171"/>
      <c r="S879" s="1171"/>
      <c r="T879" s="1171"/>
      <c r="U879" s="1171"/>
      <c r="V879" s="1171">
        <f t="shared" si="809"/>
        <v>0</v>
      </c>
      <c r="W879" s="1171"/>
      <c r="X879" s="1171"/>
      <c r="Y879" s="1171"/>
      <c r="Z879" s="1171"/>
      <c r="AA879" s="1171"/>
      <c r="AB879" s="1171"/>
      <c r="AD879" s="650">
        <f t="shared" si="807"/>
        <v>0</v>
      </c>
      <c r="AI879" s="1277">
        <f>VLOOKUP(K879,'[2]ผลการเบิกจ่ายสะสม พ.ย. 66'!$C:$N,12,0)</f>
        <v>0</v>
      </c>
      <c r="AJ879" s="1274">
        <f t="shared" si="808"/>
        <v>0</v>
      </c>
    </row>
    <row r="880" spans="1:36" ht="42" customHeight="1" outlineLevel="1" x14ac:dyDescent="0.35">
      <c r="A880" s="313"/>
      <c r="B880" s="293"/>
      <c r="C880" s="934" t="s">
        <v>763</v>
      </c>
      <c r="D880" s="1168"/>
      <c r="E880" s="1171"/>
      <c r="F880" s="1171"/>
      <c r="G880" s="1171"/>
      <c r="H880" s="1171"/>
      <c r="I880" s="1172"/>
      <c r="J880" s="1172">
        <f>SUM(J882:J883)</f>
        <v>86240100</v>
      </c>
      <c r="K880" s="1046"/>
      <c r="L880" s="1046"/>
      <c r="M880" s="1169">
        <f t="shared" ref="M880:U880" si="822">SUM(M882:M883)</f>
        <v>0</v>
      </c>
      <c r="N880" s="1169">
        <f>SUM(N882:N883)</f>
        <v>0</v>
      </c>
      <c r="O880" s="1169">
        <f t="shared" si="822"/>
        <v>0</v>
      </c>
      <c r="P880" s="1169">
        <f t="shared" si="822"/>
        <v>0</v>
      </c>
      <c r="Q880" s="1169">
        <f t="shared" si="822"/>
        <v>0</v>
      </c>
      <c r="R880" s="1169">
        <f t="shared" si="822"/>
        <v>0</v>
      </c>
      <c r="S880" s="1169">
        <f t="shared" si="822"/>
        <v>0</v>
      </c>
      <c r="T880" s="1169">
        <f t="shared" si="822"/>
        <v>0</v>
      </c>
      <c r="U880" s="1169">
        <f t="shared" si="822"/>
        <v>0</v>
      </c>
      <c r="V880" s="1169">
        <f t="shared" si="809"/>
        <v>0</v>
      </c>
      <c r="W880" s="1169">
        <f t="shared" ref="W880:AB880" si="823">SUM(W882:W883)</f>
        <v>0</v>
      </c>
      <c r="X880" s="1169">
        <f t="shared" si="823"/>
        <v>0</v>
      </c>
      <c r="Y880" s="1169">
        <f t="shared" si="823"/>
        <v>0</v>
      </c>
      <c r="Z880" s="1169">
        <f t="shared" si="823"/>
        <v>0</v>
      </c>
      <c r="AA880" s="1169">
        <f t="shared" si="823"/>
        <v>0</v>
      </c>
      <c r="AB880" s="1169">
        <f t="shared" si="823"/>
        <v>0</v>
      </c>
      <c r="AD880" s="650">
        <f t="shared" si="807"/>
        <v>0</v>
      </c>
      <c r="AI880" s="1277">
        <f>VLOOKUP(K880,'[2]ผลการเบิกจ่ายสะสม พ.ย. 66'!$C:$N,12,0)</f>
        <v>0</v>
      </c>
      <c r="AJ880" s="1274">
        <f t="shared" si="808"/>
        <v>0</v>
      </c>
    </row>
    <row r="881" spans="1:36" ht="21" customHeight="1" outlineLevel="1" x14ac:dyDescent="0.35">
      <c r="A881" s="313"/>
      <c r="B881" s="293"/>
      <c r="C881" s="950" t="s">
        <v>264</v>
      </c>
      <c r="D881" s="1168"/>
      <c r="E881" s="1171"/>
      <c r="F881" s="1171"/>
      <c r="G881" s="1171"/>
      <c r="H881" s="1171"/>
      <c r="I881" s="1172"/>
      <c r="J881" s="1172"/>
      <c r="K881" s="1047"/>
      <c r="L881" s="1047"/>
      <c r="M881" s="1171"/>
      <c r="N881" s="1171"/>
      <c r="O881" s="1171"/>
      <c r="P881" s="1171"/>
      <c r="Q881" s="1171"/>
      <c r="R881" s="1171"/>
      <c r="S881" s="1171"/>
      <c r="T881" s="1171"/>
      <c r="U881" s="1171"/>
      <c r="V881" s="1171">
        <f t="shared" si="809"/>
        <v>0</v>
      </c>
      <c r="W881" s="1171"/>
      <c r="X881" s="1171"/>
      <c r="Y881" s="1171"/>
      <c r="Z881" s="1171"/>
      <c r="AA881" s="1171"/>
      <c r="AB881" s="1171"/>
      <c r="AD881" s="650">
        <f t="shared" si="807"/>
        <v>0</v>
      </c>
      <c r="AI881" s="1277">
        <f>VLOOKUP(K881,'[2]ผลการเบิกจ่ายสะสม พ.ย. 66'!$C:$N,12,0)</f>
        <v>0</v>
      </c>
      <c r="AJ881" s="1274">
        <f t="shared" si="808"/>
        <v>0</v>
      </c>
    </row>
    <row r="882" spans="1:36" ht="21" customHeight="1" outlineLevel="1" x14ac:dyDescent="0.35">
      <c r="A882" s="313"/>
      <c r="B882" s="293"/>
      <c r="C882" s="951" t="s">
        <v>1013</v>
      </c>
      <c r="D882" s="1168"/>
      <c r="E882" s="1171"/>
      <c r="F882" s="1171"/>
      <c r="G882" s="1171"/>
      <c r="H882" s="1171"/>
      <c r="I882" s="1172"/>
      <c r="J882" s="1172">
        <v>12113500</v>
      </c>
      <c r="K882" s="1047" t="s">
        <v>1414</v>
      </c>
      <c r="L882" s="1047" t="s">
        <v>1430</v>
      </c>
      <c r="M882" s="1171"/>
      <c r="N882" s="1171"/>
      <c r="O882" s="1171"/>
      <c r="P882" s="1171"/>
      <c r="Q882" s="1171"/>
      <c r="R882" s="1171"/>
      <c r="S882" s="1171"/>
      <c r="T882" s="1171"/>
      <c r="U882" s="1171"/>
      <c r="V882" s="1171">
        <f t="shared" si="809"/>
        <v>0</v>
      </c>
      <c r="W882" s="1171"/>
      <c r="X882" s="1171"/>
      <c r="Y882" s="1171"/>
      <c r="Z882" s="1171"/>
      <c r="AA882" s="1171"/>
      <c r="AB882" s="1171"/>
      <c r="AD882" s="650">
        <f t="shared" si="807"/>
        <v>0</v>
      </c>
      <c r="AI882" s="1277" t="e">
        <f>VLOOKUP(K882,'[2]ผลการเบิกจ่ายสะสม พ.ย. 66'!$C:$N,12,0)</f>
        <v>#N/A</v>
      </c>
      <c r="AJ882" s="1274" t="e">
        <f t="shared" si="808"/>
        <v>#N/A</v>
      </c>
    </row>
    <row r="883" spans="1:36" ht="42" customHeight="1" outlineLevel="1" x14ac:dyDescent="0.35">
      <c r="A883" s="313"/>
      <c r="B883" s="293"/>
      <c r="C883" s="951" t="s">
        <v>1014</v>
      </c>
      <c r="D883" s="1168"/>
      <c r="E883" s="1171"/>
      <c r="F883" s="1171"/>
      <c r="G883" s="1171"/>
      <c r="H883" s="1171"/>
      <c r="I883" s="1172"/>
      <c r="J883" s="1172">
        <v>74126600</v>
      </c>
      <c r="K883" s="1047" t="s">
        <v>1415</v>
      </c>
      <c r="L883" s="1047" t="s">
        <v>1430</v>
      </c>
      <c r="M883" s="1171"/>
      <c r="N883" s="1171"/>
      <c r="O883" s="1171"/>
      <c r="P883" s="1171"/>
      <c r="Q883" s="1171"/>
      <c r="R883" s="1171"/>
      <c r="S883" s="1171"/>
      <c r="T883" s="1171"/>
      <c r="U883" s="1171"/>
      <c r="V883" s="1171">
        <f t="shared" si="809"/>
        <v>0</v>
      </c>
      <c r="W883" s="1171"/>
      <c r="X883" s="1171"/>
      <c r="Y883" s="1171"/>
      <c r="Z883" s="1171"/>
      <c r="AA883" s="1171"/>
      <c r="AB883" s="1171"/>
      <c r="AD883" s="650">
        <f t="shared" si="807"/>
        <v>0</v>
      </c>
      <c r="AI883" s="1277" t="e">
        <f>VLOOKUP(K883,'[2]ผลการเบิกจ่ายสะสม พ.ย. 66'!$C:$N,12,0)</f>
        <v>#N/A</v>
      </c>
      <c r="AJ883" s="1274" t="e">
        <f t="shared" si="808"/>
        <v>#N/A</v>
      </c>
    </row>
    <row r="884" spans="1:36" ht="21" customHeight="1" outlineLevel="1" x14ac:dyDescent="0.35">
      <c r="A884" s="313"/>
      <c r="B884" s="72" t="s">
        <v>1015</v>
      </c>
      <c r="C884" s="942"/>
      <c r="D884" s="1168"/>
      <c r="E884" s="1169"/>
      <c r="F884" s="1169"/>
      <c r="G884" s="1169"/>
      <c r="H884" s="1169"/>
      <c r="I884" s="1170">
        <v>644400</v>
      </c>
      <c r="J884" s="1170">
        <v>0</v>
      </c>
      <c r="K884" s="1046"/>
      <c r="L884" s="1046"/>
      <c r="M884" s="1169"/>
      <c r="N884" s="1169"/>
      <c r="O884" s="1169"/>
      <c r="P884" s="1169"/>
      <c r="Q884" s="1169"/>
      <c r="R884" s="1169"/>
      <c r="S884" s="1169"/>
      <c r="T884" s="1169"/>
      <c r="U884" s="1169"/>
      <c r="V884" s="1169">
        <f t="shared" si="809"/>
        <v>0</v>
      </c>
      <c r="W884" s="1169"/>
      <c r="X884" s="1169"/>
      <c r="Y884" s="1169"/>
      <c r="Z884" s="1169"/>
      <c r="AA884" s="1169"/>
      <c r="AB884" s="1169"/>
      <c r="AD884" s="650">
        <f t="shared" si="807"/>
        <v>0</v>
      </c>
      <c r="AI884" s="1277">
        <f>VLOOKUP(K884,'[2]ผลการเบิกจ่ายสะสม พ.ย. 66'!$C:$N,12,0)</f>
        <v>0</v>
      </c>
      <c r="AJ884" s="1274">
        <f t="shared" si="808"/>
        <v>0</v>
      </c>
    </row>
    <row r="885" spans="1:36" ht="42" customHeight="1" outlineLevel="1" x14ac:dyDescent="0.35">
      <c r="A885" s="313"/>
      <c r="B885" s="293"/>
      <c r="C885" s="934" t="s">
        <v>1016</v>
      </c>
      <c r="D885" s="1168"/>
      <c r="E885" s="1171"/>
      <c r="F885" s="1171"/>
      <c r="G885" s="1171"/>
      <c r="H885" s="1171"/>
      <c r="I885" s="1172"/>
      <c r="J885" s="1172"/>
      <c r="K885" s="1047"/>
      <c r="L885" s="1047"/>
      <c r="M885" s="1171"/>
      <c r="N885" s="1171"/>
      <c r="O885" s="1171"/>
      <c r="P885" s="1171"/>
      <c r="Q885" s="1171"/>
      <c r="R885" s="1171"/>
      <c r="S885" s="1171"/>
      <c r="T885" s="1171"/>
      <c r="U885" s="1171"/>
      <c r="V885" s="1171">
        <f t="shared" si="809"/>
        <v>0</v>
      </c>
      <c r="W885" s="1171"/>
      <c r="X885" s="1171"/>
      <c r="Y885" s="1171"/>
      <c r="Z885" s="1171"/>
      <c r="AA885" s="1171"/>
      <c r="AB885" s="1171"/>
      <c r="AD885" s="650">
        <f t="shared" si="807"/>
        <v>0</v>
      </c>
      <c r="AI885" s="1277">
        <f>VLOOKUP(K885,'[2]ผลการเบิกจ่ายสะสม พ.ย. 66'!$C:$N,12,0)</f>
        <v>0</v>
      </c>
      <c r="AJ885" s="1274">
        <f t="shared" si="808"/>
        <v>0</v>
      </c>
    </row>
    <row r="886" spans="1:36" ht="21" customHeight="1" outlineLevel="1" x14ac:dyDescent="0.35">
      <c r="A886" s="313"/>
      <c r="B886" s="72" t="s">
        <v>1017</v>
      </c>
      <c r="C886" s="934"/>
      <c r="D886" s="1168"/>
      <c r="E886" s="1171"/>
      <c r="F886" s="1171"/>
      <c r="G886" s="1171"/>
      <c r="H886" s="1171"/>
      <c r="I886" s="1170">
        <v>70000000</v>
      </c>
      <c r="J886" s="1170">
        <v>0</v>
      </c>
      <c r="K886" s="1046"/>
      <c r="L886" s="1046"/>
      <c r="M886" s="1169"/>
      <c r="N886" s="1169"/>
      <c r="O886" s="1169"/>
      <c r="P886" s="1169"/>
      <c r="Q886" s="1169"/>
      <c r="R886" s="1169"/>
      <c r="S886" s="1169"/>
      <c r="T886" s="1169"/>
      <c r="U886" s="1169"/>
      <c r="V886" s="1169">
        <f t="shared" si="809"/>
        <v>0</v>
      </c>
      <c r="W886" s="1169"/>
      <c r="X886" s="1169"/>
      <c r="Y886" s="1169"/>
      <c r="Z886" s="1169"/>
      <c r="AA886" s="1169"/>
      <c r="AB886" s="1169"/>
      <c r="AD886" s="650">
        <f t="shared" si="807"/>
        <v>0</v>
      </c>
      <c r="AI886" s="1277">
        <f>VLOOKUP(K886,'[2]ผลการเบิกจ่ายสะสม พ.ย. 66'!$C:$N,12,0)</f>
        <v>0</v>
      </c>
      <c r="AJ886" s="1274">
        <f t="shared" si="808"/>
        <v>0</v>
      </c>
    </row>
    <row r="887" spans="1:36" ht="42" customHeight="1" outlineLevel="1" x14ac:dyDescent="0.35">
      <c r="A887" s="952"/>
      <c r="B887" s="953"/>
      <c r="C887" s="954" t="s">
        <v>1018</v>
      </c>
      <c r="D887" s="1195"/>
      <c r="E887" s="1196"/>
      <c r="F887" s="1196"/>
      <c r="G887" s="1196"/>
      <c r="H887" s="1196"/>
      <c r="I887" s="1192"/>
      <c r="J887" s="1192"/>
      <c r="K887" s="1054"/>
      <c r="L887" s="1054"/>
      <c r="M887" s="1196"/>
      <c r="N887" s="1196"/>
      <c r="O887" s="1196"/>
      <c r="P887" s="1196"/>
      <c r="Q887" s="1196"/>
      <c r="R887" s="1196"/>
      <c r="S887" s="1196"/>
      <c r="T887" s="1196"/>
      <c r="U887" s="1196"/>
      <c r="V887" s="1196">
        <f t="shared" si="809"/>
        <v>0</v>
      </c>
      <c r="W887" s="1196"/>
      <c r="X887" s="1196"/>
      <c r="Y887" s="1196"/>
      <c r="Z887" s="1196"/>
      <c r="AA887" s="1196"/>
      <c r="AB887" s="1196"/>
      <c r="AD887" s="650">
        <f t="shared" si="807"/>
        <v>0</v>
      </c>
      <c r="AI887" s="1277">
        <f>VLOOKUP(K887,'[2]ผลการเบิกจ่ายสะสม พ.ย. 66'!$C:$N,12,0)</f>
        <v>0</v>
      </c>
      <c r="AJ887" s="1274">
        <f t="shared" si="808"/>
        <v>0</v>
      </c>
    </row>
    <row r="888" spans="1:36" ht="22.5" customHeight="1" x14ac:dyDescent="0.35">
      <c r="A888" s="408" t="s">
        <v>6</v>
      </c>
      <c r="B888" s="409"/>
      <c r="C888" s="409"/>
      <c r="D888" s="1197">
        <f>SUM(D889)</f>
        <v>3668016700</v>
      </c>
      <c r="E888" s="1198">
        <f>SUM(E889)</f>
        <v>3739838326.8599997</v>
      </c>
      <c r="F888" s="1198">
        <f>SUM(F889)</f>
        <v>0</v>
      </c>
      <c r="G888" s="1198">
        <f>SUM(G889)</f>
        <v>727902667.46000004</v>
      </c>
      <c r="H888" s="1198">
        <f>SUM(H889)</f>
        <v>3638861700</v>
      </c>
      <c r="I888" s="1199">
        <v>4202896400</v>
      </c>
      <c r="J888" s="1199">
        <f>SUM(J889)</f>
        <v>3777102200</v>
      </c>
      <c r="K888" s="1059"/>
      <c r="L888" s="1059"/>
      <c r="M888" s="1198">
        <f t="shared" ref="M888:AB888" si="824">SUM(M889)</f>
        <v>2198699300</v>
      </c>
      <c r="N888" s="1198">
        <f>SUM(N889)</f>
        <v>2576211800</v>
      </c>
      <c r="O888" s="1198">
        <f t="shared" si="824"/>
        <v>0</v>
      </c>
      <c r="P888" s="1198">
        <f t="shared" si="824"/>
        <v>0</v>
      </c>
      <c r="Q888" s="1198">
        <f t="shared" si="824"/>
        <v>0</v>
      </c>
      <c r="R888" s="1198">
        <f t="shared" si="824"/>
        <v>0</v>
      </c>
      <c r="S888" s="1198">
        <f t="shared" si="824"/>
        <v>1543629363.52</v>
      </c>
      <c r="T888" s="1198">
        <f t="shared" si="824"/>
        <v>1543629363.52</v>
      </c>
      <c r="U888" s="1198">
        <f t="shared" si="824"/>
        <v>1032582436.48</v>
      </c>
      <c r="V888" s="1198">
        <f t="shared" si="809"/>
        <v>59.91857360175122</v>
      </c>
      <c r="W888" s="1198">
        <f t="shared" si="824"/>
        <v>0</v>
      </c>
      <c r="X888" s="1198">
        <f t="shared" si="824"/>
        <v>1254799742.4100001</v>
      </c>
      <c r="Y888" s="1198">
        <f t="shared" si="824"/>
        <v>1321412057.5899999</v>
      </c>
      <c r="Z888" s="1198">
        <f t="shared" si="824"/>
        <v>1254799742.4100001</v>
      </c>
      <c r="AA888" s="1198">
        <f t="shared" si="824"/>
        <v>1321412057.5899999</v>
      </c>
      <c r="AB888" s="1198">
        <f t="shared" si="824"/>
        <v>783.18052964128424</v>
      </c>
      <c r="AD888" s="650">
        <f t="shared" si="807"/>
        <v>0</v>
      </c>
      <c r="AI888" s="1277">
        <f>VLOOKUP(K888,'[2]ผลการเบิกจ่ายสะสม พ.ย. 66'!$C:$N,12,0)</f>
        <v>0</v>
      </c>
      <c r="AJ888" s="1274">
        <f t="shared" si="808"/>
        <v>-1543629363.52</v>
      </c>
    </row>
    <row r="889" spans="1:36" ht="22.5" customHeight="1" x14ac:dyDescent="0.35">
      <c r="A889" s="151" t="s">
        <v>11</v>
      </c>
      <c r="B889" s="152"/>
      <c r="C889" s="152"/>
      <c r="D889" s="1200">
        <f>+D890+D916</f>
        <v>3668016700</v>
      </c>
      <c r="E889" s="1201">
        <f>+E890+E916</f>
        <v>3739838326.8599997</v>
      </c>
      <c r="F889" s="1201">
        <f>+F890+F916</f>
        <v>0</v>
      </c>
      <c r="G889" s="1201">
        <f>+G890+G916</f>
        <v>727902667.46000004</v>
      </c>
      <c r="H889" s="1201">
        <f>+H890+H916</f>
        <v>3638861700</v>
      </c>
      <c r="I889" s="1202">
        <v>4202896400</v>
      </c>
      <c r="J889" s="1202">
        <f>+J890+J916</f>
        <v>3777102200</v>
      </c>
      <c r="K889" s="1060" t="s">
        <v>1416</v>
      </c>
      <c r="L889" s="1060" t="s">
        <v>1431</v>
      </c>
      <c r="M889" s="1201">
        <f t="shared" ref="M889:U889" si="825">+M890+M916</f>
        <v>2198699300</v>
      </c>
      <c r="N889" s="1201">
        <f>+N890+N916</f>
        <v>2576211800</v>
      </c>
      <c r="O889" s="1201">
        <f t="shared" si="825"/>
        <v>0</v>
      </c>
      <c r="P889" s="1201">
        <f t="shared" si="825"/>
        <v>0</v>
      </c>
      <c r="Q889" s="1201">
        <f t="shared" si="825"/>
        <v>0</v>
      </c>
      <c r="R889" s="1201">
        <f t="shared" si="825"/>
        <v>0</v>
      </c>
      <c r="S889" s="1201">
        <f t="shared" si="825"/>
        <v>1543629363.52</v>
      </c>
      <c r="T889" s="1201">
        <f t="shared" si="825"/>
        <v>1543629363.52</v>
      </c>
      <c r="U889" s="1201">
        <f t="shared" si="825"/>
        <v>1032582436.48</v>
      </c>
      <c r="V889" s="1201">
        <f t="shared" si="809"/>
        <v>59.91857360175122</v>
      </c>
      <c r="W889" s="1201">
        <f t="shared" ref="W889:AB889" si="826">+W890+W916</f>
        <v>0</v>
      </c>
      <c r="X889" s="1201">
        <f t="shared" si="826"/>
        <v>1254799742.4100001</v>
      </c>
      <c r="Y889" s="1201">
        <f t="shared" si="826"/>
        <v>1321412057.5899999</v>
      </c>
      <c r="Z889" s="1201">
        <f t="shared" si="826"/>
        <v>1254799742.4100001</v>
      </c>
      <c r="AA889" s="1201">
        <f t="shared" si="826"/>
        <v>1321412057.5899999</v>
      </c>
      <c r="AB889" s="1201">
        <f t="shared" si="826"/>
        <v>783.18052964128424</v>
      </c>
      <c r="AD889" s="650">
        <f t="shared" si="807"/>
        <v>0</v>
      </c>
      <c r="AI889" s="1277" t="e">
        <f>VLOOKUP(K889,'[2]ผลการเบิกจ่ายสะสม พ.ย. 66'!$C:$N,12,0)</f>
        <v>#N/A</v>
      </c>
      <c r="AJ889" s="1274" t="e">
        <f t="shared" si="808"/>
        <v>#N/A</v>
      </c>
    </row>
    <row r="890" spans="1:36" ht="22.5" customHeight="1" x14ac:dyDescent="0.35">
      <c r="A890" s="156" t="s">
        <v>3</v>
      </c>
      <c r="B890" s="157"/>
      <c r="C890" s="157"/>
      <c r="D890" s="1203">
        <f>+D891+D908+D913</f>
        <v>2697246300</v>
      </c>
      <c r="E890" s="1088">
        <f>+E891+E908+E913</f>
        <v>2750115548.0199995</v>
      </c>
      <c r="F890" s="1088">
        <f>+F891+F908+F913</f>
        <v>0</v>
      </c>
      <c r="G890" s="1088">
        <f>+G891+G908+G913</f>
        <v>727902667.46000004</v>
      </c>
      <c r="H890" s="1088">
        <f>+H891+H908+H913</f>
        <v>2696036500</v>
      </c>
      <c r="I890" s="1089">
        <v>3077629700</v>
      </c>
      <c r="J890" s="1089">
        <f>+J891+J908+J913</f>
        <v>2772141200</v>
      </c>
      <c r="K890" s="1028" t="s">
        <v>1417</v>
      </c>
      <c r="L890" s="1028" t="s">
        <v>1431</v>
      </c>
      <c r="M890" s="1088">
        <f t="shared" ref="M890:U890" si="827">+M891+M908+M913</f>
        <v>1569678800</v>
      </c>
      <c r="N890" s="1088">
        <f>+N891+N908+N913</f>
        <v>1691692900</v>
      </c>
      <c r="O890" s="1088">
        <f t="shared" si="827"/>
        <v>0</v>
      </c>
      <c r="P890" s="1088">
        <f t="shared" si="827"/>
        <v>0</v>
      </c>
      <c r="Q890" s="1088">
        <f t="shared" si="827"/>
        <v>0</v>
      </c>
      <c r="R890" s="1088">
        <f t="shared" si="827"/>
        <v>0</v>
      </c>
      <c r="S890" s="1088">
        <f t="shared" si="827"/>
        <v>1039295900.75</v>
      </c>
      <c r="T890" s="1088">
        <f t="shared" si="827"/>
        <v>1039295900.75</v>
      </c>
      <c r="U890" s="1088">
        <f t="shared" si="827"/>
        <v>652396999.25</v>
      </c>
      <c r="V890" s="1088">
        <f t="shared" si="809"/>
        <v>61.435258181316478</v>
      </c>
      <c r="W890" s="1088">
        <f t="shared" ref="W890:AB890" si="828">+W891+W908+W913</f>
        <v>0</v>
      </c>
      <c r="X890" s="1088">
        <f t="shared" si="828"/>
        <v>1039295900.75</v>
      </c>
      <c r="Y890" s="1088">
        <f t="shared" si="828"/>
        <v>652396999.25</v>
      </c>
      <c r="Z890" s="1088">
        <f t="shared" si="828"/>
        <v>1039295900.75</v>
      </c>
      <c r="AA890" s="1088">
        <f t="shared" si="828"/>
        <v>652396999.25</v>
      </c>
      <c r="AB890" s="1088">
        <f t="shared" si="828"/>
        <v>495.70004875376975</v>
      </c>
      <c r="AD890" s="650">
        <f t="shared" si="807"/>
        <v>0</v>
      </c>
      <c r="AI890" s="1277">
        <f>VLOOKUP(K890,'[2]ผลการเบิกจ่ายสะสม พ.ย. 66'!$C:$N,12,0)</f>
        <v>1039295900.75</v>
      </c>
      <c r="AJ890" s="1274">
        <f t="shared" si="808"/>
        <v>0</v>
      </c>
    </row>
    <row r="891" spans="1:36" ht="22.5" customHeight="1" x14ac:dyDescent="0.35">
      <c r="A891" s="217" t="s">
        <v>237</v>
      </c>
      <c r="B891" s="216"/>
      <c r="C891" s="216"/>
      <c r="D891" s="1204">
        <f>+D892+D906</f>
        <v>1833659500</v>
      </c>
      <c r="E891" s="1105">
        <f>+E892+E906</f>
        <v>1888395613.8199997</v>
      </c>
      <c r="F891" s="1105">
        <f>+F892+F906</f>
        <v>1828000</v>
      </c>
      <c r="G891" s="1105">
        <f>+G892+G906</f>
        <v>727902667.46000004</v>
      </c>
      <c r="H891" s="1105">
        <f>+H892+H906</f>
        <v>1822206500</v>
      </c>
      <c r="I891" s="1106">
        <v>2073596200</v>
      </c>
      <c r="J891" s="1106">
        <f>+J892+J906</f>
        <v>1866359500</v>
      </c>
      <c r="K891" s="1040" t="s">
        <v>1417</v>
      </c>
      <c r="L891" s="1040" t="s">
        <v>1431</v>
      </c>
      <c r="M891" s="1105">
        <f t="shared" ref="M891:U891" si="829">+M892+M906</f>
        <v>1116787800</v>
      </c>
      <c r="N891" s="1105">
        <f>+N892+N906</f>
        <v>1236028300</v>
      </c>
      <c r="O891" s="1105">
        <f t="shared" si="829"/>
        <v>0</v>
      </c>
      <c r="P891" s="1105">
        <f t="shared" si="829"/>
        <v>0</v>
      </c>
      <c r="Q891" s="1105">
        <f t="shared" si="829"/>
        <v>0</v>
      </c>
      <c r="R891" s="1105">
        <f t="shared" si="829"/>
        <v>0</v>
      </c>
      <c r="S891" s="1105">
        <f t="shared" si="829"/>
        <v>651312195.70000005</v>
      </c>
      <c r="T891" s="1105">
        <f t="shared" si="829"/>
        <v>651312195.69999993</v>
      </c>
      <c r="U891" s="1105">
        <f t="shared" si="829"/>
        <v>584716104.29999995</v>
      </c>
      <c r="V891" s="1105">
        <f t="shared" si="809"/>
        <v>52.693954960416356</v>
      </c>
      <c r="W891" s="1105">
        <f t="shared" ref="W891:AB891" si="830">+W892+W906</f>
        <v>0</v>
      </c>
      <c r="X891" s="1105">
        <f t="shared" si="830"/>
        <v>651312195.69999993</v>
      </c>
      <c r="Y891" s="1105">
        <f t="shared" si="830"/>
        <v>584716104.29999995</v>
      </c>
      <c r="Z891" s="1105">
        <f t="shared" si="830"/>
        <v>651312195.69999993</v>
      </c>
      <c r="AA891" s="1105">
        <f t="shared" si="830"/>
        <v>584716104.29999995</v>
      </c>
      <c r="AB891" s="1105">
        <f t="shared" si="830"/>
        <v>383.42833112678215</v>
      </c>
      <c r="AD891" s="650">
        <f t="shared" si="807"/>
        <v>0</v>
      </c>
      <c r="AI891" s="1277">
        <f>VLOOKUP(K891,'[2]ผลการเบิกจ่ายสะสม พ.ย. 66'!$C:$N,12,0)</f>
        <v>1039295900.75</v>
      </c>
      <c r="AJ891" s="1274">
        <f t="shared" si="808"/>
        <v>387983705.04999995</v>
      </c>
    </row>
    <row r="892" spans="1:36" ht="22.5" customHeight="1" outlineLevel="1" x14ac:dyDescent="0.35">
      <c r="A892" s="159"/>
      <c r="B892" s="160" t="s">
        <v>9</v>
      </c>
      <c r="C892" s="216"/>
      <c r="D892" s="1204">
        <f>+D893+D895</f>
        <v>1812276400</v>
      </c>
      <c r="E892" s="1105">
        <f>+E893+E895</f>
        <v>1868055613.8199997</v>
      </c>
      <c r="F892" s="1105">
        <f>+F893+F895</f>
        <v>2828000</v>
      </c>
      <c r="G892" s="1105">
        <f>+G893+G895</f>
        <v>727902667.46000004</v>
      </c>
      <c r="H892" s="1105">
        <f>+H893+H895</f>
        <v>1802754600</v>
      </c>
      <c r="I892" s="1106">
        <v>2055551900</v>
      </c>
      <c r="J892" s="1106">
        <f>+J893+J895</f>
        <v>1848315200</v>
      </c>
      <c r="K892" s="1040" t="s">
        <v>1417</v>
      </c>
      <c r="L892" s="1040" t="s">
        <v>1431</v>
      </c>
      <c r="M892" s="1105">
        <f t="shared" ref="M892:U892" si="831">+M893+M895</f>
        <v>1107765600</v>
      </c>
      <c r="N892" s="1105">
        <f>+N893+N895</f>
        <v>1223998800</v>
      </c>
      <c r="O892" s="1105">
        <f t="shared" si="831"/>
        <v>0</v>
      </c>
      <c r="P892" s="1105">
        <f t="shared" si="831"/>
        <v>0</v>
      </c>
      <c r="Q892" s="1105">
        <f t="shared" si="831"/>
        <v>0</v>
      </c>
      <c r="R892" s="1105">
        <f t="shared" si="831"/>
        <v>0</v>
      </c>
      <c r="S892" s="1268">
        <f>586458820.24+62189455.46</f>
        <v>648648275.70000005</v>
      </c>
      <c r="T892" s="1105">
        <f t="shared" si="831"/>
        <v>648648275.69999993</v>
      </c>
      <c r="U892" s="1105">
        <f t="shared" si="831"/>
        <v>575350524.29999995</v>
      </c>
      <c r="V892" s="1105">
        <f t="shared" si="809"/>
        <v>52.994192126658945</v>
      </c>
      <c r="W892" s="1105">
        <f t="shared" ref="W892:AB892" si="832">+W893+W895</f>
        <v>0</v>
      </c>
      <c r="X892" s="1105">
        <f t="shared" si="832"/>
        <v>648648275.69999993</v>
      </c>
      <c r="Y892" s="1105">
        <f t="shared" si="832"/>
        <v>575350524.29999995</v>
      </c>
      <c r="Z892" s="1105">
        <f t="shared" si="832"/>
        <v>648648275.69999993</v>
      </c>
      <c r="AA892" s="1105">
        <f t="shared" si="832"/>
        <v>575350524.29999995</v>
      </c>
      <c r="AB892" s="1105">
        <f t="shared" si="832"/>
        <v>361.28343732404721</v>
      </c>
      <c r="AD892" s="650">
        <f t="shared" si="807"/>
        <v>0</v>
      </c>
      <c r="AI892" s="1277">
        <f>VLOOKUP(K892,'[2]ผลการเบิกจ่ายสะสม พ.ย. 66'!$C:$N,12,0)</f>
        <v>1039295900.75</v>
      </c>
      <c r="AJ892" s="1274">
        <f t="shared" si="808"/>
        <v>390647625.04999995</v>
      </c>
    </row>
    <row r="893" spans="1:36" s="218" customFormat="1" ht="22.5" customHeight="1" outlineLevel="1" x14ac:dyDescent="0.35">
      <c r="A893" s="159"/>
      <c r="B893" s="164" t="s">
        <v>160</v>
      </c>
      <c r="C893" s="216" t="s">
        <v>1019</v>
      </c>
      <c r="D893" s="1204">
        <f>+D894</f>
        <v>650162100</v>
      </c>
      <c r="E893" s="1105">
        <f>+E894</f>
        <v>662295582.93999994</v>
      </c>
      <c r="F893" s="1105">
        <f>+F894</f>
        <v>438394.69</v>
      </c>
      <c r="G893" s="1105">
        <f>+G894</f>
        <v>662733977.63</v>
      </c>
      <c r="H893" s="1105">
        <f>+H894</f>
        <v>627849700</v>
      </c>
      <c r="I893" s="1106">
        <v>687172900</v>
      </c>
      <c r="J893" s="1106">
        <f>+J894</f>
        <v>635346100</v>
      </c>
      <c r="K893" s="1040" t="s">
        <v>1417</v>
      </c>
      <c r="L893" s="1040" t="s">
        <v>1431</v>
      </c>
      <c r="M893" s="1105">
        <f t="shared" ref="M893:AB893" si="833">+M894</f>
        <v>317673000</v>
      </c>
      <c r="N893" s="1105">
        <f>+N894</f>
        <v>423563800</v>
      </c>
      <c r="O893" s="1105">
        <f t="shared" si="833"/>
        <v>0</v>
      </c>
      <c r="P893" s="1105">
        <f t="shared" si="833"/>
        <v>0</v>
      </c>
      <c r="Q893" s="1105">
        <f t="shared" si="833"/>
        <v>0</v>
      </c>
      <c r="R893" s="1105">
        <f t="shared" si="833"/>
        <v>0</v>
      </c>
      <c r="S893" s="1105">
        <f>+S894</f>
        <v>110761495.73999999</v>
      </c>
      <c r="T893" s="1105">
        <f t="shared" si="833"/>
        <v>110761495.73999999</v>
      </c>
      <c r="U893" s="1105">
        <f t="shared" si="833"/>
        <v>312802304.25999999</v>
      </c>
      <c r="V893" s="1105">
        <f t="shared" si="809"/>
        <v>26.149896601173189</v>
      </c>
      <c r="W893" s="1105">
        <f t="shared" si="833"/>
        <v>0</v>
      </c>
      <c r="X893" s="1105">
        <f t="shared" si="833"/>
        <v>110761495.73999999</v>
      </c>
      <c r="Y893" s="1105">
        <f t="shared" si="833"/>
        <v>312802304.25999999</v>
      </c>
      <c r="Z893" s="1105">
        <f t="shared" si="833"/>
        <v>110761495.73999999</v>
      </c>
      <c r="AA893" s="1105">
        <f t="shared" si="833"/>
        <v>312802304.25999999</v>
      </c>
      <c r="AB893" s="1105">
        <f t="shared" si="833"/>
        <v>26.149896601173189</v>
      </c>
      <c r="AD893" s="650">
        <f t="shared" si="807"/>
        <v>0</v>
      </c>
      <c r="AI893" s="1277">
        <f>VLOOKUP(K893,'[2]ผลการเบิกจ่ายสะสม พ.ย. 66'!$C:$N,12,0)</f>
        <v>1039295900.75</v>
      </c>
      <c r="AJ893" s="1274">
        <f t="shared" si="808"/>
        <v>928534405.00999999</v>
      </c>
    </row>
    <row r="894" spans="1:36" s="218" customFormat="1" ht="22.5" customHeight="1" outlineLevel="1" x14ac:dyDescent="0.35">
      <c r="A894" s="159"/>
      <c r="B894" s="165"/>
      <c r="C894" s="955" t="s">
        <v>1020</v>
      </c>
      <c r="D894" s="1205">
        <v>650162100</v>
      </c>
      <c r="E894" s="1206">
        <v>662295582.93999994</v>
      </c>
      <c r="F894" s="1206">
        <v>438394.69</v>
      </c>
      <c r="G894" s="1206">
        <f>+E894+F894</f>
        <v>662733977.63</v>
      </c>
      <c r="H894" s="1206">
        <v>627849700</v>
      </c>
      <c r="I894" s="1207">
        <v>687172900</v>
      </c>
      <c r="J894" s="1207">
        <v>635346100</v>
      </c>
      <c r="K894" s="1061"/>
      <c r="L894" s="1061"/>
      <c r="M894" s="1206">
        <v>317673000</v>
      </c>
      <c r="N894" s="1206">
        <v>423563800</v>
      </c>
      <c r="O894" s="1206"/>
      <c r="P894" s="1206"/>
      <c r="Q894" s="1206"/>
      <c r="R894" s="1206"/>
      <c r="S894" s="1280">
        <f>110761495.74</f>
        <v>110761495.73999999</v>
      </c>
      <c r="T894" s="1091">
        <f t="shared" ref="T894" si="834">+R894+S894</f>
        <v>110761495.73999999</v>
      </c>
      <c r="U894" s="1091">
        <f t="shared" ref="U894" si="835">+N894+O894-T894</f>
        <v>312802304.25999999</v>
      </c>
      <c r="V894" s="1091">
        <f t="shared" si="809"/>
        <v>26.149896601173189</v>
      </c>
      <c r="W894" s="1091"/>
      <c r="X894" s="1091">
        <f t="shared" ref="X894" si="836">+T894+Q894</f>
        <v>110761495.73999999</v>
      </c>
      <c r="Y894" s="1091">
        <f t="shared" ref="Y894" si="837">+U894-Q894</f>
        <v>312802304.25999999</v>
      </c>
      <c r="Z894" s="1091">
        <f t="shared" ref="Z894" si="838">+T894+Q894+P894</f>
        <v>110761495.73999999</v>
      </c>
      <c r="AA894" s="1091">
        <f t="shared" ref="AA894" si="839">+U894-Q894-P894</f>
        <v>312802304.25999999</v>
      </c>
      <c r="AB894" s="1091">
        <f t="shared" ref="AB894" si="840">IFERROR(Z894*100/(N894+O894),0)</f>
        <v>26.149896601173189</v>
      </c>
      <c r="AD894" s="650">
        <f t="shared" si="807"/>
        <v>0</v>
      </c>
      <c r="AI894" s="1277">
        <f>VLOOKUP(K894,'[2]ผลการเบิกจ่ายสะสม พ.ย. 66'!$C:$N,12,0)</f>
        <v>0</v>
      </c>
      <c r="AJ894" s="1274">
        <f t="shared" si="808"/>
        <v>-110761495.73999999</v>
      </c>
    </row>
    <row r="895" spans="1:36" s="218" customFormat="1" ht="22.5" customHeight="1" outlineLevel="1" x14ac:dyDescent="0.35">
      <c r="A895" s="214"/>
      <c r="B895" s="165"/>
      <c r="C895" s="956" t="s">
        <v>1021</v>
      </c>
      <c r="D895" s="1208">
        <f>+D896+D897+D898+D899</f>
        <v>1162114300</v>
      </c>
      <c r="E895" s="1209">
        <f>+E896+E897+E898+E899</f>
        <v>1205760030.8799999</v>
      </c>
      <c r="F895" s="1209">
        <f>+F896+F897+F898+F899</f>
        <v>2389605.31</v>
      </c>
      <c r="G895" s="1209">
        <f>+G896+G897+G898+G899</f>
        <v>65168689.829999998</v>
      </c>
      <c r="H895" s="1209">
        <f>+H896+H897+H898+H899</f>
        <v>1174904900</v>
      </c>
      <c r="I895" s="1210">
        <v>1368379000</v>
      </c>
      <c r="J895" s="1210">
        <f>+J896+J897+J898+J899</f>
        <v>1212969100</v>
      </c>
      <c r="K895" s="1040" t="s">
        <v>1417</v>
      </c>
      <c r="L895" s="1040" t="s">
        <v>1431</v>
      </c>
      <c r="M895" s="1209">
        <f t="shared" ref="M895:U895" si="841">+M896+M897+M898+M899</f>
        <v>790092600</v>
      </c>
      <c r="N895" s="1209">
        <f>+N896+N897+N898+N899</f>
        <v>800435000</v>
      </c>
      <c r="O895" s="1209">
        <f t="shared" si="841"/>
        <v>0</v>
      </c>
      <c r="P895" s="1209">
        <f t="shared" si="841"/>
        <v>0</v>
      </c>
      <c r="Q895" s="1209">
        <f t="shared" si="841"/>
        <v>0</v>
      </c>
      <c r="R895" s="1209">
        <f t="shared" si="841"/>
        <v>0</v>
      </c>
      <c r="S895" s="1153">
        <f>+S896+S897+S898+S899</f>
        <v>537886779.95999992</v>
      </c>
      <c r="T895" s="1209">
        <f t="shared" si="841"/>
        <v>537886779.95999992</v>
      </c>
      <c r="U895" s="1209">
        <f t="shared" si="841"/>
        <v>262548220.04000002</v>
      </c>
      <c r="V895" s="1209">
        <f t="shared" si="809"/>
        <v>67.199307871344942</v>
      </c>
      <c r="W895" s="1209">
        <f t="shared" ref="W895:AB895" si="842">+W896+W897+W898+W899</f>
        <v>0</v>
      </c>
      <c r="X895" s="1209">
        <f t="shared" si="842"/>
        <v>537886779.95999992</v>
      </c>
      <c r="Y895" s="1209">
        <f t="shared" si="842"/>
        <v>262548220.04000002</v>
      </c>
      <c r="Z895" s="1209">
        <f t="shared" si="842"/>
        <v>537886779.95999992</v>
      </c>
      <c r="AA895" s="1209">
        <f t="shared" si="842"/>
        <v>262548220.04000002</v>
      </c>
      <c r="AB895" s="1209">
        <f t="shared" si="842"/>
        <v>335.13354072287405</v>
      </c>
      <c r="AD895" s="650">
        <f t="shared" si="807"/>
        <v>0</v>
      </c>
      <c r="AI895" s="1277">
        <f>VLOOKUP(K895,'[2]ผลการเบิกจ่ายสะสม พ.ย. 66'!$C:$N,12,0)</f>
        <v>1039295900.75</v>
      </c>
      <c r="AJ895" s="1274">
        <f t="shared" si="808"/>
        <v>501409120.79000008</v>
      </c>
    </row>
    <row r="896" spans="1:36" s="218" customFormat="1" ht="22.5" customHeight="1" outlineLevel="1" x14ac:dyDescent="0.35">
      <c r="A896" s="159"/>
      <c r="B896" s="160"/>
      <c r="C896" s="957" t="s">
        <v>1022</v>
      </c>
      <c r="D896" s="1211">
        <v>27208800</v>
      </c>
      <c r="E896" s="1209">
        <v>28133294.859999999</v>
      </c>
      <c r="F896" s="1209">
        <v>1008688.4</v>
      </c>
      <c r="G896" s="1209">
        <f>+E896+F896</f>
        <v>29141983.259999998</v>
      </c>
      <c r="H896" s="1209">
        <v>28155600</v>
      </c>
      <c r="I896" s="1210">
        <v>32834400</v>
      </c>
      <c r="J896" s="1210">
        <v>28707600</v>
      </c>
      <c r="K896" s="1040" t="s">
        <v>1417</v>
      </c>
      <c r="L896" s="1040" t="s">
        <v>1431</v>
      </c>
      <c r="M896" s="1209">
        <v>14353800</v>
      </c>
      <c r="N896" s="1209">
        <v>19138400</v>
      </c>
      <c r="O896" s="1209"/>
      <c r="P896" s="1209"/>
      <c r="Q896" s="1209"/>
      <c r="R896" s="1209"/>
      <c r="S896" s="1279">
        <f>4660458.07</f>
        <v>4660458.07</v>
      </c>
      <c r="T896" s="1091">
        <f t="shared" ref="T896:T898" si="843">+R896+S896</f>
        <v>4660458.07</v>
      </c>
      <c r="U896" s="1091">
        <f t="shared" ref="U896:U898" si="844">+N896+O896-T896</f>
        <v>14477941.93</v>
      </c>
      <c r="V896" s="1091">
        <f t="shared" si="809"/>
        <v>24.351346350792124</v>
      </c>
      <c r="W896" s="1091"/>
      <c r="X896" s="1091">
        <f t="shared" ref="X896:X898" si="845">+T896+Q896</f>
        <v>4660458.07</v>
      </c>
      <c r="Y896" s="1091">
        <f t="shared" ref="Y896:Y898" si="846">+U896-Q896</f>
        <v>14477941.93</v>
      </c>
      <c r="Z896" s="1091">
        <f t="shared" ref="Z896:Z898" si="847">+T896+Q896+P896</f>
        <v>4660458.07</v>
      </c>
      <c r="AA896" s="1091">
        <f t="shared" ref="AA896:AA898" si="848">+U896-Q896-P896</f>
        <v>14477941.93</v>
      </c>
      <c r="AB896" s="1091">
        <f t="shared" ref="AB896:AB898" si="849">IFERROR(Z896*100/(N896+O896),0)</f>
        <v>24.351346350792124</v>
      </c>
      <c r="AD896" s="650">
        <f t="shared" si="807"/>
        <v>0</v>
      </c>
      <c r="AI896" s="1277">
        <f>VLOOKUP(K896,'[2]ผลการเบิกจ่ายสะสม พ.ย. 66'!$C:$N,12,0)</f>
        <v>1039295900.75</v>
      </c>
      <c r="AJ896" s="1274">
        <f t="shared" si="808"/>
        <v>1034635442.6799999</v>
      </c>
    </row>
    <row r="897" spans="1:36" ht="22.5" customHeight="1" outlineLevel="1" x14ac:dyDescent="0.35">
      <c r="A897" s="159"/>
      <c r="B897" s="160"/>
      <c r="C897" s="957" t="s">
        <v>1023</v>
      </c>
      <c r="D897" s="1211">
        <v>34740200</v>
      </c>
      <c r="E897" s="1209">
        <v>35372311.810000002</v>
      </c>
      <c r="F897" s="1209">
        <v>635498.91</v>
      </c>
      <c r="G897" s="1209">
        <f>+E897+F897</f>
        <v>36007810.719999999</v>
      </c>
      <c r="H897" s="1209">
        <v>35052000</v>
      </c>
      <c r="I897" s="1210">
        <v>35953200</v>
      </c>
      <c r="J897" s="1210">
        <v>32630400</v>
      </c>
      <c r="K897" s="1040" t="s">
        <v>1417</v>
      </c>
      <c r="L897" s="1040" t="s">
        <v>1431</v>
      </c>
      <c r="M897" s="1209">
        <v>16315200</v>
      </c>
      <c r="N897" s="1209">
        <v>21753600</v>
      </c>
      <c r="O897" s="1209"/>
      <c r="P897" s="1209"/>
      <c r="Q897" s="1209"/>
      <c r="R897" s="1209"/>
      <c r="S897" s="1279">
        <f>5754377.42</f>
        <v>5754377.4199999999</v>
      </c>
      <c r="T897" s="1091">
        <f t="shared" si="843"/>
        <v>5754377.4199999999</v>
      </c>
      <c r="U897" s="1091">
        <f t="shared" si="844"/>
        <v>15999222.58</v>
      </c>
      <c r="V897" s="1091">
        <f t="shared" si="809"/>
        <v>26.452529328478963</v>
      </c>
      <c r="W897" s="1091"/>
      <c r="X897" s="1091">
        <f t="shared" si="845"/>
        <v>5754377.4199999999</v>
      </c>
      <c r="Y897" s="1091">
        <f t="shared" si="846"/>
        <v>15999222.58</v>
      </c>
      <c r="Z897" s="1091">
        <f t="shared" si="847"/>
        <v>5754377.4199999999</v>
      </c>
      <c r="AA897" s="1091">
        <f t="shared" si="848"/>
        <v>15999222.58</v>
      </c>
      <c r="AB897" s="1091">
        <f t="shared" si="849"/>
        <v>26.452529328478963</v>
      </c>
      <c r="AD897" s="650">
        <f t="shared" si="807"/>
        <v>0</v>
      </c>
      <c r="AI897" s="1277">
        <f>VLOOKUP(K897,'[2]ผลการเบิกจ่ายสะสม พ.ย. 66'!$C:$N,12,0)</f>
        <v>1039295900.75</v>
      </c>
      <c r="AJ897" s="1274">
        <f t="shared" si="808"/>
        <v>1033541523.33</v>
      </c>
    </row>
    <row r="898" spans="1:36" ht="22.5" customHeight="1" outlineLevel="1" x14ac:dyDescent="0.35">
      <c r="A898" s="159"/>
      <c r="B898" s="216"/>
      <c r="C898" s="957" t="s">
        <v>1024</v>
      </c>
      <c r="D898" s="1211">
        <v>422800</v>
      </c>
      <c r="E898" s="1209">
        <v>220277.85</v>
      </c>
      <c r="F898" s="1209">
        <v>-201382</v>
      </c>
      <c r="G898" s="1209">
        <f>+E898+F898</f>
        <v>18895.850000000006</v>
      </c>
      <c r="H898" s="1209">
        <v>264900</v>
      </c>
      <c r="I898" s="1210">
        <v>89600</v>
      </c>
      <c r="J898" s="1210">
        <v>89500</v>
      </c>
      <c r="K898" s="1040" t="s">
        <v>1417</v>
      </c>
      <c r="L898" s="1040" t="s">
        <v>1431</v>
      </c>
      <c r="M898" s="1209">
        <v>44800</v>
      </c>
      <c r="N898" s="1209">
        <v>59600</v>
      </c>
      <c r="O898" s="1209"/>
      <c r="P898" s="1209"/>
      <c r="Q898" s="1209"/>
      <c r="R898" s="1209"/>
      <c r="S898" s="1279">
        <f>69920</f>
        <v>69920</v>
      </c>
      <c r="T898" s="1091">
        <f t="shared" si="843"/>
        <v>69920</v>
      </c>
      <c r="U898" s="1091">
        <f t="shared" si="844"/>
        <v>-10320</v>
      </c>
      <c r="V898" s="1091">
        <f t="shared" si="809"/>
        <v>117.31543624161074</v>
      </c>
      <c r="W898" s="1091"/>
      <c r="X898" s="1091">
        <f t="shared" si="845"/>
        <v>69920</v>
      </c>
      <c r="Y898" s="1091">
        <f t="shared" si="846"/>
        <v>-10320</v>
      </c>
      <c r="Z898" s="1091">
        <f t="shared" si="847"/>
        <v>69920</v>
      </c>
      <c r="AA898" s="1091">
        <f t="shared" si="848"/>
        <v>-10320</v>
      </c>
      <c r="AB898" s="1091">
        <f t="shared" si="849"/>
        <v>117.31543624161074</v>
      </c>
      <c r="AD898" s="650">
        <f t="shared" si="807"/>
        <v>0</v>
      </c>
      <c r="AI898" s="1277">
        <f>VLOOKUP(K898,'[2]ผลการเบิกจ่ายสะสม พ.ย. 66'!$C:$N,12,0)</f>
        <v>1039295900.75</v>
      </c>
      <c r="AJ898" s="1274">
        <f t="shared" si="808"/>
        <v>1039225980.75</v>
      </c>
    </row>
    <row r="899" spans="1:36" ht="22.5" customHeight="1" outlineLevel="1" x14ac:dyDescent="0.35">
      <c r="A899" s="159"/>
      <c r="B899" s="216"/>
      <c r="C899" s="957" t="s">
        <v>225</v>
      </c>
      <c r="D899" s="1208">
        <f>SUM(D900:D905)</f>
        <v>1099742500</v>
      </c>
      <c r="E899" s="1209">
        <f>SUM(E900:E905)</f>
        <v>1142034146.3599999</v>
      </c>
      <c r="F899" s="1209">
        <f>SUM(F900:F905)</f>
        <v>946800</v>
      </c>
      <c r="G899" s="1209">
        <f>SUM(G900:G905)</f>
        <v>0</v>
      </c>
      <c r="H899" s="1209">
        <f>SUM(H900:H905)</f>
        <v>1111432400</v>
      </c>
      <c r="I899" s="1210">
        <v>1299501800</v>
      </c>
      <c r="J899" s="1210">
        <f>SUM(J900:J905)</f>
        <v>1151541600</v>
      </c>
      <c r="K899" s="1040" t="s">
        <v>1417</v>
      </c>
      <c r="L899" s="1040" t="s">
        <v>1431</v>
      </c>
      <c r="M899" s="1209">
        <f t="shared" ref="M899:U899" si="850">SUM(M900:M905)</f>
        <v>759378800</v>
      </c>
      <c r="N899" s="1209">
        <f>SUM(N900:N905)</f>
        <v>759483400</v>
      </c>
      <c r="O899" s="1209">
        <f t="shared" si="850"/>
        <v>0</v>
      </c>
      <c r="P899" s="1209">
        <f t="shared" si="850"/>
        <v>0</v>
      </c>
      <c r="Q899" s="1209">
        <f t="shared" si="850"/>
        <v>0</v>
      </c>
      <c r="R899" s="1209">
        <f t="shared" si="850"/>
        <v>0</v>
      </c>
      <c r="S899" s="1153">
        <f t="shared" si="850"/>
        <v>527402024.46999997</v>
      </c>
      <c r="T899" s="1209">
        <f t="shared" si="850"/>
        <v>527402024.46999997</v>
      </c>
      <c r="U899" s="1209">
        <f t="shared" si="850"/>
        <v>232081375.53000003</v>
      </c>
      <c r="V899" s="1209">
        <f t="shared" si="809"/>
        <v>69.442205645311006</v>
      </c>
      <c r="W899" s="1209">
        <f t="shared" ref="W899:AB899" si="851">SUM(W900:W905)</f>
        <v>0</v>
      </c>
      <c r="X899" s="1209">
        <f t="shared" si="851"/>
        <v>527402024.46999997</v>
      </c>
      <c r="Y899" s="1209">
        <f t="shared" si="851"/>
        <v>232081375.53000003</v>
      </c>
      <c r="Z899" s="1209">
        <f t="shared" si="851"/>
        <v>527402024.46999997</v>
      </c>
      <c r="AA899" s="1209">
        <f t="shared" si="851"/>
        <v>232081375.53000003</v>
      </c>
      <c r="AB899" s="1209">
        <f t="shared" si="851"/>
        <v>167.01422880199218</v>
      </c>
      <c r="AD899" s="650">
        <f t="shared" si="807"/>
        <v>0</v>
      </c>
      <c r="AI899" s="1277">
        <f>VLOOKUP(K899,'[2]ผลการเบิกจ่ายสะสม พ.ย. 66'!$C:$N,12,0)</f>
        <v>1039295900.75</v>
      </c>
      <c r="AJ899" s="1274">
        <f t="shared" si="808"/>
        <v>511893876.28000003</v>
      </c>
    </row>
    <row r="900" spans="1:36" ht="42" outlineLevel="1" x14ac:dyDescent="0.35">
      <c r="A900" s="159"/>
      <c r="B900" s="165"/>
      <c r="C900" s="958" t="s">
        <v>1025</v>
      </c>
      <c r="D900" s="1212">
        <v>0</v>
      </c>
      <c r="E900" s="1206"/>
      <c r="F900" s="1206"/>
      <c r="G900" s="1206"/>
      <c r="H900" s="1206">
        <v>198000</v>
      </c>
      <c r="I900" s="1207">
        <v>342000</v>
      </c>
      <c r="J900" s="1207">
        <v>324000</v>
      </c>
      <c r="K900" s="1061"/>
      <c r="L900" s="1061"/>
      <c r="M900" s="1206">
        <v>162000</v>
      </c>
      <c r="N900" s="1206">
        <v>216000</v>
      </c>
      <c r="O900" s="1206"/>
      <c r="P900" s="1206"/>
      <c r="Q900" s="1206"/>
      <c r="R900" s="1206"/>
      <c r="S900" s="1243"/>
      <c r="T900" s="1091">
        <f t="shared" ref="T900:T904" si="852">+R900+S900</f>
        <v>0</v>
      </c>
      <c r="U900" s="1091">
        <f t="shared" ref="U900:U905" si="853">+N900+O900-T900</f>
        <v>216000</v>
      </c>
      <c r="V900" s="1091">
        <f t="shared" si="809"/>
        <v>0</v>
      </c>
      <c r="W900" s="1091"/>
      <c r="X900" s="1091">
        <f t="shared" ref="X900:X905" si="854">+T900+Q900</f>
        <v>0</v>
      </c>
      <c r="Y900" s="1091">
        <f t="shared" ref="Y900:Y905" si="855">+U900-Q900</f>
        <v>216000</v>
      </c>
      <c r="Z900" s="1091">
        <f t="shared" ref="Z900:Z905" si="856">+T900+Q900+P900</f>
        <v>0</v>
      </c>
      <c r="AA900" s="1091">
        <f t="shared" ref="AA900:AA905" si="857">+U900-Q900-P900</f>
        <v>216000</v>
      </c>
      <c r="AB900" s="1091">
        <f t="shared" ref="AB900:AB905" si="858">IFERROR(Z900*100/(N900+O900),0)</f>
        <v>0</v>
      </c>
      <c r="AD900" s="650">
        <f t="shared" si="807"/>
        <v>0</v>
      </c>
      <c r="AI900" s="1277">
        <f>VLOOKUP(K900,'[2]ผลการเบิกจ่ายสะสม พ.ย. 66'!$C:$N,12,0)</f>
        <v>0</v>
      </c>
      <c r="AJ900" s="1274">
        <f t="shared" si="808"/>
        <v>0</v>
      </c>
    </row>
    <row r="901" spans="1:36" ht="22.5" customHeight="1" outlineLevel="1" x14ac:dyDescent="0.35">
      <c r="A901" s="159"/>
      <c r="B901" s="165"/>
      <c r="C901" s="958" t="s">
        <v>1026</v>
      </c>
      <c r="D901" s="1212">
        <v>12059100</v>
      </c>
      <c r="E901" s="1206">
        <v>3052822.76</v>
      </c>
      <c r="F901" s="1206">
        <v>-9000000</v>
      </c>
      <c r="G901" s="1206"/>
      <c r="H901" s="1206">
        <v>12240200</v>
      </c>
      <c r="I901" s="1207">
        <v>15347500</v>
      </c>
      <c r="J901" s="1207">
        <v>11637900</v>
      </c>
      <c r="K901" s="1061"/>
      <c r="L901" s="1061"/>
      <c r="M901" s="1206">
        <v>7758600</v>
      </c>
      <c r="N901" s="1206">
        <v>7758600</v>
      </c>
      <c r="O901" s="1206"/>
      <c r="P901" s="1206"/>
      <c r="Q901" s="1206"/>
      <c r="R901" s="1206"/>
      <c r="S901" s="1287">
        <v>5630115.3799999999</v>
      </c>
      <c r="T901" s="1091">
        <f t="shared" si="852"/>
        <v>5630115.3799999999</v>
      </c>
      <c r="U901" s="1091">
        <f t="shared" si="853"/>
        <v>2128484.62</v>
      </c>
      <c r="V901" s="1091">
        <f t="shared" si="809"/>
        <v>72.566125074111312</v>
      </c>
      <c r="W901" s="1091"/>
      <c r="X901" s="1091">
        <f t="shared" si="854"/>
        <v>5630115.3799999999</v>
      </c>
      <c r="Y901" s="1091">
        <f t="shared" si="855"/>
        <v>2128484.62</v>
      </c>
      <c r="Z901" s="1091">
        <f t="shared" si="856"/>
        <v>5630115.3799999999</v>
      </c>
      <c r="AA901" s="1091">
        <f t="shared" si="857"/>
        <v>2128484.62</v>
      </c>
      <c r="AB901" s="1091">
        <f t="shared" si="858"/>
        <v>72.566125074111312</v>
      </c>
      <c r="AD901" s="650">
        <f t="shared" si="807"/>
        <v>0</v>
      </c>
      <c r="AI901" s="1277">
        <f>VLOOKUP(K901,'[2]ผลการเบิกจ่ายสะสม พ.ย. 66'!$C:$N,12,0)</f>
        <v>0</v>
      </c>
      <c r="AJ901" s="1274">
        <f t="shared" si="808"/>
        <v>-5630115.3799999999</v>
      </c>
    </row>
    <row r="902" spans="1:36" ht="22.5" customHeight="1" outlineLevel="1" x14ac:dyDescent="0.35">
      <c r="A902" s="159"/>
      <c r="B902" s="165"/>
      <c r="C902" s="958" t="s">
        <v>1027</v>
      </c>
      <c r="D902" s="1212">
        <v>1087635400</v>
      </c>
      <c r="E902" s="1206">
        <v>1138933323.5999999</v>
      </c>
      <c r="F902" s="1206">
        <v>9946800</v>
      </c>
      <c r="G902" s="1206"/>
      <c r="H902" s="1206">
        <v>1098595200</v>
      </c>
      <c r="I902" s="1207">
        <v>1283457200</v>
      </c>
      <c r="J902" s="1207">
        <v>1139275700</v>
      </c>
      <c r="K902" s="1061"/>
      <c r="L902" s="1061"/>
      <c r="M902" s="1206">
        <v>751306200</v>
      </c>
      <c r="N902" s="1206">
        <v>751306200</v>
      </c>
      <c r="O902" s="1206"/>
      <c r="P902" s="1206"/>
      <c r="Q902" s="1206"/>
      <c r="R902" s="1206"/>
      <c r="S902" s="1287">
        <v>521767909.08999997</v>
      </c>
      <c r="T902" s="1091">
        <f t="shared" si="852"/>
        <v>521767909.08999997</v>
      </c>
      <c r="U902" s="1091">
        <f t="shared" si="853"/>
        <v>229538290.91000003</v>
      </c>
      <c r="V902" s="1091">
        <f t="shared" si="809"/>
        <v>69.448103727880863</v>
      </c>
      <c r="W902" s="1091"/>
      <c r="X902" s="1091">
        <f t="shared" si="854"/>
        <v>521767909.08999997</v>
      </c>
      <c r="Y902" s="1091">
        <f t="shared" si="855"/>
        <v>229538290.91000003</v>
      </c>
      <c r="Z902" s="1091">
        <f t="shared" si="856"/>
        <v>521767909.08999997</v>
      </c>
      <c r="AA902" s="1091">
        <f t="shared" si="857"/>
        <v>229538290.91000003</v>
      </c>
      <c r="AB902" s="1091">
        <f t="shared" si="858"/>
        <v>69.448103727880863</v>
      </c>
      <c r="AD902" s="650">
        <f t="shared" si="807"/>
        <v>0</v>
      </c>
      <c r="AI902" s="1277">
        <f>VLOOKUP(K902,'[2]ผลการเบิกจ่ายสะสม พ.ย. 66'!$C:$N,12,0)</f>
        <v>0</v>
      </c>
      <c r="AJ902" s="1274">
        <f t="shared" si="808"/>
        <v>-521767909.08999997</v>
      </c>
    </row>
    <row r="903" spans="1:36" ht="22.5" customHeight="1" outlineLevel="1" x14ac:dyDescent="0.35">
      <c r="A903" s="159"/>
      <c r="B903" s="165"/>
      <c r="C903" s="958" t="s">
        <v>1028</v>
      </c>
      <c r="D903" s="1212">
        <v>0</v>
      </c>
      <c r="E903" s="1206"/>
      <c r="F903" s="1206"/>
      <c r="G903" s="1206"/>
      <c r="H903" s="1206">
        <v>63000</v>
      </c>
      <c r="I903" s="1207">
        <v>43100</v>
      </c>
      <c r="J903" s="1207">
        <v>16000</v>
      </c>
      <c r="K903" s="1061"/>
      <c r="L903" s="1061"/>
      <c r="M903" s="1206">
        <v>8000</v>
      </c>
      <c r="N903" s="1206">
        <v>10600</v>
      </c>
      <c r="O903" s="1206"/>
      <c r="P903" s="1206"/>
      <c r="Q903" s="1206"/>
      <c r="R903" s="1206"/>
      <c r="S903" s="1243"/>
      <c r="T903" s="1091">
        <f t="shared" si="852"/>
        <v>0</v>
      </c>
      <c r="U903" s="1091">
        <f t="shared" si="853"/>
        <v>10600</v>
      </c>
      <c r="V903" s="1091">
        <f t="shared" si="809"/>
        <v>0</v>
      </c>
      <c r="W903" s="1091"/>
      <c r="X903" s="1091">
        <f t="shared" si="854"/>
        <v>0</v>
      </c>
      <c r="Y903" s="1091">
        <f t="shared" si="855"/>
        <v>10600</v>
      </c>
      <c r="Z903" s="1091">
        <f t="shared" si="856"/>
        <v>0</v>
      </c>
      <c r="AA903" s="1091">
        <f t="shared" si="857"/>
        <v>10600</v>
      </c>
      <c r="AB903" s="1091">
        <f t="shared" si="858"/>
        <v>0</v>
      </c>
      <c r="AD903" s="650">
        <f t="shared" si="807"/>
        <v>0</v>
      </c>
      <c r="AI903" s="1277">
        <f>VLOOKUP(K903,'[2]ผลการเบิกจ่ายสะสม พ.ย. 66'!$C:$N,12,0)</f>
        <v>0</v>
      </c>
      <c r="AJ903" s="1274">
        <f t="shared" si="808"/>
        <v>0</v>
      </c>
    </row>
    <row r="904" spans="1:36" ht="22.5" customHeight="1" outlineLevel="1" x14ac:dyDescent="0.35">
      <c r="A904" s="159"/>
      <c r="B904" s="165"/>
      <c r="C904" s="958" t="s">
        <v>1029</v>
      </c>
      <c r="D904" s="1212">
        <v>48000</v>
      </c>
      <c r="E904" s="1206">
        <v>48000</v>
      </c>
      <c r="F904" s="1206"/>
      <c r="G904" s="1206"/>
      <c r="H904" s="1206">
        <v>48000</v>
      </c>
      <c r="I904" s="1207">
        <v>48000</v>
      </c>
      <c r="J904" s="1207">
        <v>24000</v>
      </c>
      <c r="K904" s="1061"/>
      <c r="L904" s="1061"/>
      <c r="M904" s="1206">
        <v>12000</v>
      </c>
      <c r="N904" s="1206">
        <v>16000</v>
      </c>
      <c r="O904" s="1206"/>
      <c r="P904" s="1206"/>
      <c r="Q904" s="1206"/>
      <c r="R904" s="1206"/>
      <c r="S904" s="1280">
        <f>4000</f>
        <v>4000</v>
      </c>
      <c r="T904" s="1091">
        <f t="shared" si="852"/>
        <v>4000</v>
      </c>
      <c r="U904" s="1091">
        <f t="shared" si="853"/>
        <v>12000</v>
      </c>
      <c r="V904" s="1091">
        <f t="shared" si="809"/>
        <v>25</v>
      </c>
      <c r="W904" s="1091"/>
      <c r="X904" s="1091">
        <f t="shared" si="854"/>
        <v>4000</v>
      </c>
      <c r="Y904" s="1091">
        <f t="shared" si="855"/>
        <v>12000</v>
      </c>
      <c r="Z904" s="1091">
        <f t="shared" si="856"/>
        <v>4000</v>
      </c>
      <c r="AA904" s="1091">
        <f t="shared" si="857"/>
        <v>12000</v>
      </c>
      <c r="AB904" s="1091">
        <f t="shared" si="858"/>
        <v>25</v>
      </c>
      <c r="AD904" s="650">
        <f t="shared" si="807"/>
        <v>0</v>
      </c>
      <c r="AI904" s="1277">
        <f>VLOOKUP(K904,'[2]ผลการเบิกจ่ายสะสม พ.ย. 66'!$C:$N,12,0)</f>
        <v>0</v>
      </c>
      <c r="AJ904" s="1274">
        <f t="shared" si="808"/>
        <v>-4000</v>
      </c>
    </row>
    <row r="905" spans="1:36" ht="22.5" customHeight="1" outlineLevel="1" x14ac:dyDescent="0.35">
      <c r="A905" s="159"/>
      <c r="B905" s="165"/>
      <c r="C905" s="958" t="s">
        <v>1030</v>
      </c>
      <c r="D905" s="1212">
        <v>0</v>
      </c>
      <c r="E905" s="1206"/>
      <c r="F905" s="1206"/>
      <c r="G905" s="1206"/>
      <c r="H905" s="1206">
        <v>288000</v>
      </c>
      <c r="I905" s="1207">
        <v>264000</v>
      </c>
      <c r="J905" s="1207">
        <v>264000</v>
      </c>
      <c r="K905" s="1061"/>
      <c r="L905" s="1061"/>
      <c r="M905" s="1206">
        <v>132000</v>
      </c>
      <c r="N905" s="1206">
        <v>176000</v>
      </c>
      <c r="O905" s="1206"/>
      <c r="P905" s="1206"/>
      <c r="Q905" s="1206"/>
      <c r="R905" s="1206"/>
      <c r="S905" s="1243"/>
      <c r="T905" s="1091">
        <f>+R905+S905</f>
        <v>0</v>
      </c>
      <c r="U905" s="1091">
        <f t="shared" si="853"/>
        <v>176000</v>
      </c>
      <c r="V905" s="1091">
        <f t="shared" si="809"/>
        <v>0</v>
      </c>
      <c r="W905" s="1091"/>
      <c r="X905" s="1091">
        <f t="shared" si="854"/>
        <v>0</v>
      </c>
      <c r="Y905" s="1091">
        <f t="shared" si="855"/>
        <v>176000</v>
      </c>
      <c r="Z905" s="1091">
        <f t="shared" si="856"/>
        <v>0</v>
      </c>
      <c r="AA905" s="1091">
        <f t="shared" si="857"/>
        <v>176000</v>
      </c>
      <c r="AB905" s="1091">
        <f t="shared" si="858"/>
        <v>0</v>
      </c>
      <c r="AD905" s="650">
        <f t="shared" si="807"/>
        <v>0</v>
      </c>
      <c r="AI905" s="1277">
        <f>VLOOKUP(K905,'[2]ผลการเบิกจ่ายสะสม พ.ย. 66'!$C:$N,12,0)</f>
        <v>0</v>
      </c>
      <c r="AJ905" s="1274">
        <f t="shared" si="808"/>
        <v>0</v>
      </c>
    </row>
    <row r="906" spans="1:36" ht="22.5" customHeight="1" outlineLevel="1" x14ac:dyDescent="0.35">
      <c r="A906" s="159"/>
      <c r="B906" s="34" t="s">
        <v>234</v>
      </c>
      <c r="C906" s="216"/>
      <c r="D906" s="1208">
        <f>+D907</f>
        <v>21383100</v>
      </c>
      <c r="E906" s="1209">
        <f>+E907</f>
        <v>20340000</v>
      </c>
      <c r="F906" s="1209">
        <f>+F907</f>
        <v>-1000000</v>
      </c>
      <c r="G906" s="1209">
        <f>+G907</f>
        <v>0</v>
      </c>
      <c r="H906" s="1209">
        <f>+H907</f>
        <v>19451900</v>
      </c>
      <c r="I906" s="1210">
        <v>18044300</v>
      </c>
      <c r="J906" s="1210">
        <f>+J907</f>
        <v>18044300</v>
      </c>
      <c r="K906" s="1040" t="s">
        <v>1417</v>
      </c>
      <c r="L906" s="1040" t="s">
        <v>1431</v>
      </c>
      <c r="M906" s="1209">
        <f t="shared" ref="M906:AB906" si="859">+M907</f>
        <v>9022200</v>
      </c>
      <c r="N906" s="1209">
        <f>+N907</f>
        <v>12029500</v>
      </c>
      <c r="O906" s="1209">
        <f t="shared" si="859"/>
        <v>0</v>
      </c>
      <c r="P906" s="1209">
        <f t="shared" si="859"/>
        <v>0</v>
      </c>
      <c r="Q906" s="1209">
        <f t="shared" si="859"/>
        <v>0</v>
      </c>
      <c r="R906" s="1209">
        <f t="shared" si="859"/>
        <v>0</v>
      </c>
      <c r="S906" s="1272">
        <f>1314510+1349410</f>
        <v>2663920</v>
      </c>
      <c r="T906" s="1097">
        <f>+T907</f>
        <v>2663920</v>
      </c>
      <c r="U906" s="1209">
        <f>+U907</f>
        <v>9365580</v>
      </c>
      <c r="V906" s="1209">
        <f t="shared" si="809"/>
        <v>22.144893802734945</v>
      </c>
      <c r="W906" s="1209">
        <f t="shared" si="859"/>
        <v>0</v>
      </c>
      <c r="X906" s="1209">
        <f t="shared" si="859"/>
        <v>2663920</v>
      </c>
      <c r="Y906" s="1209">
        <f t="shared" si="859"/>
        <v>9365580</v>
      </c>
      <c r="Z906" s="1209">
        <f t="shared" si="859"/>
        <v>2663920</v>
      </c>
      <c r="AA906" s="1209">
        <f t="shared" si="859"/>
        <v>9365580</v>
      </c>
      <c r="AB906" s="1209">
        <f t="shared" si="859"/>
        <v>22.144893802734945</v>
      </c>
      <c r="AD906" s="650">
        <f>+N906+O906-R906-S906-U906</f>
        <v>0</v>
      </c>
      <c r="AI906" s="1277">
        <f>VLOOKUP(K906,'[2]ผลการเบิกจ่ายสะสม พ.ย. 66'!$C:$N,12,0)</f>
        <v>1039295900.75</v>
      </c>
      <c r="AJ906" s="1274">
        <f t="shared" si="808"/>
        <v>1036631980.75</v>
      </c>
    </row>
    <row r="907" spans="1:36" ht="22.5" customHeight="1" outlineLevel="1" x14ac:dyDescent="0.35">
      <c r="A907" s="214"/>
      <c r="B907" s="27"/>
      <c r="C907" s="165" t="s">
        <v>1031</v>
      </c>
      <c r="D907" s="1212">
        <v>21383100</v>
      </c>
      <c r="E907" s="1206">
        <v>20340000</v>
      </c>
      <c r="F907" s="1206">
        <v>-1000000</v>
      </c>
      <c r="G907" s="1206"/>
      <c r="H907" s="1206">
        <v>19451900</v>
      </c>
      <c r="I907" s="1207">
        <v>18044300</v>
      </c>
      <c r="J907" s="1207">
        <v>18044300</v>
      </c>
      <c r="K907" s="1061"/>
      <c r="L907" s="1061"/>
      <c r="M907" s="1206">
        <v>9022200</v>
      </c>
      <c r="N907" s="1206">
        <v>12029500</v>
      </c>
      <c r="O907" s="1206"/>
      <c r="P907" s="1206"/>
      <c r="Q907" s="1206"/>
      <c r="R907" s="1206"/>
      <c r="S907" s="1287">
        <f>2663920</f>
        <v>2663920</v>
      </c>
      <c r="T907" s="1091">
        <f>+R907+S907</f>
        <v>2663920</v>
      </c>
      <c r="U907" s="1091">
        <f t="shared" ref="U907" si="860">+N907+O907-T907</f>
        <v>9365580</v>
      </c>
      <c r="V907" s="1091">
        <f t="shared" si="809"/>
        <v>22.144893802734945</v>
      </c>
      <c r="W907" s="1091"/>
      <c r="X907" s="1091">
        <f t="shared" ref="X907" si="861">+T907+Q907</f>
        <v>2663920</v>
      </c>
      <c r="Y907" s="1091">
        <f t="shared" ref="Y907" si="862">+U907-Q907</f>
        <v>9365580</v>
      </c>
      <c r="Z907" s="1091">
        <f t="shared" ref="Z907" si="863">+T907+Q907+P907</f>
        <v>2663920</v>
      </c>
      <c r="AA907" s="1091">
        <f t="shared" ref="AA907" si="864">+U907-Q907-P907</f>
        <v>9365580</v>
      </c>
      <c r="AB907" s="1091">
        <f t="shared" ref="AB907" si="865">IFERROR(Z907*100/(N907+O907),0)</f>
        <v>22.144893802734945</v>
      </c>
      <c r="AD907" s="650">
        <f t="shared" si="807"/>
        <v>0</v>
      </c>
      <c r="AI907" s="1277">
        <f>VLOOKUP(K907,'[2]ผลการเบิกจ่ายสะสม พ.ย. 66'!$C:$N,12,0)</f>
        <v>0</v>
      </c>
      <c r="AJ907" s="1274">
        <f t="shared" si="808"/>
        <v>-2663920</v>
      </c>
    </row>
    <row r="908" spans="1:36" ht="22.5" customHeight="1" x14ac:dyDescent="0.35">
      <c r="A908" s="217" t="s">
        <v>236</v>
      </c>
      <c r="B908" s="27"/>
      <c r="C908" s="165"/>
      <c r="D908" s="1208">
        <f t="shared" ref="D908:G909" si="866">+D909</f>
        <v>848827700</v>
      </c>
      <c r="E908" s="1209">
        <f t="shared" si="866"/>
        <v>849298720.45000005</v>
      </c>
      <c r="F908" s="1209">
        <f t="shared" si="866"/>
        <v>472000</v>
      </c>
      <c r="G908" s="1209">
        <f t="shared" si="866"/>
        <v>0</v>
      </c>
      <c r="H908" s="1209">
        <f>+H909</f>
        <v>859771200</v>
      </c>
      <c r="I908" s="1210">
        <v>987184700</v>
      </c>
      <c r="J908" s="1210">
        <f>+J909</f>
        <v>890189100</v>
      </c>
      <c r="K908" s="1040" t="s">
        <v>1417</v>
      </c>
      <c r="L908" s="1040" t="s">
        <v>1431</v>
      </c>
      <c r="M908" s="1209">
        <f t="shared" ref="M908:AB909" si="867">+M909</f>
        <v>445094600</v>
      </c>
      <c r="N908" s="1209">
        <f>+N909</f>
        <v>445269600</v>
      </c>
      <c r="O908" s="1209">
        <f t="shared" si="867"/>
        <v>0</v>
      </c>
      <c r="P908" s="1209">
        <f t="shared" si="867"/>
        <v>0</v>
      </c>
      <c r="Q908" s="1209">
        <f t="shared" si="867"/>
        <v>0</v>
      </c>
      <c r="R908" s="1209">
        <f t="shared" si="867"/>
        <v>0</v>
      </c>
      <c r="S908" s="1272">
        <f>382750573.9+2572172.44</f>
        <v>385322746.33999997</v>
      </c>
      <c r="T908" s="1209">
        <f>+T909</f>
        <v>385322746.33999997</v>
      </c>
      <c r="U908" s="1209">
        <f t="shared" si="867"/>
        <v>59946853.660000026</v>
      </c>
      <c r="V908" s="1209">
        <f t="shared" si="809"/>
        <v>86.536953418782687</v>
      </c>
      <c r="W908" s="1209">
        <f t="shared" si="867"/>
        <v>0</v>
      </c>
      <c r="X908" s="1209">
        <f t="shared" si="867"/>
        <v>385322746.33999997</v>
      </c>
      <c r="Y908" s="1209">
        <f t="shared" si="867"/>
        <v>59946853.660000026</v>
      </c>
      <c r="Z908" s="1209">
        <f t="shared" si="867"/>
        <v>385322746.33999997</v>
      </c>
      <c r="AA908" s="1209">
        <f t="shared" si="867"/>
        <v>59946853.660000026</v>
      </c>
      <c r="AB908" s="1209">
        <f t="shared" si="867"/>
        <v>86.673269238339216</v>
      </c>
      <c r="AD908" s="650">
        <f t="shared" si="807"/>
        <v>0</v>
      </c>
      <c r="AI908" s="1277">
        <f>VLOOKUP(K908,'[2]ผลการเบิกจ่ายสะสม พ.ย. 66'!$C:$N,12,0)</f>
        <v>1039295900.75</v>
      </c>
      <c r="AJ908" s="1274">
        <f t="shared" si="808"/>
        <v>653973154.41000009</v>
      </c>
    </row>
    <row r="909" spans="1:36" ht="22.5" customHeight="1" outlineLevel="1" x14ac:dyDescent="0.35">
      <c r="A909" s="159"/>
      <c r="B909" s="34" t="s">
        <v>238</v>
      </c>
      <c r="C909" s="216"/>
      <c r="D909" s="1208">
        <f t="shared" si="866"/>
        <v>848827700</v>
      </c>
      <c r="E909" s="1209">
        <f t="shared" si="866"/>
        <v>849298720.45000005</v>
      </c>
      <c r="F909" s="1209">
        <f>+F910</f>
        <v>472000</v>
      </c>
      <c r="G909" s="1209"/>
      <c r="H909" s="1209">
        <f>+H910</f>
        <v>859771200</v>
      </c>
      <c r="I909" s="1210">
        <v>987184700</v>
      </c>
      <c r="J909" s="1210">
        <f>+J910</f>
        <v>890189100</v>
      </c>
      <c r="K909" s="1040" t="s">
        <v>1417</v>
      </c>
      <c r="L909" s="1040" t="s">
        <v>1431</v>
      </c>
      <c r="M909" s="1209">
        <f t="shared" si="867"/>
        <v>445094600</v>
      </c>
      <c r="N909" s="1209">
        <f>+N910</f>
        <v>445269600</v>
      </c>
      <c r="O909" s="1209">
        <f t="shared" si="867"/>
        <v>0</v>
      </c>
      <c r="P909" s="1209">
        <f t="shared" si="867"/>
        <v>0</v>
      </c>
      <c r="Q909" s="1209">
        <f t="shared" si="867"/>
        <v>0</v>
      </c>
      <c r="R909" s="1209">
        <f t="shared" si="867"/>
        <v>0</v>
      </c>
      <c r="S909" s="1153">
        <f t="shared" si="867"/>
        <v>385322746.33999997</v>
      </c>
      <c r="T909" s="1209">
        <f t="shared" si="867"/>
        <v>385322746.33999997</v>
      </c>
      <c r="U909" s="1209">
        <f t="shared" si="867"/>
        <v>59946853.660000026</v>
      </c>
      <c r="V909" s="1209">
        <f t="shared" si="809"/>
        <v>86.536953418782687</v>
      </c>
      <c r="W909" s="1209">
        <f t="shared" si="867"/>
        <v>0</v>
      </c>
      <c r="X909" s="1209">
        <f t="shared" si="867"/>
        <v>385322746.33999997</v>
      </c>
      <c r="Y909" s="1209">
        <f t="shared" si="867"/>
        <v>59946853.660000026</v>
      </c>
      <c r="Z909" s="1209">
        <f t="shared" si="867"/>
        <v>385322746.33999997</v>
      </c>
      <c r="AA909" s="1209">
        <f t="shared" si="867"/>
        <v>59946853.660000026</v>
      </c>
      <c r="AB909" s="1209">
        <f t="shared" si="867"/>
        <v>86.673269238339216</v>
      </c>
      <c r="AD909" s="650">
        <f t="shared" si="807"/>
        <v>0</v>
      </c>
      <c r="AI909" s="1277">
        <f>VLOOKUP(K909,'[2]ผลการเบิกจ่ายสะสม พ.ย. 66'!$C:$N,12,0)</f>
        <v>1039295900.75</v>
      </c>
      <c r="AJ909" s="1274">
        <f t="shared" si="808"/>
        <v>653973154.41000009</v>
      </c>
    </row>
    <row r="910" spans="1:36" ht="22.5" customHeight="1" outlineLevel="1" x14ac:dyDescent="0.35">
      <c r="A910" s="159"/>
      <c r="B910" s="34"/>
      <c r="C910" s="216" t="s">
        <v>1032</v>
      </c>
      <c r="D910" s="1208">
        <f>SUM(D911:D912)</f>
        <v>848827700</v>
      </c>
      <c r="E910" s="1209">
        <f>SUM(E911:E912)</f>
        <v>849298720.45000005</v>
      </c>
      <c r="F910" s="1209">
        <f>+F911+F912</f>
        <v>472000</v>
      </c>
      <c r="G910" s="1209">
        <v>849298720.45000005</v>
      </c>
      <c r="H910" s="1209">
        <f>SUM(H911:H912)</f>
        <v>859771200</v>
      </c>
      <c r="I910" s="1210">
        <v>987184700</v>
      </c>
      <c r="J910" s="1210">
        <f>SUM(J911:J912)</f>
        <v>890189100</v>
      </c>
      <c r="K910" s="1040" t="s">
        <v>1417</v>
      </c>
      <c r="L910" s="1040" t="s">
        <v>1431</v>
      </c>
      <c r="M910" s="1209">
        <f t="shared" ref="M910:U910" si="868">SUM(M911:M912)</f>
        <v>445094600</v>
      </c>
      <c r="N910" s="1209">
        <f>SUM(N911:N912)</f>
        <v>445269600</v>
      </c>
      <c r="O910" s="1209">
        <f t="shared" si="868"/>
        <v>0</v>
      </c>
      <c r="P910" s="1209">
        <f t="shared" si="868"/>
        <v>0</v>
      </c>
      <c r="Q910" s="1209">
        <f t="shared" si="868"/>
        <v>0</v>
      </c>
      <c r="R910" s="1209">
        <f t="shared" si="868"/>
        <v>0</v>
      </c>
      <c r="S910" s="1153">
        <f t="shared" si="868"/>
        <v>385322746.33999997</v>
      </c>
      <c r="T910" s="1209">
        <f t="shared" si="868"/>
        <v>385322746.33999997</v>
      </c>
      <c r="U910" s="1209">
        <f t="shared" si="868"/>
        <v>59946853.660000026</v>
      </c>
      <c r="V910" s="1209">
        <f t="shared" si="809"/>
        <v>86.536953418782687</v>
      </c>
      <c r="W910" s="1209">
        <f t="shared" ref="W910:AB910" si="869">SUM(W911:W912)</f>
        <v>0</v>
      </c>
      <c r="X910" s="1209">
        <f t="shared" si="869"/>
        <v>385322746.33999997</v>
      </c>
      <c r="Y910" s="1209">
        <f t="shared" si="869"/>
        <v>59946853.660000026</v>
      </c>
      <c r="Z910" s="1209">
        <f t="shared" si="869"/>
        <v>385322746.33999997</v>
      </c>
      <c r="AA910" s="1209">
        <f t="shared" si="869"/>
        <v>59946853.660000026</v>
      </c>
      <c r="AB910" s="1209">
        <f t="shared" si="869"/>
        <v>86.673269238339216</v>
      </c>
      <c r="AD910" s="650">
        <f t="shared" ref="AD910:AD937" si="870">+N910+O910-R910-S910-U910</f>
        <v>0</v>
      </c>
      <c r="AI910" s="1277">
        <f>VLOOKUP(K910,'[2]ผลการเบิกจ่ายสะสม พ.ย. 66'!$C:$N,12,0)</f>
        <v>1039295900.75</v>
      </c>
      <c r="AJ910" s="1274">
        <f t="shared" si="808"/>
        <v>653973154.41000009</v>
      </c>
    </row>
    <row r="911" spans="1:36" ht="22.5" customHeight="1" outlineLevel="1" x14ac:dyDescent="0.35">
      <c r="A911" s="159"/>
      <c r="B911" s="34"/>
      <c r="C911" s="955" t="s">
        <v>1297</v>
      </c>
      <c r="D911" s="1212">
        <v>847193200</v>
      </c>
      <c r="E911" s="1206">
        <v>848260108.71000004</v>
      </c>
      <c r="F911" s="1206">
        <v>1067000</v>
      </c>
      <c r="G911" s="1206"/>
      <c r="H911" s="1206">
        <v>858510300</v>
      </c>
      <c r="I911" s="1207">
        <v>986134200</v>
      </c>
      <c r="J911" s="1206">
        <v>889138600</v>
      </c>
      <c r="K911" s="1061"/>
      <c r="L911" s="1061"/>
      <c r="M911" s="1206">
        <v>444569300</v>
      </c>
      <c r="N911" s="1206">
        <v>444569300</v>
      </c>
      <c r="O911" s="1206"/>
      <c r="P911" s="1206"/>
      <c r="Q911" s="1206"/>
      <c r="R911" s="1206"/>
      <c r="S911" s="1278">
        <f>385322746.34</f>
        <v>385322746.33999997</v>
      </c>
      <c r="T911" s="1091">
        <f t="shared" ref="T911:T912" si="871">+R911+S911</f>
        <v>385322746.33999997</v>
      </c>
      <c r="U911" s="1091">
        <f t="shared" ref="U911:U912" si="872">+N911+O911-T911</f>
        <v>59246553.660000026</v>
      </c>
      <c r="V911" s="1091">
        <f t="shared" si="809"/>
        <v>86.673269238339216</v>
      </c>
      <c r="W911" s="1091"/>
      <c r="X911" s="1091">
        <f t="shared" ref="X911:X912" si="873">+T911+Q911</f>
        <v>385322746.33999997</v>
      </c>
      <c r="Y911" s="1091">
        <f t="shared" ref="Y911:Y912" si="874">+U911-Q911</f>
        <v>59246553.660000026</v>
      </c>
      <c r="Z911" s="1091">
        <f t="shared" ref="Z911:Z912" si="875">+T911+Q911+P911</f>
        <v>385322746.33999997</v>
      </c>
      <c r="AA911" s="1091">
        <f t="shared" ref="AA911:AA912" si="876">+U911-Q911-P911</f>
        <v>59246553.660000026</v>
      </c>
      <c r="AB911" s="1091">
        <f t="shared" ref="AB911:AB912" si="877">IFERROR(Z911*100/(N911+O911),0)</f>
        <v>86.673269238339216</v>
      </c>
      <c r="AD911" s="650">
        <f t="shared" si="870"/>
        <v>0</v>
      </c>
      <c r="AI911" s="1277">
        <f>VLOOKUP(K911,'[2]ผลการเบิกจ่ายสะสม พ.ย. 66'!$C:$N,12,0)</f>
        <v>0</v>
      </c>
      <c r="AJ911" s="1274">
        <f t="shared" ref="AJ911:AJ937" si="878">+AI911-S911</f>
        <v>-385322746.33999997</v>
      </c>
    </row>
    <row r="912" spans="1:36" ht="22.5" customHeight="1" outlineLevel="1" x14ac:dyDescent="0.35">
      <c r="A912" s="159"/>
      <c r="B912" s="34"/>
      <c r="C912" s="955" t="s">
        <v>1298</v>
      </c>
      <c r="D912" s="1212">
        <v>1634500</v>
      </c>
      <c r="E912" s="1206">
        <v>1038611.74</v>
      </c>
      <c r="F912" s="1206">
        <v>-595000</v>
      </c>
      <c r="G912" s="1206"/>
      <c r="H912" s="1206">
        <v>1260900</v>
      </c>
      <c r="I912" s="1207">
        <v>1050500</v>
      </c>
      <c r="J912" s="1206">
        <v>1050500</v>
      </c>
      <c r="K912" s="1061"/>
      <c r="L912" s="1061"/>
      <c r="M912" s="1206">
        <v>525300</v>
      </c>
      <c r="N912" s="1206">
        <v>700300</v>
      </c>
      <c r="O912" s="1206"/>
      <c r="P912" s="1206"/>
      <c r="Q912" s="1206"/>
      <c r="R912" s="1206"/>
      <c r="S912" s="1243"/>
      <c r="T912" s="1091">
        <f t="shared" si="871"/>
        <v>0</v>
      </c>
      <c r="U912" s="1091">
        <f t="shared" si="872"/>
        <v>700300</v>
      </c>
      <c r="V912" s="1091">
        <f t="shared" si="809"/>
        <v>0</v>
      </c>
      <c r="W912" s="1091"/>
      <c r="X912" s="1091">
        <f t="shared" si="873"/>
        <v>0</v>
      </c>
      <c r="Y912" s="1091">
        <f t="shared" si="874"/>
        <v>700300</v>
      </c>
      <c r="Z912" s="1091">
        <f t="shared" si="875"/>
        <v>0</v>
      </c>
      <c r="AA912" s="1091">
        <f t="shared" si="876"/>
        <v>700300</v>
      </c>
      <c r="AB912" s="1091">
        <f t="shared" si="877"/>
        <v>0</v>
      </c>
      <c r="AD912" s="650">
        <f t="shared" si="870"/>
        <v>0</v>
      </c>
      <c r="AI912" s="1277">
        <f>VLOOKUP(K912,'[2]ผลการเบิกจ่ายสะสม พ.ย. 66'!$C:$N,12,0)</f>
        <v>0</v>
      </c>
      <c r="AJ912" s="1274">
        <f t="shared" si="878"/>
        <v>0</v>
      </c>
    </row>
    <row r="913" spans="1:36" ht="22.5" customHeight="1" x14ac:dyDescent="0.35">
      <c r="A913" s="217" t="s">
        <v>240</v>
      </c>
      <c r="B913" s="34"/>
      <c r="C913" s="216"/>
      <c r="D913" s="1208">
        <f t="shared" ref="D913:G914" si="879">+D914</f>
        <v>14759100</v>
      </c>
      <c r="E913" s="1209">
        <f t="shared" si="879"/>
        <v>12421213.75</v>
      </c>
      <c r="F913" s="1209">
        <f t="shared" si="879"/>
        <v>-2300000</v>
      </c>
      <c r="G913" s="1209">
        <f t="shared" si="879"/>
        <v>0</v>
      </c>
      <c r="H913" s="1209">
        <f>+H914</f>
        <v>14058800</v>
      </c>
      <c r="I913" s="1210">
        <v>16848800</v>
      </c>
      <c r="J913" s="1210">
        <f>+J914</f>
        <v>15592600</v>
      </c>
      <c r="K913" s="1040" t="s">
        <v>1417</v>
      </c>
      <c r="L913" s="1040" t="s">
        <v>1431</v>
      </c>
      <c r="M913" s="1209">
        <f t="shared" ref="M913:AB914" si="880">+M914</f>
        <v>7796400</v>
      </c>
      <c r="N913" s="1209">
        <f>+N914</f>
        <v>10395000</v>
      </c>
      <c r="O913" s="1209">
        <f t="shared" si="880"/>
        <v>0</v>
      </c>
      <c r="P913" s="1209">
        <f t="shared" si="880"/>
        <v>0</v>
      </c>
      <c r="Q913" s="1209">
        <f t="shared" si="880"/>
        <v>0</v>
      </c>
      <c r="R913" s="1209">
        <f t="shared" si="880"/>
        <v>0</v>
      </c>
      <c r="S913" s="1272">
        <f>1256849.68+1404109.03</f>
        <v>2660958.71</v>
      </c>
      <c r="T913" s="1209">
        <f t="shared" si="880"/>
        <v>2660958.71</v>
      </c>
      <c r="U913" s="1209">
        <f t="shared" si="880"/>
        <v>7734041.29</v>
      </c>
      <c r="V913" s="1209">
        <f t="shared" si="809"/>
        <v>25.598448388648389</v>
      </c>
      <c r="W913" s="1209">
        <f t="shared" si="880"/>
        <v>0</v>
      </c>
      <c r="X913" s="1209">
        <f t="shared" si="880"/>
        <v>2660958.71</v>
      </c>
      <c r="Y913" s="1209">
        <f t="shared" si="880"/>
        <v>7734041.29</v>
      </c>
      <c r="Z913" s="1209">
        <f t="shared" si="880"/>
        <v>2660958.71</v>
      </c>
      <c r="AA913" s="1209">
        <f t="shared" si="880"/>
        <v>7734041.29</v>
      </c>
      <c r="AB913" s="1209">
        <f t="shared" si="880"/>
        <v>25.598448388648389</v>
      </c>
      <c r="AD913" s="650">
        <f>+N913+O913-R913-S913-U913</f>
        <v>0</v>
      </c>
      <c r="AI913" s="1277">
        <f>VLOOKUP(K913,'[2]ผลการเบิกจ่ายสะสม พ.ย. 66'!$C:$N,12,0)</f>
        <v>1039295900.75</v>
      </c>
      <c r="AJ913" s="1274">
        <f t="shared" si="878"/>
        <v>1036634942.04</v>
      </c>
    </row>
    <row r="914" spans="1:36" ht="22.5" customHeight="1" outlineLevel="1" x14ac:dyDescent="0.35">
      <c r="A914" s="159"/>
      <c r="B914" s="34" t="s">
        <v>241</v>
      </c>
      <c r="C914" s="165"/>
      <c r="D914" s="1212">
        <f t="shared" si="879"/>
        <v>14759100</v>
      </c>
      <c r="E914" s="1206">
        <f t="shared" si="879"/>
        <v>12421213.75</v>
      </c>
      <c r="F914" s="1206">
        <f>+F915</f>
        <v>-2300000</v>
      </c>
      <c r="G914" s="1206"/>
      <c r="H914" s="1206">
        <f>+H915</f>
        <v>14058800</v>
      </c>
      <c r="I914" s="1207">
        <v>16848800</v>
      </c>
      <c r="J914" s="1207">
        <f>+J915</f>
        <v>15592600</v>
      </c>
      <c r="K914" s="1040" t="s">
        <v>1417</v>
      </c>
      <c r="L914" s="1040" t="s">
        <v>1431</v>
      </c>
      <c r="M914" s="1206">
        <f t="shared" si="880"/>
        <v>7796400</v>
      </c>
      <c r="N914" s="1206">
        <f>+N915</f>
        <v>10395000</v>
      </c>
      <c r="O914" s="1206">
        <f t="shared" si="880"/>
        <v>0</v>
      </c>
      <c r="P914" s="1206">
        <f t="shared" si="880"/>
        <v>0</v>
      </c>
      <c r="Q914" s="1206">
        <f t="shared" si="880"/>
        <v>0</v>
      </c>
      <c r="R914" s="1206">
        <f t="shared" si="880"/>
        <v>0</v>
      </c>
      <c r="S914" s="1243">
        <f t="shared" si="880"/>
        <v>2660958.71</v>
      </c>
      <c r="T914" s="1206">
        <f t="shared" si="880"/>
        <v>2660958.71</v>
      </c>
      <c r="U914" s="1206">
        <f t="shared" si="880"/>
        <v>7734041.29</v>
      </c>
      <c r="V914" s="1206">
        <f t="shared" ref="V914:V932" si="881">IFERROR(T914*100/(N914+O914),0)</f>
        <v>25.598448388648389</v>
      </c>
      <c r="W914" s="1206">
        <f t="shared" si="880"/>
        <v>0</v>
      </c>
      <c r="X914" s="1206">
        <f t="shared" si="880"/>
        <v>2660958.71</v>
      </c>
      <c r="Y914" s="1206">
        <f t="shared" si="880"/>
        <v>7734041.29</v>
      </c>
      <c r="Z914" s="1206">
        <f t="shared" si="880"/>
        <v>2660958.71</v>
      </c>
      <c r="AA914" s="1206">
        <f t="shared" si="880"/>
        <v>7734041.29</v>
      </c>
      <c r="AB914" s="1206">
        <f t="shared" si="880"/>
        <v>25.598448388648389</v>
      </c>
      <c r="AD914" s="650">
        <f t="shared" si="870"/>
        <v>0</v>
      </c>
      <c r="AI914" s="1277">
        <f>VLOOKUP(K914,'[2]ผลการเบิกจ่ายสะสม พ.ย. 66'!$C:$N,12,0)</f>
        <v>1039295900.75</v>
      </c>
      <c r="AJ914" s="1274">
        <f t="shared" si="878"/>
        <v>1036634942.04</v>
      </c>
    </row>
    <row r="915" spans="1:36" s="218" customFormat="1" ht="22.5" customHeight="1" outlineLevel="1" x14ac:dyDescent="0.35">
      <c r="A915" s="308"/>
      <c r="B915" s="289"/>
      <c r="C915" s="959" t="s">
        <v>1033</v>
      </c>
      <c r="D915" s="1213">
        <v>14759100</v>
      </c>
      <c r="E915" s="1214">
        <v>12421213.75</v>
      </c>
      <c r="F915" s="1214">
        <v>-2300000</v>
      </c>
      <c r="G915" s="1214"/>
      <c r="H915" s="1214">
        <v>14058800</v>
      </c>
      <c r="I915" s="1215">
        <v>16848800</v>
      </c>
      <c r="J915" s="1215">
        <v>15592600</v>
      </c>
      <c r="K915" s="1062"/>
      <c r="L915" s="1062"/>
      <c r="M915" s="1214">
        <v>7796400</v>
      </c>
      <c r="N915" s="1214">
        <v>10395000</v>
      </c>
      <c r="O915" s="1214"/>
      <c r="P915" s="1214"/>
      <c r="Q915" s="1214"/>
      <c r="R915" s="1214"/>
      <c r="S915" s="1282">
        <v>2660958.71</v>
      </c>
      <c r="T915" s="1091">
        <f t="shared" ref="T915" si="882">+R915+S915</f>
        <v>2660958.71</v>
      </c>
      <c r="U915" s="1091">
        <f t="shared" ref="U915" si="883">+N915+O915-T915</f>
        <v>7734041.29</v>
      </c>
      <c r="V915" s="1091">
        <f t="shared" si="881"/>
        <v>25.598448388648389</v>
      </c>
      <c r="W915" s="1091"/>
      <c r="X915" s="1091">
        <f t="shared" ref="X915" si="884">+T915+Q915</f>
        <v>2660958.71</v>
      </c>
      <c r="Y915" s="1091">
        <f t="shared" ref="Y915" si="885">+U915-Q915</f>
        <v>7734041.29</v>
      </c>
      <c r="Z915" s="1091">
        <f t="shared" ref="Z915" si="886">+T915+Q915+P915</f>
        <v>2660958.71</v>
      </c>
      <c r="AA915" s="1091">
        <f t="shared" ref="AA915" si="887">+U915-Q915-P915</f>
        <v>7734041.29</v>
      </c>
      <c r="AB915" s="1091">
        <f t="shared" ref="AB915" si="888">IFERROR(Z915*100/(N915+O915),0)</f>
        <v>25.598448388648389</v>
      </c>
      <c r="AD915" s="650">
        <f t="shared" si="870"/>
        <v>0</v>
      </c>
      <c r="AI915" s="1277">
        <f>VLOOKUP(K915,'[2]ผลการเบิกจ่ายสะสม พ.ย. 66'!$C:$N,12,0)</f>
        <v>0</v>
      </c>
      <c r="AJ915" s="1274">
        <f t="shared" si="878"/>
        <v>-2660958.71</v>
      </c>
    </row>
    <row r="916" spans="1:36" ht="22.5" customHeight="1" x14ac:dyDescent="0.35">
      <c r="A916" s="227" t="s">
        <v>4</v>
      </c>
      <c r="B916" s="240"/>
      <c r="C916" s="960"/>
      <c r="D916" s="1216">
        <f>+D917+D932</f>
        <v>970770400</v>
      </c>
      <c r="E916" s="1217">
        <f>+E917+E932</f>
        <v>989722778.84000015</v>
      </c>
      <c r="F916" s="1217">
        <f>+F917+F932</f>
        <v>0</v>
      </c>
      <c r="G916" s="1217">
        <f>+G917+G932</f>
        <v>0</v>
      </c>
      <c r="H916" s="1217">
        <v>942825200</v>
      </c>
      <c r="I916" s="1218">
        <v>1125266700</v>
      </c>
      <c r="J916" s="1218">
        <f>+J917+J932</f>
        <v>1004961000</v>
      </c>
      <c r="K916" s="1063"/>
      <c r="L916" s="1063"/>
      <c r="M916" s="1217">
        <f t="shared" ref="M916:U916" si="889">+M917+M932</f>
        <v>629020500</v>
      </c>
      <c r="N916" s="1217">
        <f>+N917+N932</f>
        <v>884518900</v>
      </c>
      <c r="O916" s="1217">
        <f t="shared" si="889"/>
        <v>0</v>
      </c>
      <c r="P916" s="1217">
        <f t="shared" si="889"/>
        <v>0</v>
      </c>
      <c r="Q916" s="1217">
        <f t="shared" si="889"/>
        <v>0</v>
      </c>
      <c r="R916" s="1217">
        <f t="shared" si="889"/>
        <v>0</v>
      </c>
      <c r="S916" s="1217">
        <f t="shared" si="889"/>
        <v>504333462.76999998</v>
      </c>
      <c r="T916" s="1217">
        <f>+T917+T932</f>
        <v>504333462.76999998</v>
      </c>
      <c r="U916" s="1217">
        <f t="shared" si="889"/>
        <v>380185437.23000002</v>
      </c>
      <c r="V916" s="1217">
        <f t="shared" si="881"/>
        <v>57.017827744551305</v>
      </c>
      <c r="W916" s="1217">
        <f t="shared" ref="W916:AB916" si="890">+W917+W932</f>
        <v>0</v>
      </c>
      <c r="X916" s="1217">
        <f t="shared" si="890"/>
        <v>215503841.66</v>
      </c>
      <c r="Y916" s="1217">
        <f t="shared" si="890"/>
        <v>669015058.33999991</v>
      </c>
      <c r="Z916" s="1217">
        <f t="shared" si="890"/>
        <v>215503841.66</v>
      </c>
      <c r="AA916" s="1217">
        <f t="shared" si="890"/>
        <v>669015058.33999991</v>
      </c>
      <c r="AB916" s="1217">
        <f t="shared" si="890"/>
        <v>287.48048088751449</v>
      </c>
      <c r="AD916" s="650">
        <f t="shared" si="870"/>
        <v>0</v>
      </c>
      <c r="AI916" s="1277">
        <f>VLOOKUP(K916,'[2]ผลการเบิกจ่ายสะสม พ.ย. 66'!$C:$N,12,0)</f>
        <v>0</v>
      </c>
      <c r="AJ916" s="1274">
        <f t="shared" si="878"/>
        <v>-504333462.76999998</v>
      </c>
    </row>
    <row r="917" spans="1:36" ht="22.5" customHeight="1" x14ac:dyDescent="0.35">
      <c r="A917" s="253"/>
      <c r="B917" s="146" t="s">
        <v>162</v>
      </c>
      <c r="C917" s="146"/>
      <c r="D917" s="1107">
        <f>+D918+D924+D927</f>
        <v>873053200</v>
      </c>
      <c r="E917" s="1097">
        <f>+E918+E924+E927</f>
        <v>891958542.6500001</v>
      </c>
      <c r="F917" s="1097">
        <f>+F918+F924+F927</f>
        <v>0</v>
      </c>
      <c r="G917" s="1097">
        <f>+G918+G924+G927</f>
        <v>0</v>
      </c>
      <c r="H917" s="1097">
        <f>+H918+H924+H927</f>
        <v>846227700</v>
      </c>
      <c r="I917" s="1098">
        <v>1022659100</v>
      </c>
      <c r="J917" s="1098">
        <f>+J918+J924+J927</f>
        <v>909006700</v>
      </c>
      <c r="K917" s="1040" t="s">
        <v>1418</v>
      </c>
      <c r="L917" s="1040" t="s">
        <v>1431</v>
      </c>
      <c r="M917" s="1097">
        <f t="shared" ref="M917:U917" si="891">+M918+M924+M927</f>
        <v>533322600</v>
      </c>
      <c r="N917" s="1097">
        <f>+N918+N924+N927</f>
        <v>788735600</v>
      </c>
      <c r="O917" s="1097">
        <f t="shared" si="891"/>
        <v>0</v>
      </c>
      <c r="P917" s="1097">
        <f t="shared" si="891"/>
        <v>0</v>
      </c>
      <c r="Q917" s="1097">
        <f t="shared" si="891"/>
        <v>0</v>
      </c>
      <c r="R917" s="1097">
        <f t="shared" si="891"/>
        <v>0</v>
      </c>
      <c r="S917" s="1268">
        <f>1938159.66+415863470.59</f>
        <v>417801630.25</v>
      </c>
      <c r="T917" s="1097">
        <f>+T918+T924+T927</f>
        <v>417801630.25</v>
      </c>
      <c r="U917" s="1097">
        <f t="shared" si="891"/>
        <v>370933969.75</v>
      </c>
      <c r="V917" s="1097">
        <f t="shared" si="881"/>
        <v>52.971062831448208</v>
      </c>
      <c r="W917" s="1097">
        <f t="shared" ref="W917:AB917" si="892">+W918+W924+W927</f>
        <v>0</v>
      </c>
      <c r="X917" s="1097">
        <f t="shared" si="892"/>
        <v>128972009.14</v>
      </c>
      <c r="Y917" s="1097">
        <f t="shared" si="892"/>
        <v>659763590.8599999</v>
      </c>
      <c r="Z917" s="1097">
        <f t="shared" si="892"/>
        <v>128972009.14</v>
      </c>
      <c r="AA917" s="1097">
        <f t="shared" si="892"/>
        <v>659763590.8599999</v>
      </c>
      <c r="AB917" s="1097">
        <f t="shared" si="892"/>
        <v>170.99842252786615</v>
      </c>
      <c r="AD917" s="650">
        <f t="shared" si="870"/>
        <v>0</v>
      </c>
      <c r="AI917" s="1277">
        <f>VLOOKUP(K917,'[2]ผลการเบิกจ่ายสะสม พ.ย. 66'!$C:$N,12,0)</f>
        <v>504333462.76999998</v>
      </c>
      <c r="AJ917" s="1274">
        <f t="shared" si="878"/>
        <v>86531832.519999981</v>
      </c>
    </row>
    <row r="918" spans="1:36" ht="22.5" customHeight="1" outlineLevel="1" x14ac:dyDescent="0.35">
      <c r="A918" s="168"/>
      <c r="B918" s="146"/>
      <c r="C918" s="146" t="s">
        <v>244</v>
      </c>
      <c r="D918" s="1107">
        <f>SUM(D919:D921)</f>
        <v>664563000</v>
      </c>
      <c r="E918" s="1097">
        <f>SUM(E919:E921)</f>
        <v>657988539.12</v>
      </c>
      <c r="F918" s="1097">
        <f>SUM(F919:F921)</f>
        <v>-1500000</v>
      </c>
      <c r="G918" s="1097">
        <f>SUM(G919:G921)</f>
        <v>0</v>
      </c>
      <c r="H918" s="1097">
        <f>SUM(H919:H921)</f>
        <v>649237400</v>
      </c>
      <c r="I918" s="1098">
        <v>805857900</v>
      </c>
      <c r="J918" s="1098">
        <f>SUM(J919:J921)</f>
        <v>696679000</v>
      </c>
      <c r="K918" s="1040" t="s">
        <v>1418</v>
      </c>
      <c r="L918" s="1040" t="s">
        <v>1431</v>
      </c>
      <c r="M918" s="1097">
        <f t="shared" ref="M918:U918" si="893">SUM(M919:M921)</f>
        <v>348339600</v>
      </c>
      <c r="N918" s="1097">
        <f>SUM(N919:N921)</f>
        <v>601462900</v>
      </c>
      <c r="O918" s="1097">
        <f t="shared" si="893"/>
        <v>0</v>
      </c>
      <c r="P918" s="1097">
        <f t="shared" si="893"/>
        <v>0</v>
      </c>
      <c r="Q918" s="1097">
        <f t="shared" si="893"/>
        <v>0</v>
      </c>
      <c r="R918" s="1097">
        <f t="shared" si="893"/>
        <v>0</v>
      </c>
      <c r="S918" s="1105">
        <f t="shared" si="893"/>
        <v>288837721.11000001</v>
      </c>
      <c r="T918" s="1097">
        <f>SUM(T919:T921)</f>
        <v>288837721.11000001</v>
      </c>
      <c r="U918" s="1097">
        <f t="shared" si="893"/>
        <v>312625178.88999999</v>
      </c>
      <c r="V918" s="1097">
        <f t="shared" si="881"/>
        <v>48.022533245192676</v>
      </c>
      <c r="W918" s="1097">
        <f t="shared" ref="W918:AB918" si="894">SUM(W919:W921)</f>
        <v>0</v>
      </c>
      <c r="X918" s="1097">
        <f t="shared" si="894"/>
        <v>8100</v>
      </c>
      <c r="Y918" s="1097">
        <f t="shared" si="894"/>
        <v>601454800</v>
      </c>
      <c r="Z918" s="1097">
        <f t="shared" si="894"/>
        <v>8100</v>
      </c>
      <c r="AA918" s="1097">
        <f t="shared" si="894"/>
        <v>601454800</v>
      </c>
      <c r="AB918" s="1097">
        <f t="shared" si="894"/>
        <v>7.7884615384615383</v>
      </c>
      <c r="AD918" s="650">
        <f t="shared" si="870"/>
        <v>0</v>
      </c>
      <c r="AI918" s="1277">
        <f>VLOOKUP(K918,'[2]ผลการเบิกจ่ายสะสม พ.ย. 66'!$C:$N,12,0)</f>
        <v>504333462.76999998</v>
      </c>
      <c r="AJ918" s="1274">
        <f t="shared" si="878"/>
        <v>215495741.65999997</v>
      </c>
    </row>
    <row r="919" spans="1:36" s="218" customFormat="1" ht="22.5" customHeight="1" outlineLevel="1" x14ac:dyDescent="0.35">
      <c r="A919" s="168"/>
      <c r="B919" s="170"/>
      <c r="C919" s="293" t="s">
        <v>1034</v>
      </c>
      <c r="D919" s="1219">
        <v>240000</v>
      </c>
      <c r="E919" s="1403">
        <v>253200</v>
      </c>
      <c r="F919" s="1265"/>
      <c r="G919" s="1265"/>
      <c r="H919" s="1091">
        <v>210000</v>
      </c>
      <c r="I919" s="1092">
        <v>156000</v>
      </c>
      <c r="J919" s="1092">
        <v>156000</v>
      </c>
      <c r="K919" s="1032"/>
      <c r="L919" s="1032"/>
      <c r="M919" s="1091">
        <v>78000</v>
      </c>
      <c r="N919" s="1091">
        <v>104000</v>
      </c>
      <c r="O919" s="1091"/>
      <c r="P919" s="1091"/>
      <c r="Q919" s="1091"/>
      <c r="R919" s="1091"/>
      <c r="S919" s="1281">
        <f>8100</f>
        <v>8100</v>
      </c>
      <c r="T919" s="1091">
        <f t="shared" ref="T919" si="895">+R919+S919</f>
        <v>8100</v>
      </c>
      <c r="U919" s="1091">
        <f>+N919+O919-T919</f>
        <v>95900</v>
      </c>
      <c r="V919" s="1091">
        <f t="shared" si="881"/>
        <v>7.7884615384615383</v>
      </c>
      <c r="W919" s="1091"/>
      <c r="X919" s="1091">
        <f t="shared" ref="X919:X920" si="896">+T919+Q919</f>
        <v>8100</v>
      </c>
      <c r="Y919" s="1091">
        <f t="shared" ref="Y919:Y920" si="897">+U919-Q919</f>
        <v>95900</v>
      </c>
      <c r="Z919" s="1091">
        <f t="shared" ref="Z919:Z920" si="898">+T919+Q919+P919</f>
        <v>8100</v>
      </c>
      <c r="AA919" s="1091">
        <f t="shared" ref="AA919:AA920" si="899">+U919-Q919-P919</f>
        <v>95900</v>
      </c>
      <c r="AB919" s="1091">
        <f t="shared" ref="AB919:AB920" si="900">IFERROR(Z919*100/(N919+O919),0)</f>
        <v>7.7884615384615383</v>
      </c>
      <c r="AD919" s="650">
        <f t="shared" si="870"/>
        <v>0</v>
      </c>
      <c r="AI919" s="1277">
        <f>VLOOKUP(K919,'[2]ผลการเบิกจ่ายสะสม พ.ย. 66'!$C:$N,12,0)</f>
        <v>0</v>
      </c>
      <c r="AJ919" s="1274">
        <f t="shared" si="878"/>
        <v>-8100</v>
      </c>
    </row>
    <row r="920" spans="1:36" ht="22.5" customHeight="1" outlineLevel="1" x14ac:dyDescent="0.35">
      <c r="A920" s="168"/>
      <c r="B920" s="170"/>
      <c r="C920" s="293" t="s">
        <v>1035</v>
      </c>
      <c r="D920" s="1219">
        <v>96000</v>
      </c>
      <c r="E920" s="1404"/>
      <c r="F920" s="1266"/>
      <c r="G920" s="1266"/>
      <c r="H920" s="1091">
        <v>72000</v>
      </c>
      <c r="I920" s="1092">
        <v>192000</v>
      </c>
      <c r="J920" s="1092">
        <v>96000</v>
      </c>
      <c r="K920" s="1032"/>
      <c r="L920" s="1032"/>
      <c r="M920" s="1091">
        <v>48000</v>
      </c>
      <c r="N920" s="1091">
        <v>64000</v>
      </c>
      <c r="O920" s="1091"/>
      <c r="P920" s="1091"/>
      <c r="Q920" s="1091"/>
      <c r="R920" s="1091"/>
      <c r="S920" s="1160"/>
      <c r="T920" s="1091">
        <f>+R920+S920</f>
        <v>0</v>
      </c>
      <c r="U920" s="1091">
        <f t="shared" ref="U920:U923" si="901">+N920+O920-T920</f>
        <v>64000</v>
      </c>
      <c r="V920" s="1091">
        <f t="shared" si="881"/>
        <v>0</v>
      </c>
      <c r="W920" s="1091"/>
      <c r="X920" s="1091">
        <f t="shared" si="896"/>
        <v>0</v>
      </c>
      <c r="Y920" s="1091">
        <f t="shared" si="897"/>
        <v>64000</v>
      </c>
      <c r="Z920" s="1091">
        <f t="shared" si="898"/>
        <v>0</v>
      </c>
      <c r="AA920" s="1091">
        <f t="shared" si="899"/>
        <v>64000</v>
      </c>
      <c r="AB920" s="1091">
        <f t="shared" si="900"/>
        <v>0</v>
      </c>
      <c r="AD920" s="650">
        <f t="shared" si="870"/>
        <v>0</v>
      </c>
      <c r="AI920" s="1277">
        <f>VLOOKUP(K920,'[2]ผลการเบิกจ่ายสะสม พ.ย. 66'!$C:$N,12,0)</f>
        <v>0</v>
      </c>
      <c r="AJ920" s="1274">
        <f t="shared" si="878"/>
        <v>0</v>
      </c>
    </row>
    <row r="921" spans="1:36" ht="22.5" customHeight="1" outlineLevel="1" x14ac:dyDescent="0.35">
      <c r="A921" s="168"/>
      <c r="B921" s="170"/>
      <c r="C921" s="293" t="s">
        <v>1036</v>
      </c>
      <c r="D921" s="1219">
        <v>664227000</v>
      </c>
      <c r="E921" s="1091">
        <v>657735339.12</v>
      </c>
      <c r="F921" s="1091">
        <v>-1500000</v>
      </c>
      <c r="G921" s="1091"/>
      <c r="H921" s="1091">
        <v>648955400</v>
      </c>
      <c r="I921" s="1092">
        <v>805509900</v>
      </c>
      <c r="J921" s="1092">
        <f>SUM(J922:J923)</f>
        <v>696427000</v>
      </c>
      <c r="K921" s="1032"/>
      <c r="L921" s="1032"/>
      <c r="M921" s="1091">
        <f t="shared" ref="M921:R921" si="902">SUM(M922:M923)</f>
        <v>348213600</v>
      </c>
      <c r="N921" s="1091">
        <f>SUM(N922:N923)</f>
        <v>601294900</v>
      </c>
      <c r="O921" s="1091">
        <f t="shared" si="902"/>
        <v>0</v>
      </c>
      <c r="P921" s="1091">
        <f t="shared" si="902"/>
        <v>0</v>
      </c>
      <c r="Q921" s="1091">
        <f t="shared" si="902"/>
        <v>0</v>
      </c>
      <c r="R921" s="1091">
        <f t="shared" si="902"/>
        <v>0</v>
      </c>
      <c r="S921" s="1281">
        <f>288829621.11</f>
        <v>288829621.11000001</v>
      </c>
      <c r="T921" s="1091">
        <f t="shared" ref="T921:T923" si="903">+R921+S921</f>
        <v>288829621.11000001</v>
      </c>
      <c r="U921" s="1091">
        <f>+N921+O921-T921</f>
        <v>312465278.88999999</v>
      </c>
      <c r="V921" s="1091">
        <f t="shared" si="881"/>
        <v>48.034603504869239</v>
      </c>
      <c r="W921" s="1091">
        <f t="shared" ref="W921:AB921" si="904">SUM(W922:W923)</f>
        <v>0</v>
      </c>
      <c r="X921" s="1091">
        <f t="shared" si="904"/>
        <v>0</v>
      </c>
      <c r="Y921" s="1091">
        <f t="shared" si="904"/>
        <v>601294900</v>
      </c>
      <c r="Z921" s="1091">
        <f t="shared" si="904"/>
        <v>0</v>
      </c>
      <c r="AA921" s="1091">
        <f t="shared" si="904"/>
        <v>601294900</v>
      </c>
      <c r="AB921" s="1091">
        <f t="shared" si="904"/>
        <v>0</v>
      </c>
      <c r="AD921" s="650">
        <f t="shared" si="870"/>
        <v>0</v>
      </c>
      <c r="AI921" s="1277">
        <f>VLOOKUP(K921,'[2]ผลการเบิกจ่ายสะสม พ.ย. 66'!$C:$N,12,0)</f>
        <v>0</v>
      </c>
      <c r="AJ921" s="1274">
        <f t="shared" si="878"/>
        <v>-288829621.11000001</v>
      </c>
    </row>
    <row r="922" spans="1:36" ht="22.5" customHeight="1" outlineLevel="1" x14ac:dyDescent="0.35">
      <c r="A922" s="168"/>
      <c r="B922" s="170"/>
      <c r="C922" s="961" t="s">
        <v>1037</v>
      </c>
      <c r="D922" s="1219"/>
      <c r="E922" s="1091"/>
      <c r="F922" s="1091"/>
      <c r="G922" s="1091"/>
      <c r="H922" s="1091"/>
      <c r="I922" s="1092">
        <v>752666200</v>
      </c>
      <c r="J922" s="1092">
        <v>657332500</v>
      </c>
      <c r="K922" s="1032"/>
      <c r="L922" s="1032"/>
      <c r="M922" s="1091">
        <v>328666300</v>
      </c>
      <c r="N922" s="1091">
        <v>562200400</v>
      </c>
      <c r="O922" s="1091"/>
      <c r="P922" s="1091"/>
      <c r="Q922" s="1091"/>
      <c r="R922" s="1091"/>
      <c r="S922" s="1160"/>
      <c r="T922" s="1091">
        <f t="shared" si="903"/>
        <v>0</v>
      </c>
      <c r="U922" s="1091">
        <f t="shared" si="901"/>
        <v>562200400</v>
      </c>
      <c r="V922" s="1091">
        <f t="shared" si="881"/>
        <v>0</v>
      </c>
      <c r="W922" s="1091"/>
      <c r="X922" s="1091">
        <f t="shared" ref="X922:X923" si="905">+T922+Q922</f>
        <v>0</v>
      </c>
      <c r="Y922" s="1091">
        <f t="shared" ref="Y922:Y923" si="906">+U922-Q922</f>
        <v>562200400</v>
      </c>
      <c r="Z922" s="1091">
        <f t="shared" ref="Z922:Z923" si="907">+T922+Q922+P922</f>
        <v>0</v>
      </c>
      <c r="AA922" s="1091">
        <f t="shared" ref="AA922:AA923" si="908">+U922-Q922-P922</f>
        <v>562200400</v>
      </c>
      <c r="AB922" s="1091">
        <f t="shared" ref="AB922:AB923" si="909">IFERROR(Z922*100/(N922+O922),0)</f>
        <v>0</v>
      </c>
      <c r="AD922" s="650">
        <f t="shared" si="870"/>
        <v>0</v>
      </c>
      <c r="AI922" s="1277">
        <f>VLOOKUP(K922,'[2]ผลการเบิกจ่ายสะสม พ.ย. 66'!$C:$N,12,0)</f>
        <v>0</v>
      </c>
      <c r="AJ922" s="1274">
        <f t="shared" si="878"/>
        <v>0</v>
      </c>
    </row>
    <row r="923" spans="1:36" ht="22.5" customHeight="1" outlineLevel="1" x14ac:dyDescent="0.35">
      <c r="A923" s="168"/>
      <c r="B923" s="170"/>
      <c r="C923" s="961" t="s">
        <v>1038</v>
      </c>
      <c r="D923" s="1219"/>
      <c r="E923" s="1091"/>
      <c r="F923" s="1091"/>
      <c r="G923" s="1091"/>
      <c r="H923" s="1091"/>
      <c r="I923" s="1092">
        <v>52843700</v>
      </c>
      <c r="J923" s="1092">
        <v>39094500</v>
      </c>
      <c r="K923" s="1032"/>
      <c r="L923" s="1032"/>
      <c r="M923" s="1091">
        <v>19547300</v>
      </c>
      <c r="N923" s="1091">
        <v>39094500</v>
      </c>
      <c r="O923" s="1091"/>
      <c r="P923" s="1091"/>
      <c r="Q923" s="1091"/>
      <c r="R923" s="1091"/>
      <c r="S923" s="1160"/>
      <c r="T923" s="1091">
        <f t="shared" si="903"/>
        <v>0</v>
      </c>
      <c r="U923" s="1091">
        <f t="shared" si="901"/>
        <v>39094500</v>
      </c>
      <c r="V923" s="1091">
        <f t="shared" si="881"/>
        <v>0</v>
      </c>
      <c r="W923" s="1091"/>
      <c r="X923" s="1091">
        <f t="shared" si="905"/>
        <v>0</v>
      </c>
      <c r="Y923" s="1091">
        <f t="shared" si="906"/>
        <v>39094500</v>
      </c>
      <c r="Z923" s="1091">
        <f t="shared" si="907"/>
        <v>0</v>
      </c>
      <c r="AA923" s="1091">
        <f t="shared" si="908"/>
        <v>39094500</v>
      </c>
      <c r="AB923" s="1091">
        <f t="shared" si="909"/>
        <v>0</v>
      </c>
      <c r="AD923" s="650">
        <f t="shared" si="870"/>
        <v>0</v>
      </c>
      <c r="AI923" s="1277">
        <f>VLOOKUP(K923,'[2]ผลการเบิกจ่ายสะสม พ.ย. 66'!$C:$N,12,0)</f>
        <v>0</v>
      </c>
      <c r="AJ923" s="1274">
        <f t="shared" si="878"/>
        <v>0</v>
      </c>
    </row>
    <row r="924" spans="1:36" s="218" customFormat="1" ht="22.5" customHeight="1" outlineLevel="1" x14ac:dyDescent="0.35">
      <c r="A924" s="168"/>
      <c r="B924" s="146"/>
      <c r="C924" s="146" t="s">
        <v>248</v>
      </c>
      <c r="D924" s="1107">
        <f>SUM(D925:D926)</f>
        <v>969900</v>
      </c>
      <c r="E924" s="1097">
        <f>SUM(E925:E926)</f>
        <v>1041424.44</v>
      </c>
      <c r="F924" s="1097">
        <f>SUM(F925:F926)</f>
        <v>71600</v>
      </c>
      <c r="G924" s="1097">
        <f>SUM(G925:G926)</f>
        <v>0</v>
      </c>
      <c r="H924" s="1097">
        <f>SUM(H925:H926)</f>
        <v>1052200</v>
      </c>
      <c r="I924" s="1098">
        <v>1318400</v>
      </c>
      <c r="J924" s="1098">
        <f>SUM(J925:J926)</f>
        <v>1318400</v>
      </c>
      <c r="K924" s="1040" t="s">
        <v>1418</v>
      </c>
      <c r="L924" s="1040" t="s">
        <v>1431</v>
      </c>
      <c r="M924" s="1097">
        <f t="shared" ref="M924:U924" si="910">SUM(M925:M926)</f>
        <v>659200</v>
      </c>
      <c r="N924" s="1097">
        <f>SUM(N925:N926)</f>
        <v>878800</v>
      </c>
      <c r="O924" s="1097">
        <f t="shared" si="910"/>
        <v>0</v>
      </c>
      <c r="P924" s="1097">
        <f t="shared" si="910"/>
        <v>0</v>
      </c>
      <c r="Q924" s="1097">
        <f t="shared" si="910"/>
        <v>0</v>
      </c>
      <c r="R924" s="1097">
        <f t="shared" si="910"/>
        <v>0</v>
      </c>
      <c r="S924" s="1105">
        <f t="shared" si="910"/>
        <v>222466.2</v>
      </c>
      <c r="T924" s="1097">
        <f t="shared" si="910"/>
        <v>222466.2</v>
      </c>
      <c r="U924" s="1097">
        <f t="shared" si="910"/>
        <v>656333.80000000005</v>
      </c>
      <c r="V924" s="1097">
        <f t="shared" si="881"/>
        <v>25.314770141101501</v>
      </c>
      <c r="W924" s="1097">
        <f t="shared" ref="W924:AB924" si="911">SUM(W925:W926)</f>
        <v>0</v>
      </c>
      <c r="X924" s="1097">
        <f t="shared" si="911"/>
        <v>222466.2</v>
      </c>
      <c r="Y924" s="1097">
        <f t="shared" si="911"/>
        <v>656333.80000000005</v>
      </c>
      <c r="Z924" s="1097">
        <f t="shared" si="911"/>
        <v>222466.2</v>
      </c>
      <c r="AA924" s="1097">
        <f t="shared" si="911"/>
        <v>656333.80000000005</v>
      </c>
      <c r="AB924" s="1097">
        <f t="shared" si="911"/>
        <v>36.244086021505375</v>
      </c>
      <c r="AD924" s="650">
        <f t="shared" si="870"/>
        <v>0</v>
      </c>
      <c r="AI924" s="1277">
        <f>VLOOKUP(K924,'[2]ผลการเบิกจ่ายสะสม พ.ย. 66'!$C:$N,12,0)</f>
        <v>504333462.76999998</v>
      </c>
      <c r="AJ924" s="1274">
        <f t="shared" si="878"/>
        <v>504110996.56999999</v>
      </c>
    </row>
    <row r="925" spans="1:36" ht="22.5" customHeight="1" outlineLevel="1" x14ac:dyDescent="0.35">
      <c r="A925" s="168"/>
      <c r="B925" s="170"/>
      <c r="C925" s="293" t="s">
        <v>1039</v>
      </c>
      <c r="D925" s="1219">
        <v>969900</v>
      </c>
      <c r="E925" s="1091">
        <v>1041424.44</v>
      </c>
      <c r="F925" s="1091">
        <v>71600</v>
      </c>
      <c r="G925" s="1091"/>
      <c r="H925" s="1091">
        <v>830200</v>
      </c>
      <c r="I925" s="1092">
        <v>920800</v>
      </c>
      <c r="J925" s="1092">
        <v>920800</v>
      </c>
      <c r="K925" s="1032"/>
      <c r="L925" s="1032"/>
      <c r="M925" s="1091">
        <v>460400</v>
      </c>
      <c r="N925" s="1091">
        <v>613800</v>
      </c>
      <c r="O925" s="1091"/>
      <c r="P925" s="1091"/>
      <c r="Q925" s="1091"/>
      <c r="R925" s="1091"/>
      <c r="S925" s="1281">
        <f>222466.2</f>
        <v>222466.2</v>
      </c>
      <c r="T925" s="1091">
        <f t="shared" ref="T925:T926" si="912">+R925+S925</f>
        <v>222466.2</v>
      </c>
      <c r="U925" s="1091">
        <f t="shared" ref="U925:U926" si="913">+N925+O925-T925</f>
        <v>391333.8</v>
      </c>
      <c r="V925" s="1091">
        <f t="shared" si="881"/>
        <v>36.244086021505375</v>
      </c>
      <c r="W925" s="1091"/>
      <c r="X925" s="1091">
        <f t="shared" ref="X925:X926" si="914">+T925+Q925</f>
        <v>222466.2</v>
      </c>
      <c r="Y925" s="1091">
        <f t="shared" ref="Y925:Y926" si="915">+U925-Q925</f>
        <v>391333.8</v>
      </c>
      <c r="Z925" s="1091">
        <f t="shared" ref="Z925:Z926" si="916">+T925+Q925+P925</f>
        <v>222466.2</v>
      </c>
      <c r="AA925" s="1091">
        <f t="shared" ref="AA925:AA926" si="917">+U925-Q925-P925</f>
        <v>391333.8</v>
      </c>
      <c r="AB925" s="1091">
        <f t="shared" ref="AB925:AB926" si="918">IFERROR(Z925*100/(N925+O925),0)</f>
        <v>36.244086021505375</v>
      </c>
      <c r="AD925" s="650">
        <f t="shared" si="870"/>
        <v>0</v>
      </c>
      <c r="AI925" s="1277">
        <f>VLOOKUP(K925,'[2]ผลการเบิกจ่ายสะสม พ.ย. 66'!$C:$N,12,0)</f>
        <v>0</v>
      </c>
      <c r="AJ925" s="1274">
        <f t="shared" si="878"/>
        <v>-222466.2</v>
      </c>
    </row>
    <row r="926" spans="1:36" ht="22.5" customHeight="1" outlineLevel="1" x14ac:dyDescent="0.35">
      <c r="A926" s="168"/>
      <c r="B926" s="170"/>
      <c r="C926" s="293" t="s">
        <v>1040</v>
      </c>
      <c r="D926" s="1219">
        <v>0</v>
      </c>
      <c r="E926" s="1091"/>
      <c r="F926" s="1091"/>
      <c r="G926" s="1091"/>
      <c r="H926" s="1091">
        <v>222000</v>
      </c>
      <c r="I926" s="1092">
        <v>397600</v>
      </c>
      <c r="J926" s="1092">
        <v>397600</v>
      </c>
      <c r="K926" s="1032"/>
      <c r="L926" s="1032"/>
      <c r="M926" s="1091">
        <v>198800</v>
      </c>
      <c r="N926" s="1091">
        <v>265000</v>
      </c>
      <c r="O926" s="1091"/>
      <c r="P926" s="1091"/>
      <c r="Q926" s="1091"/>
      <c r="R926" s="1091"/>
      <c r="S926" s="1160"/>
      <c r="T926" s="1091">
        <f t="shared" si="912"/>
        <v>0</v>
      </c>
      <c r="U926" s="1091">
        <f t="shared" si="913"/>
        <v>265000</v>
      </c>
      <c r="V926" s="1091">
        <f t="shared" si="881"/>
        <v>0</v>
      </c>
      <c r="W926" s="1091"/>
      <c r="X926" s="1091">
        <f t="shared" si="914"/>
        <v>0</v>
      </c>
      <c r="Y926" s="1091">
        <f t="shared" si="915"/>
        <v>265000</v>
      </c>
      <c r="Z926" s="1091">
        <f t="shared" si="916"/>
        <v>0</v>
      </c>
      <c r="AA926" s="1091">
        <f t="shared" si="917"/>
        <v>265000</v>
      </c>
      <c r="AB926" s="1091">
        <f t="shared" si="918"/>
        <v>0</v>
      </c>
      <c r="AD926" s="650">
        <f t="shared" si="870"/>
        <v>0</v>
      </c>
      <c r="AI926" s="1277">
        <f>VLOOKUP(K926,'[2]ผลการเบิกจ่ายสะสม พ.ย. 66'!$C:$N,12,0)</f>
        <v>0</v>
      </c>
      <c r="AJ926" s="1274">
        <f t="shared" si="878"/>
        <v>0</v>
      </c>
    </row>
    <row r="927" spans="1:36" ht="22.5" customHeight="1" outlineLevel="1" x14ac:dyDescent="0.35">
      <c r="A927" s="168"/>
      <c r="B927" s="146"/>
      <c r="C927" s="216" t="s">
        <v>251</v>
      </c>
      <c r="D927" s="1107">
        <f>SUM(D928:D931)</f>
        <v>207520300</v>
      </c>
      <c r="E927" s="1097">
        <f>SUM(E928:E931)</f>
        <v>232928579.09</v>
      </c>
      <c r="F927" s="1097">
        <f>SUM(F928:F931)</f>
        <v>1428400</v>
      </c>
      <c r="G927" s="1097">
        <f>SUM(G928:G931)</f>
        <v>0</v>
      </c>
      <c r="H927" s="1097">
        <f>SUM(H928:H931)</f>
        <v>195938100</v>
      </c>
      <c r="I927" s="1098">
        <v>215482800</v>
      </c>
      <c r="J927" s="1098">
        <f>SUM(J928:J931)</f>
        <v>211009300</v>
      </c>
      <c r="K927" s="1040" t="s">
        <v>1418</v>
      </c>
      <c r="L927" s="1040" t="s">
        <v>1431</v>
      </c>
      <c r="M927" s="1097">
        <f t="shared" ref="M927:U927" si="919">SUM(M928:M931)</f>
        <v>184323800</v>
      </c>
      <c r="N927" s="1097">
        <f>SUM(N928:N931)</f>
        <v>186393900</v>
      </c>
      <c r="O927" s="1097">
        <f t="shared" si="919"/>
        <v>0</v>
      </c>
      <c r="P927" s="1097">
        <f t="shared" si="919"/>
        <v>0</v>
      </c>
      <c r="Q927" s="1097">
        <f t="shared" si="919"/>
        <v>0</v>
      </c>
      <c r="R927" s="1097">
        <f t="shared" si="919"/>
        <v>0</v>
      </c>
      <c r="S927" s="1105">
        <f t="shared" si="919"/>
        <v>128741442.94</v>
      </c>
      <c r="T927" s="1097">
        <f t="shared" si="919"/>
        <v>128741442.94</v>
      </c>
      <c r="U927" s="1097">
        <f t="shared" si="919"/>
        <v>57652457.060000002</v>
      </c>
      <c r="V927" s="1097">
        <f t="shared" si="881"/>
        <v>69.069558038111765</v>
      </c>
      <c r="W927" s="1097">
        <f t="shared" ref="W927:AB927" si="920">SUM(W928:W931)</f>
        <v>0</v>
      </c>
      <c r="X927" s="1097">
        <f t="shared" si="920"/>
        <v>128741442.94</v>
      </c>
      <c r="Y927" s="1097">
        <f t="shared" si="920"/>
        <v>57652457.060000002</v>
      </c>
      <c r="Z927" s="1097">
        <f t="shared" si="920"/>
        <v>128741442.94</v>
      </c>
      <c r="AA927" s="1097">
        <f t="shared" si="920"/>
        <v>57652457.060000002</v>
      </c>
      <c r="AB927" s="1097">
        <f t="shared" si="920"/>
        <v>126.96587496789924</v>
      </c>
      <c r="AD927" s="650">
        <f t="shared" si="870"/>
        <v>0</v>
      </c>
      <c r="AI927" s="1277">
        <f>VLOOKUP(K927,'[2]ผลการเบิกจ่ายสะสม พ.ย. 66'!$C:$N,12,0)</f>
        <v>504333462.76999998</v>
      </c>
      <c r="AJ927" s="1274">
        <f t="shared" si="878"/>
        <v>375592019.82999998</v>
      </c>
    </row>
    <row r="928" spans="1:36" s="4" customFormat="1" ht="22.5" customHeight="1" outlineLevel="1" x14ac:dyDescent="0.2">
      <c r="A928" s="316"/>
      <c r="B928" s="317"/>
      <c r="C928" s="962" t="s">
        <v>1041</v>
      </c>
      <c r="D928" s="1220">
        <v>42000</v>
      </c>
      <c r="E928" s="1091">
        <v>14790.32</v>
      </c>
      <c r="F928" s="1091"/>
      <c r="G928" s="1091"/>
      <c r="H928" s="1091">
        <v>12000</v>
      </c>
      <c r="I928" s="1092">
        <v>18000</v>
      </c>
      <c r="J928" s="1092">
        <v>6000</v>
      </c>
      <c r="K928" s="1032"/>
      <c r="L928" s="1032"/>
      <c r="M928" s="1091">
        <v>3000</v>
      </c>
      <c r="N928" s="1091">
        <v>4000</v>
      </c>
      <c r="O928" s="1091"/>
      <c r="P928" s="1091"/>
      <c r="Q928" s="1091"/>
      <c r="R928" s="1091"/>
      <c r="S928" s="1281">
        <f>2000</f>
        <v>2000</v>
      </c>
      <c r="T928" s="1091">
        <f t="shared" ref="T928:T931" si="921">+R928+S928</f>
        <v>2000</v>
      </c>
      <c r="U928" s="1091">
        <f t="shared" ref="U928:U931" si="922">+N928+O928-T928</f>
        <v>2000</v>
      </c>
      <c r="V928" s="1091">
        <f t="shared" si="881"/>
        <v>50</v>
      </c>
      <c r="W928" s="1091"/>
      <c r="X928" s="1091">
        <f t="shared" ref="X928:X931" si="923">+T928+Q928</f>
        <v>2000</v>
      </c>
      <c r="Y928" s="1091">
        <f t="shared" ref="Y928:Y931" si="924">+U928-Q928</f>
        <v>2000</v>
      </c>
      <c r="Z928" s="1091">
        <f t="shared" ref="Z928:Z931" si="925">+T928+Q928+P928</f>
        <v>2000</v>
      </c>
      <c r="AA928" s="1091">
        <f t="shared" ref="AA928:AA931" si="926">+U928-Q928-P928</f>
        <v>2000</v>
      </c>
      <c r="AB928" s="1091">
        <f t="shared" ref="AB928:AB931" si="927">IFERROR(Z928*100/(N928+O928),0)</f>
        <v>50</v>
      </c>
      <c r="AD928" s="650">
        <f t="shared" si="870"/>
        <v>0</v>
      </c>
      <c r="AI928" s="1277">
        <f>VLOOKUP(K928,'[2]ผลการเบิกจ่ายสะสม พ.ย. 66'!$C:$N,12,0)</f>
        <v>0</v>
      </c>
      <c r="AJ928" s="1274">
        <f t="shared" si="878"/>
        <v>-2000</v>
      </c>
    </row>
    <row r="929" spans="1:36" ht="22.5" customHeight="1" outlineLevel="1" x14ac:dyDescent="0.35">
      <c r="A929" s="168"/>
      <c r="B929" s="170"/>
      <c r="C929" s="958" t="s">
        <v>1042</v>
      </c>
      <c r="D929" s="1219">
        <v>169285600</v>
      </c>
      <c r="E929" s="1091">
        <v>188741697.93000001</v>
      </c>
      <c r="F929" s="1091"/>
      <c r="G929" s="1091"/>
      <c r="H929" s="1091">
        <v>157803100</v>
      </c>
      <c r="I929" s="1092">
        <v>169464800</v>
      </c>
      <c r="J929" s="1092">
        <v>169464800</v>
      </c>
      <c r="K929" s="1032"/>
      <c r="L929" s="1032"/>
      <c r="M929" s="1091">
        <v>169464800</v>
      </c>
      <c r="N929" s="1091">
        <v>169464800</v>
      </c>
      <c r="O929" s="1091"/>
      <c r="P929" s="1091"/>
      <c r="Q929" s="1091"/>
      <c r="R929" s="1091"/>
      <c r="S929" s="1278">
        <f>128595886.11</f>
        <v>128595886.11</v>
      </c>
      <c r="T929" s="1091">
        <f t="shared" si="921"/>
        <v>128595886.11</v>
      </c>
      <c r="U929" s="1091">
        <f t="shared" si="922"/>
        <v>40868913.890000001</v>
      </c>
      <c r="V929" s="1091">
        <f t="shared" si="881"/>
        <v>75.883538121190952</v>
      </c>
      <c r="W929" s="1091"/>
      <c r="X929" s="1091">
        <f t="shared" si="923"/>
        <v>128595886.11</v>
      </c>
      <c r="Y929" s="1091">
        <f t="shared" si="924"/>
        <v>40868913.890000001</v>
      </c>
      <c r="Z929" s="1091">
        <f t="shared" si="925"/>
        <v>128595886.11</v>
      </c>
      <c r="AA929" s="1091">
        <f t="shared" si="926"/>
        <v>40868913.890000001</v>
      </c>
      <c r="AB929" s="1091">
        <f t="shared" si="927"/>
        <v>75.883538121190952</v>
      </c>
      <c r="AD929" s="650">
        <f t="shared" si="870"/>
        <v>0</v>
      </c>
      <c r="AI929" s="1277">
        <f>VLOOKUP(K929,'[2]ผลการเบิกจ่ายสะสม พ.ย. 66'!$C:$N,12,0)</f>
        <v>0</v>
      </c>
      <c r="AJ929" s="1274">
        <f t="shared" si="878"/>
        <v>-128595886.11</v>
      </c>
    </row>
    <row r="930" spans="1:36" s="218" customFormat="1" ht="22.5" customHeight="1" outlineLevel="1" x14ac:dyDescent="0.35">
      <c r="A930" s="168"/>
      <c r="B930" s="146"/>
      <c r="C930" s="293" t="s">
        <v>254</v>
      </c>
      <c r="D930" s="1219">
        <v>18863300</v>
      </c>
      <c r="E930" s="1091">
        <v>25845581.129999999</v>
      </c>
      <c r="F930" s="1091"/>
      <c r="G930" s="1091"/>
      <c r="H930" s="1091">
        <v>19000000</v>
      </c>
      <c r="I930" s="1092">
        <v>26000000</v>
      </c>
      <c r="J930" s="1092">
        <v>21643100</v>
      </c>
      <c r="K930" s="1032"/>
      <c r="L930" s="1032"/>
      <c r="M930" s="1091">
        <v>2443300</v>
      </c>
      <c r="N930" s="1091">
        <v>3661500</v>
      </c>
      <c r="O930" s="1091"/>
      <c r="P930" s="1091"/>
      <c r="Q930" s="1091"/>
      <c r="R930" s="1091"/>
      <c r="S930" s="1160"/>
      <c r="T930" s="1091">
        <f t="shared" si="921"/>
        <v>0</v>
      </c>
      <c r="U930" s="1091">
        <f t="shared" si="922"/>
        <v>3661500</v>
      </c>
      <c r="V930" s="1091">
        <f t="shared" si="881"/>
        <v>0</v>
      </c>
      <c r="W930" s="1091"/>
      <c r="X930" s="1091">
        <f t="shared" si="923"/>
        <v>0</v>
      </c>
      <c r="Y930" s="1091">
        <f t="shared" si="924"/>
        <v>3661500</v>
      </c>
      <c r="Z930" s="1091">
        <f t="shared" si="925"/>
        <v>0</v>
      </c>
      <c r="AA930" s="1091">
        <f t="shared" si="926"/>
        <v>3661500</v>
      </c>
      <c r="AB930" s="1091">
        <f t="shared" si="927"/>
        <v>0</v>
      </c>
      <c r="AD930" s="650">
        <f t="shared" si="870"/>
        <v>0</v>
      </c>
      <c r="AI930" s="1277">
        <f>VLOOKUP(K930,'[2]ผลการเบิกจ่ายสะสม พ.ย. 66'!$C:$N,12,0)</f>
        <v>0</v>
      </c>
      <c r="AJ930" s="1274">
        <f t="shared" si="878"/>
        <v>0</v>
      </c>
    </row>
    <row r="931" spans="1:36" ht="22.5" customHeight="1" outlineLevel="1" x14ac:dyDescent="0.35">
      <c r="A931" s="168"/>
      <c r="B931" s="170"/>
      <c r="C931" s="293" t="s">
        <v>255</v>
      </c>
      <c r="D931" s="1219">
        <v>19329400</v>
      </c>
      <c r="E931" s="1091">
        <v>18326509.710000001</v>
      </c>
      <c r="F931" s="1091">
        <v>1428400</v>
      </c>
      <c r="G931" s="1091"/>
      <c r="H931" s="1091">
        <v>19123000</v>
      </c>
      <c r="I931" s="1092">
        <v>20000000</v>
      </c>
      <c r="J931" s="1092">
        <v>19895400</v>
      </c>
      <c r="K931" s="1032"/>
      <c r="L931" s="1032"/>
      <c r="M931" s="1091">
        <v>12412700</v>
      </c>
      <c r="N931" s="1091">
        <v>13263600</v>
      </c>
      <c r="O931" s="1091"/>
      <c r="P931" s="1091"/>
      <c r="Q931" s="1091"/>
      <c r="R931" s="1091"/>
      <c r="S931" s="1281">
        <f>143556.83</f>
        <v>143556.82999999999</v>
      </c>
      <c r="T931" s="1091">
        <f t="shared" si="921"/>
        <v>143556.82999999999</v>
      </c>
      <c r="U931" s="1091">
        <f t="shared" si="922"/>
        <v>13120043.17</v>
      </c>
      <c r="V931" s="1091">
        <f t="shared" si="881"/>
        <v>1.0823368467082841</v>
      </c>
      <c r="W931" s="1091"/>
      <c r="X931" s="1091">
        <f t="shared" si="923"/>
        <v>143556.82999999999</v>
      </c>
      <c r="Y931" s="1091">
        <f t="shared" si="924"/>
        <v>13120043.17</v>
      </c>
      <c r="Z931" s="1091">
        <f t="shared" si="925"/>
        <v>143556.82999999999</v>
      </c>
      <c r="AA931" s="1091">
        <f t="shared" si="926"/>
        <v>13120043.17</v>
      </c>
      <c r="AB931" s="1091">
        <f t="shared" si="927"/>
        <v>1.0823368467082841</v>
      </c>
      <c r="AD931" s="650">
        <f t="shared" si="870"/>
        <v>0</v>
      </c>
      <c r="AI931" s="1277">
        <f>VLOOKUP(K931,'[2]ผลการเบิกจ่ายสะสม พ.ย. 66'!$C:$N,12,0)</f>
        <v>0</v>
      </c>
      <c r="AJ931" s="1274">
        <f t="shared" si="878"/>
        <v>-143556.82999999999</v>
      </c>
    </row>
    <row r="932" spans="1:36" ht="22.5" customHeight="1" x14ac:dyDescent="0.35">
      <c r="A932" s="252"/>
      <c r="B932" s="146" t="s">
        <v>163</v>
      </c>
      <c r="C932" s="963"/>
      <c r="D932" s="1107">
        <f>+D933+D936</f>
        <v>97717200</v>
      </c>
      <c r="E932" s="1097">
        <f>+E933+E936</f>
        <v>97764236.189999998</v>
      </c>
      <c r="F932" s="1097">
        <f>+F933+F936</f>
        <v>0</v>
      </c>
      <c r="G932" s="1097">
        <f>+G933+G936</f>
        <v>0</v>
      </c>
      <c r="H932" s="1097">
        <f>+H933+H936</f>
        <v>96597500</v>
      </c>
      <c r="I932" s="1098">
        <v>102607600</v>
      </c>
      <c r="J932" s="1098">
        <f>+J933+J936</f>
        <v>95954300</v>
      </c>
      <c r="K932" s="1029"/>
      <c r="L932" s="1029"/>
      <c r="M932" s="1097">
        <f t="shared" ref="M932:T932" si="928">+M933+M936</f>
        <v>95697900</v>
      </c>
      <c r="N932" s="1097">
        <f>+N933+N936</f>
        <v>95783300</v>
      </c>
      <c r="O932" s="1097">
        <f t="shared" si="928"/>
        <v>0</v>
      </c>
      <c r="P932" s="1097">
        <f t="shared" si="928"/>
        <v>0</v>
      </c>
      <c r="Q932" s="1097">
        <f t="shared" si="928"/>
        <v>0</v>
      </c>
      <c r="R932" s="1097">
        <f t="shared" si="928"/>
        <v>0</v>
      </c>
      <c r="S932" s="1268">
        <f>86486494.52+45338</f>
        <v>86531832.519999996</v>
      </c>
      <c r="T932" s="1097">
        <f t="shared" si="928"/>
        <v>86531832.519999996</v>
      </c>
      <c r="U932" s="1097">
        <f>+U933+U936</f>
        <v>9251467.4800000042</v>
      </c>
      <c r="V932" s="1097">
        <f t="shared" si="881"/>
        <v>90.341252097181865</v>
      </c>
      <c r="W932" s="1097">
        <f t="shared" ref="W932:AB932" si="929">+W933+W936</f>
        <v>0</v>
      </c>
      <c r="X932" s="1097">
        <f t="shared" si="929"/>
        <v>86531832.519999996</v>
      </c>
      <c r="Y932" s="1097">
        <f t="shared" si="929"/>
        <v>9251467.4800000042</v>
      </c>
      <c r="Z932" s="1097">
        <f t="shared" si="929"/>
        <v>86531832.519999996</v>
      </c>
      <c r="AA932" s="1097">
        <f t="shared" si="929"/>
        <v>9251467.4800000042</v>
      </c>
      <c r="AB932" s="1097">
        <f t="shared" si="929"/>
        <v>116.48205835964832</v>
      </c>
      <c r="AD932" s="650">
        <f>+N932+O932-R932-S932-U932</f>
        <v>0</v>
      </c>
      <c r="AI932" s="1277">
        <f>VLOOKUP(K932,'[2]ผลการเบิกจ่ายสะสม พ.ย. 66'!$C:$N,12,0)</f>
        <v>0</v>
      </c>
      <c r="AJ932" s="1274">
        <f t="shared" si="878"/>
        <v>-86531832.519999996</v>
      </c>
    </row>
    <row r="933" spans="1:36" s="218" customFormat="1" ht="22.5" customHeight="1" outlineLevel="1" x14ac:dyDescent="0.35">
      <c r="A933" s="168"/>
      <c r="B933" s="146"/>
      <c r="C933" s="146" t="s">
        <v>256</v>
      </c>
      <c r="D933" s="1107">
        <f>SUM(D934:D935)</f>
        <v>97692200</v>
      </c>
      <c r="E933" s="1097">
        <f>SUM(E934:E935)</f>
        <v>97740996.019999996</v>
      </c>
      <c r="F933" s="1097">
        <f>SUM(F934:F935)</f>
        <v>0</v>
      </c>
      <c r="G933" s="1097">
        <f>SUM(G934:G935)</f>
        <v>0</v>
      </c>
      <c r="H933" s="1097">
        <f>SUM(H934:H935)</f>
        <v>96574200</v>
      </c>
      <c r="I933" s="1098">
        <v>102572500</v>
      </c>
      <c r="J933" s="1098">
        <f>SUM(J934:J935)</f>
        <v>95927000</v>
      </c>
      <c r="K933" s="1040" t="s">
        <v>1418</v>
      </c>
      <c r="L933" s="1040" t="s">
        <v>1431</v>
      </c>
      <c r="M933" s="1097">
        <f t="shared" ref="M933:AB933" si="930">SUM(M934:M935)</f>
        <v>95670600</v>
      </c>
      <c r="N933" s="1097">
        <f>SUM(N934:N935)</f>
        <v>95756000</v>
      </c>
      <c r="O933" s="1097">
        <f t="shared" si="930"/>
        <v>0</v>
      </c>
      <c r="P933" s="1097">
        <f t="shared" si="930"/>
        <v>0</v>
      </c>
      <c r="Q933" s="1097">
        <f t="shared" si="930"/>
        <v>0</v>
      </c>
      <c r="R933" s="1097">
        <f t="shared" si="930"/>
        <v>0</v>
      </c>
      <c r="S933" s="1105">
        <f>SUM(S934:S935)</f>
        <v>86531832.519999996</v>
      </c>
      <c r="T933" s="1097">
        <f t="shared" si="930"/>
        <v>86531832.519999996</v>
      </c>
      <c r="U933" s="1097">
        <f>SUM(U934:U935)</f>
        <v>9224167.4800000042</v>
      </c>
      <c r="V933" s="1097">
        <f t="shared" si="930"/>
        <v>116.48205835964832</v>
      </c>
      <c r="W933" s="1097">
        <f t="shared" si="930"/>
        <v>0</v>
      </c>
      <c r="X933" s="1097">
        <f t="shared" si="930"/>
        <v>86531832.519999996</v>
      </c>
      <c r="Y933" s="1097">
        <f t="shared" si="930"/>
        <v>9224167.4800000042</v>
      </c>
      <c r="Z933" s="1097">
        <f t="shared" si="930"/>
        <v>86531832.519999996</v>
      </c>
      <c r="AA933" s="1097">
        <f t="shared" si="930"/>
        <v>9224167.4800000042</v>
      </c>
      <c r="AB933" s="1097">
        <f t="shared" si="930"/>
        <v>116.48205835964832</v>
      </c>
      <c r="AD933" s="650">
        <f>+N933+O933-R933-S933-U933</f>
        <v>0</v>
      </c>
      <c r="AI933" s="1277">
        <f>VLOOKUP(K933,'[2]ผลการเบิกจ่ายสะสม พ.ย. 66'!$C:$N,12,0)</f>
        <v>504333462.76999998</v>
      </c>
      <c r="AJ933" s="1274">
        <f t="shared" si="878"/>
        <v>417801630.25</v>
      </c>
    </row>
    <row r="934" spans="1:36" ht="22.5" customHeight="1" outlineLevel="1" x14ac:dyDescent="0.35">
      <c r="A934" s="241"/>
      <c r="B934" s="249"/>
      <c r="C934" s="964" t="s">
        <v>1043</v>
      </c>
      <c r="D934" s="1221">
        <v>468000</v>
      </c>
      <c r="E934" s="1091">
        <v>276719</v>
      </c>
      <c r="F934" s="1091">
        <v>-190000</v>
      </c>
      <c r="G934" s="1091"/>
      <c r="H934" s="1091">
        <v>451500</v>
      </c>
      <c r="I934" s="1092">
        <v>558000</v>
      </c>
      <c r="J934" s="1092">
        <v>513000</v>
      </c>
      <c r="K934" s="1032"/>
      <c r="L934" s="1032"/>
      <c r="M934" s="1091">
        <v>256600</v>
      </c>
      <c r="N934" s="1091">
        <v>342000</v>
      </c>
      <c r="O934" s="1091"/>
      <c r="P934" s="1091"/>
      <c r="Q934" s="1091"/>
      <c r="R934" s="1091"/>
      <c r="S934" s="1160">
        <f>88523</f>
        <v>88523</v>
      </c>
      <c r="T934" s="1091">
        <f t="shared" ref="T934:T935" si="931">+R934+S934</f>
        <v>88523</v>
      </c>
      <c r="U934" s="1091">
        <f t="shared" ref="U934:U935" si="932">+N934+O934-T934</f>
        <v>253477</v>
      </c>
      <c r="V934" s="1091">
        <f t="shared" ref="V934:V935" si="933">IFERROR(T934*100/(N934+O934),0)</f>
        <v>25.883918128654972</v>
      </c>
      <c r="W934" s="1091"/>
      <c r="X934" s="1091">
        <f t="shared" ref="X934:X935" si="934">+T934+Q934</f>
        <v>88523</v>
      </c>
      <c r="Y934" s="1091">
        <f t="shared" ref="Y934:Y935" si="935">+U934-Q934</f>
        <v>253477</v>
      </c>
      <c r="Z934" s="1091">
        <f t="shared" ref="Z934:Z935" si="936">+T934+Q934+P934</f>
        <v>88523</v>
      </c>
      <c r="AA934" s="1091">
        <f t="shared" ref="AA934:AA935" si="937">+U934-Q934-P934</f>
        <v>253477</v>
      </c>
      <c r="AB934" s="1091">
        <f t="shared" ref="AB934:AB935" si="938">IFERROR(Z934*100/(N934+O934),0)</f>
        <v>25.883918128654972</v>
      </c>
      <c r="AD934" s="650">
        <f t="shared" si="870"/>
        <v>0</v>
      </c>
      <c r="AI934" s="1277">
        <f>VLOOKUP(K934,'[2]ผลการเบิกจ่ายสะสม พ.ย. 66'!$C:$N,12,0)</f>
        <v>0</v>
      </c>
      <c r="AJ934" s="1274">
        <f t="shared" si="878"/>
        <v>-88523</v>
      </c>
    </row>
    <row r="935" spans="1:36" ht="22.5" customHeight="1" outlineLevel="1" x14ac:dyDescent="0.35">
      <c r="A935" s="241"/>
      <c r="B935" s="249"/>
      <c r="C935" s="964" t="s">
        <v>1044</v>
      </c>
      <c r="D935" s="1221">
        <v>97224200</v>
      </c>
      <c r="E935" s="1091">
        <v>97464277.019999996</v>
      </c>
      <c r="F935" s="1091">
        <v>190000</v>
      </c>
      <c r="G935" s="1091"/>
      <c r="H935" s="1091">
        <v>96122700</v>
      </c>
      <c r="I935" s="1092">
        <v>102014500</v>
      </c>
      <c r="J935" s="1092">
        <v>95414000</v>
      </c>
      <c r="K935" s="1032"/>
      <c r="L935" s="1032"/>
      <c r="M935" s="1091">
        <v>95414000</v>
      </c>
      <c r="N935" s="1091">
        <v>95414000</v>
      </c>
      <c r="O935" s="1091"/>
      <c r="P935" s="1091"/>
      <c r="Q935" s="1091"/>
      <c r="R935" s="1091"/>
      <c r="S935" s="1278">
        <f>86443309.52</f>
        <v>86443309.519999996</v>
      </c>
      <c r="T935" s="1091">
        <f t="shared" si="931"/>
        <v>86443309.519999996</v>
      </c>
      <c r="U935" s="1091">
        <f t="shared" si="932"/>
        <v>8970690.4800000042</v>
      </c>
      <c r="V935" s="1091">
        <f t="shared" si="933"/>
        <v>90.598140230993351</v>
      </c>
      <c r="W935" s="1091"/>
      <c r="X935" s="1091">
        <f t="shared" si="934"/>
        <v>86443309.519999996</v>
      </c>
      <c r="Y935" s="1091">
        <f t="shared" si="935"/>
        <v>8970690.4800000042</v>
      </c>
      <c r="Z935" s="1091">
        <f t="shared" si="936"/>
        <v>86443309.519999996</v>
      </c>
      <c r="AA935" s="1091">
        <f t="shared" si="937"/>
        <v>8970690.4800000042</v>
      </c>
      <c r="AB935" s="1091">
        <f t="shared" si="938"/>
        <v>90.598140230993351</v>
      </c>
      <c r="AD935" s="650">
        <f t="shared" si="870"/>
        <v>0</v>
      </c>
      <c r="AI935" s="1277">
        <f>VLOOKUP(K935,'[2]ผลการเบิกจ่ายสะสม พ.ย. 66'!$C:$N,12,0)</f>
        <v>0</v>
      </c>
      <c r="AJ935" s="1274">
        <f t="shared" si="878"/>
        <v>-86443309.519999996</v>
      </c>
    </row>
    <row r="936" spans="1:36" ht="22.5" customHeight="1" outlineLevel="1" x14ac:dyDescent="0.35">
      <c r="A936" s="242"/>
      <c r="B936" s="250"/>
      <c r="C936" s="250" t="s">
        <v>259</v>
      </c>
      <c r="D936" s="1222">
        <f>+D937</f>
        <v>25000</v>
      </c>
      <c r="E936" s="1097">
        <f>+E937</f>
        <v>23240.17</v>
      </c>
      <c r="F936" s="1097">
        <f>+F937</f>
        <v>0</v>
      </c>
      <c r="G936" s="1097">
        <f>+G937</f>
        <v>0</v>
      </c>
      <c r="H936" s="1097">
        <f>+H937</f>
        <v>23300</v>
      </c>
      <c r="I936" s="1098">
        <v>35100</v>
      </c>
      <c r="J936" s="1098">
        <f>+J937</f>
        <v>27300</v>
      </c>
      <c r="K936" s="1040" t="s">
        <v>1418</v>
      </c>
      <c r="L936" s="1040" t="s">
        <v>1431</v>
      </c>
      <c r="M936" s="1097">
        <f t="shared" ref="M936:AB936" si="939">+M937</f>
        <v>27300</v>
      </c>
      <c r="N936" s="1097">
        <f>+N937</f>
        <v>27300</v>
      </c>
      <c r="O936" s="1097">
        <f t="shared" si="939"/>
        <v>0</v>
      </c>
      <c r="P936" s="1097">
        <f t="shared" si="939"/>
        <v>0</v>
      </c>
      <c r="Q936" s="1097">
        <f t="shared" si="939"/>
        <v>0</v>
      </c>
      <c r="R936" s="1097">
        <f t="shared" si="939"/>
        <v>0</v>
      </c>
      <c r="S936" s="1105">
        <f t="shared" si="939"/>
        <v>0</v>
      </c>
      <c r="T936" s="1097">
        <f t="shared" si="939"/>
        <v>0</v>
      </c>
      <c r="U936" s="1097">
        <f t="shared" si="939"/>
        <v>27300</v>
      </c>
      <c r="V936" s="1097">
        <f t="shared" si="939"/>
        <v>0</v>
      </c>
      <c r="W936" s="1097">
        <f t="shared" si="939"/>
        <v>0</v>
      </c>
      <c r="X936" s="1097">
        <f t="shared" si="939"/>
        <v>0</v>
      </c>
      <c r="Y936" s="1097">
        <f t="shared" si="939"/>
        <v>27300</v>
      </c>
      <c r="Z936" s="1097">
        <f t="shared" si="939"/>
        <v>0</v>
      </c>
      <c r="AA936" s="1097">
        <f t="shared" si="939"/>
        <v>27300</v>
      </c>
      <c r="AB936" s="1097">
        <f t="shared" si="939"/>
        <v>0</v>
      </c>
      <c r="AD936" s="650">
        <f t="shared" si="870"/>
        <v>0</v>
      </c>
      <c r="AI936" s="1277">
        <f>VLOOKUP(K936,'[2]ผลการเบิกจ่ายสะสม พ.ย. 66'!$C:$N,12,0)</f>
        <v>504333462.76999998</v>
      </c>
      <c r="AJ936" s="1274">
        <f t="shared" si="878"/>
        <v>504333462.76999998</v>
      </c>
    </row>
    <row r="937" spans="1:36" ht="22.5" customHeight="1" outlineLevel="1" x14ac:dyDescent="0.35">
      <c r="A937" s="243"/>
      <c r="B937" s="251"/>
      <c r="C937" s="965" t="s">
        <v>1045</v>
      </c>
      <c r="D937" s="1223">
        <v>25000</v>
      </c>
      <c r="E937" s="1224">
        <v>23240.17</v>
      </c>
      <c r="F937" s="1224"/>
      <c r="G937" s="1224"/>
      <c r="H937" s="1224">
        <v>23300</v>
      </c>
      <c r="I937" s="1225">
        <v>35100</v>
      </c>
      <c r="J937" s="1225">
        <v>27300</v>
      </c>
      <c r="K937" s="1064"/>
      <c r="L937" s="1064"/>
      <c r="M937" s="1224">
        <v>27300</v>
      </c>
      <c r="N937" s="1224">
        <v>27300</v>
      </c>
      <c r="O937" s="1224"/>
      <c r="P937" s="1224"/>
      <c r="Q937" s="1224"/>
      <c r="R937" s="1224"/>
      <c r="S937" s="1224"/>
      <c r="T937" s="1091">
        <f t="shared" ref="T937" si="940">+R937+S937</f>
        <v>0</v>
      </c>
      <c r="U937" s="1091">
        <f t="shared" ref="U937" si="941">+N937+O937-T937</f>
        <v>27300</v>
      </c>
      <c r="V937" s="1091">
        <f t="shared" ref="V937" si="942">IFERROR(T937*100/(N937+O937),0)</f>
        <v>0</v>
      </c>
      <c r="W937" s="1091"/>
      <c r="X937" s="1091">
        <f t="shared" ref="X937" si="943">+T937+Q937</f>
        <v>0</v>
      </c>
      <c r="Y937" s="1091">
        <f t="shared" ref="Y937" si="944">+U937-Q937</f>
        <v>27300</v>
      </c>
      <c r="Z937" s="1091">
        <f t="shared" ref="Z937" si="945">+T937+Q937+P937</f>
        <v>0</v>
      </c>
      <c r="AA937" s="1091">
        <f t="shared" ref="AA937" si="946">+U937-Q937-P937</f>
        <v>27300</v>
      </c>
      <c r="AB937" s="1091">
        <f t="shared" ref="AB937" si="947">IFERROR(Z937*100/(N937+O937),0)</f>
        <v>0</v>
      </c>
      <c r="AD937" s="650">
        <f t="shared" si="870"/>
        <v>0</v>
      </c>
      <c r="AI937" s="1277">
        <f>VLOOKUP(K937,'[2]ผลการเบิกจ่ายสะสม พ.ย. 66'!$C:$N,12,0)</f>
        <v>0</v>
      </c>
      <c r="AJ937" s="1274">
        <f t="shared" si="878"/>
        <v>0</v>
      </c>
    </row>
    <row r="938" spans="1:36" ht="22.5" customHeight="1" x14ac:dyDescent="0.35">
      <c r="A938" s="265" t="s">
        <v>265</v>
      </c>
      <c r="B938" s="172" t="s">
        <v>1046</v>
      </c>
    </row>
  </sheetData>
  <autoFilter ref="A5:AE938">
    <filterColumn colId="0" showButton="0"/>
    <filterColumn colId="1" showButton="0"/>
  </autoFilter>
  <mergeCells count="31">
    <mergeCell ref="A1:AB1"/>
    <mergeCell ref="A2:AB2"/>
    <mergeCell ref="A3:AB3"/>
    <mergeCell ref="A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N5:N6"/>
    <mergeCell ref="O5:O6"/>
    <mergeCell ref="AB5:AB6"/>
    <mergeCell ref="A7:C7"/>
    <mergeCell ref="E919:E920"/>
    <mergeCell ref="V5:V6"/>
    <mergeCell ref="W5:W6"/>
    <mergeCell ref="X5:X6"/>
    <mergeCell ref="J5:J6"/>
    <mergeCell ref="Y5:Y6"/>
    <mergeCell ref="Z5:Z6"/>
    <mergeCell ref="AA5:AA6"/>
    <mergeCell ref="P5:P6"/>
    <mergeCell ref="Q5:Q6"/>
    <mergeCell ref="R5:R6"/>
    <mergeCell ref="S5:S6"/>
    <mergeCell ref="T5:T6"/>
    <mergeCell ref="U5:U6"/>
  </mergeCells>
  <printOptions horizontalCentered="1"/>
  <pageMargins left="0.5" right="0.5" top="1" bottom="0.5" header="0.31496062992126" footer="0.31496062992126"/>
  <pageSetup paperSize="9" scale="36" fitToHeight="0" orientation="landscape" r:id="rId1"/>
  <rowBreaks count="4" manualBreakCount="4">
    <brk id="81" max="27" man="1"/>
    <brk id="153" max="27" man="1"/>
    <brk id="480" max="27" man="1"/>
    <brk id="722" max="27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4:N984"/>
  <sheetViews>
    <sheetView view="pageBreakPreview" zoomScale="60" zoomScaleNormal="90" workbookViewId="0">
      <selection activeCell="D3" sqref="A3:D4"/>
    </sheetView>
  </sheetViews>
  <sheetFormatPr defaultRowHeight="26.25" customHeight="1" x14ac:dyDescent="0.35"/>
  <cols>
    <col min="1" max="1" width="8.5703125" style="381" customWidth="1"/>
    <col min="2" max="7" width="9.140625" style="381"/>
    <col min="8" max="8" width="13.42578125" style="381" customWidth="1"/>
    <col min="9" max="9" width="7.7109375" style="381" customWidth="1"/>
    <col min="10" max="10" width="13.140625" style="381" customWidth="1"/>
    <col min="11" max="13" width="9.140625" style="381"/>
    <col min="14" max="14" width="20.7109375" style="385" customWidth="1"/>
    <col min="15" max="263" width="9.140625" style="381"/>
    <col min="264" max="264" width="13.42578125" style="381" customWidth="1"/>
    <col min="265" max="265" width="9.140625" style="381"/>
    <col min="266" max="266" width="13.140625" style="381" customWidth="1"/>
    <col min="267" max="269" width="9.140625" style="381"/>
    <col min="270" max="270" width="20.7109375" style="381" customWidth="1"/>
    <col min="271" max="519" width="9.140625" style="381"/>
    <col min="520" max="520" width="13.42578125" style="381" customWidth="1"/>
    <col min="521" max="521" width="9.140625" style="381"/>
    <col min="522" max="522" width="13.140625" style="381" customWidth="1"/>
    <col min="523" max="525" width="9.140625" style="381"/>
    <col min="526" max="526" width="20.7109375" style="381" customWidth="1"/>
    <col min="527" max="775" width="9.140625" style="381"/>
    <col min="776" max="776" width="13.42578125" style="381" customWidth="1"/>
    <col min="777" max="777" width="9.140625" style="381"/>
    <col min="778" max="778" width="13.140625" style="381" customWidth="1"/>
    <col min="779" max="781" width="9.140625" style="381"/>
    <col min="782" max="782" width="20.7109375" style="381" customWidth="1"/>
    <col min="783" max="1031" width="9.140625" style="381"/>
    <col min="1032" max="1032" width="13.42578125" style="381" customWidth="1"/>
    <col min="1033" max="1033" width="9.140625" style="381"/>
    <col min="1034" max="1034" width="13.140625" style="381" customWidth="1"/>
    <col min="1035" max="1037" width="9.140625" style="381"/>
    <col min="1038" max="1038" width="20.7109375" style="381" customWidth="1"/>
    <col min="1039" max="1287" width="9.140625" style="381"/>
    <col min="1288" max="1288" width="13.42578125" style="381" customWidth="1"/>
    <col min="1289" max="1289" width="9.140625" style="381"/>
    <col min="1290" max="1290" width="13.140625" style="381" customWidth="1"/>
    <col min="1291" max="1293" width="9.140625" style="381"/>
    <col min="1294" max="1294" width="20.7109375" style="381" customWidth="1"/>
    <col min="1295" max="1543" width="9.140625" style="381"/>
    <col min="1544" max="1544" width="13.42578125" style="381" customWidth="1"/>
    <col min="1545" max="1545" width="9.140625" style="381"/>
    <col min="1546" max="1546" width="13.140625" style="381" customWidth="1"/>
    <col min="1547" max="1549" width="9.140625" style="381"/>
    <col min="1550" max="1550" width="20.7109375" style="381" customWidth="1"/>
    <col min="1551" max="1799" width="9.140625" style="381"/>
    <col min="1800" max="1800" width="13.42578125" style="381" customWidth="1"/>
    <col min="1801" max="1801" width="9.140625" style="381"/>
    <col min="1802" max="1802" width="13.140625" style="381" customWidth="1"/>
    <col min="1803" max="1805" width="9.140625" style="381"/>
    <col min="1806" max="1806" width="20.7109375" style="381" customWidth="1"/>
    <col min="1807" max="2055" width="9.140625" style="381"/>
    <col min="2056" max="2056" width="13.42578125" style="381" customWidth="1"/>
    <col min="2057" max="2057" width="9.140625" style="381"/>
    <col min="2058" max="2058" width="13.140625" style="381" customWidth="1"/>
    <col min="2059" max="2061" width="9.140625" style="381"/>
    <col min="2062" max="2062" width="20.7109375" style="381" customWidth="1"/>
    <col min="2063" max="2311" width="9.140625" style="381"/>
    <col min="2312" max="2312" width="13.42578125" style="381" customWidth="1"/>
    <col min="2313" max="2313" width="9.140625" style="381"/>
    <col min="2314" max="2314" width="13.140625" style="381" customWidth="1"/>
    <col min="2315" max="2317" width="9.140625" style="381"/>
    <col min="2318" max="2318" width="20.7109375" style="381" customWidth="1"/>
    <col min="2319" max="2567" width="9.140625" style="381"/>
    <col min="2568" max="2568" width="13.42578125" style="381" customWidth="1"/>
    <col min="2569" max="2569" width="9.140625" style="381"/>
    <col min="2570" max="2570" width="13.140625" style="381" customWidth="1"/>
    <col min="2571" max="2573" width="9.140625" style="381"/>
    <col min="2574" max="2574" width="20.7109375" style="381" customWidth="1"/>
    <col min="2575" max="2823" width="9.140625" style="381"/>
    <col min="2824" max="2824" width="13.42578125" style="381" customWidth="1"/>
    <col min="2825" max="2825" width="9.140625" style="381"/>
    <col min="2826" max="2826" width="13.140625" style="381" customWidth="1"/>
    <col min="2827" max="2829" width="9.140625" style="381"/>
    <col min="2830" max="2830" width="20.7109375" style="381" customWidth="1"/>
    <col min="2831" max="3079" width="9.140625" style="381"/>
    <col min="3080" max="3080" width="13.42578125" style="381" customWidth="1"/>
    <col min="3081" max="3081" width="9.140625" style="381"/>
    <col min="3082" max="3082" width="13.140625" style="381" customWidth="1"/>
    <col min="3083" max="3085" width="9.140625" style="381"/>
    <col min="3086" max="3086" width="20.7109375" style="381" customWidth="1"/>
    <col min="3087" max="3335" width="9.140625" style="381"/>
    <col min="3336" max="3336" width="13.42578125" style="381" customWidth="1"/>
    <col min="3337" max="3337" width="9.140625" style="381"/>
    <col min="3338" max="3338" width="13.140625" style="381" customWidth="1"/>
    <col min="3339" max="3341" width="9.140625" style="381"/>
    <col min="3342" max="3342" width="20.7109375" style="381" customWidth="1"/>
    <col min="3343" max="3591" width="9.140625" style="381"/>
    <col min="3592" max="3592" width="13.42578125" style="381" customWidth="1"/>
    <col min="3593" max="3593" width="9.140625" style="381"/>
    <col min="3594" max="3594" width="13.140625" style="381" customWidth="1"/>
    <col min="3595" max="3597" width="9.140625" style="381"/>
    <col min="3598" max="3598" width="20.7109375" style="381" customWidth="1"/>
    <col min="3599" max="3847" width="9.140625" style="381"/>
    <col min="3848" max="3848" width="13.42578125" style="381" customWidth="1"/>
    <col min="3849" max="3849" width="9.140625" style="381"/>
    <col min="3850" max="3850" width="13.140625" style="381" customWidth="1"/>
    <col min="3851" max="3853" width="9.140625" style="381"/>
    <col min="3854" max="3854" width="20.7109375" style="381" customWidth="1"/>
    <col min="3855" max="4103" width="9.140625" style="381"/>
    <col min="4104" max="4104" width="13.42578125" style="381" customWidth="1"/>
    <col min="4105" max="4105" width="9.140625" style="381"/>
    <col min="4106" max="4106" width="13.140625" style="381" customWidth="1"/>
    <col min="4107" max="4109" width="9.140625" style="381"/>
    <col min="4110" max="4110" width="20.7109375" style="381" customWidth="1"/>
    <col min="4111" max="4359" width="9.140625" style="381"/>
    <col min="4360" max="4360" width="13.42578125" style="381" customWidth="1"/>
    <col min="4361" max="4361" width="9.140625" style="381"/>
    <col min="4362" max="4362" width="13.140625" style="381" customWidth="1"/>
    <col min="4363" max="4365" width="9.140625" style="381"/>
    <col min="4366" max="4366" width="20.7109375" style="381" customWidth="1"/>
    <col min="4367" max="4615" width="9.140625" style="381"/>
    <col min="4616" max="4616" width="13.42578125" style="381" customWidth="1"/>
    <col min="4617" max="4617" width="9.140625" style="381"/>
    <col min="4618" max="4618" width="13.140625" style="381" customWidth="1"/>
    <col min="4619" max="4621" width="9.140625" style="381"/>
    <col min="4622" max="4622" width="20.7109375" style="381" customWidth="1"/>
    <col min="4623" max="4871" width="9.140625" style="381"/>
    <col min="4872" max="4872" width="13.42578125" style="381" customWidth="1"/>
    <col min="4873" max="4873" width="9.140625" style="381"/>
    <col min="4874" max="4874" width="13.140625" style="381" customWidth="1"/>
    <col min="4875" max="4877" width="9.140625" style="381"/>
    <col min="4878" max="4878" width="20.7109375" style="381" customWidth="1"/>
    <col min="4879" max="5127" width="9.140625" style="381"/>
    <col min="5128" max="5128" width="13.42578125" style="381" customWidth="1"/>
    <col min="5129" max="5129" width="9.140625" style="381"/>
    <col min="5130" max="5130" width="13.140625" style="381" customWidth="1"/>
    <col min="5131" max="5133" width="9.140625" style="381"/>
    <col min="5134" max="5134" width="20.7109375" style="381" customWidth="1"/>
    <col min="5135" max="5383" width="9.140625" style="381"/>
    <col min="5384" max="5384" width="13.42578125" style="381" customWidth="1"/>
    <col min="5385" max="5385" width="9.140625" style="381"/>
    <col min="5386" max="5386" width="13.140625" style="381" customWidth="1"/>
    <col min="5387" max="5389" width="9.140625" style="381"/>
    <col min="5390" max="5390" width="20.7109375" style="381" customWidth="1"/>
    <col min="5391" max="5639" width="9.140625" style="381"/>
    <col min="5640" max="5640" width="13.42578125" style="381" customWidth="1"/>
    <col min="5641" max="5641" width="9.140625" style="381"/>
    <col min="5642" max="5642" width="13.140625" style="381" customWidth="1"/>
    <col min="5643" max="5645" width="9.140625" style="381"/>
    <col min="5646" max="5646" width="20.7109375" style="381" customWidth="1"/>
    <col min="5647" max="5895" width="9.140625" style="381"/>
    <col min="5896" max="5896" width="13.42578125" style="381" customWidth="1"/>
    <col min="5897" max="5897" width="9.140625" style="381"/>
    <col min="5898" max="5898" width="13.140625" style="381" customWidth="1"/>
    <col min="5899" max="5901" width="9.140625" style="381"/>
    <col min="5902" max="5902" width="20.7109375" style="381" customWidth="1"/>
    <col min="5903" max="6151" width="9.140625" style="381"/>
    <col min="6152" max="6152" width="13.42578125" style="381" customWidth="1"/>
    <col min="6153" max="6153" width="9.140625" style="381"/>
    <col min="6154" max="6154" width="13.140625" style="381" customWidth="1"/>
    <col min="6155" max="6157" width="9.140625" style="381"/>
    <col min="6158" max="6158" width="20.7109375" style="381" customWidth="1"/>
    <col min="6159" max="6407" width="9.140625" style="381"/>
    <col min="6408" max="6408" width="13.42578125" style="381" customWidth="1"/>
    <col min="6409" max="6409" width="9.140625" style="381"/>
    <col min="6410" max="6410" width="13.140625" style="381" customWidth="1"/>
    <col min="6411" max="6413" width="9.140625" style="381"/>
    <col min="6414" max="6414" width="20.7109375" style="381" customWidth="1"/>
    <col min="6415" max="6663" width="9.140625" style="381"/>
    <col min="6664" max="6664" width="13.42578125" style="381" customWidth="1"/>
    <col min="6665" max="6665" width="9.140625" style="381"/>
    <col min="6666" max="6666" width="13.140625" style="381" customWidth="1"/>
    <col min="6667" max="6669" width="9.140625" style="381"/>
    <col min="6670" max="6670" width="20.7109375" style="381" customWidth="1"/>
    <col min="6671" max="6919" width="9.140625" style="381"/>
    <col min="6920" max="6920" width="13.42578125" style="381" customWidth="1"/>
    <col min="6921" max="6921" width="9.140625" style="381"/>
    <col min="6922" max="6922" width="13.140625" style="381" customWidth="1"/>
    <col min="6923" max="6925" width="9.140625" style="381"/>
    <col min="6926" max="6926" width="20.7109375" style="381" customWidth="1"/>
    <col min="6927" max="7175" width="9.140625" style="381"/>
    <col min="7176" max="7176" width="13.42578125" style="381" customWidth="1"/>
    <col min="7177" max="7177" width="9.140625" style="381"/>
    <col min="7178" max="7178" width="13.140625" style="381" customWidth="1"/>
    <col min="7179" max="7181" width="9.140625" style="381"/>
    <col min="7182" max="7182" width="20.7109375" style="381" customWidth="1"/>
    <col min="7183" max="7431" width="9.140625" style="381"/>
    <col min="7432" max="7432" width="13.42578125" style="381" customWidth="1"/>
    <col min="7433" max="7433" width="9.140625" style="381"/>
    <col min="7434" max="7434" width="13.140625" style="381" customWidth="1"/>
    <col min="7435" max="7437" width="9.140625" style="381"/>
    <col min="7438" max="7438" width="20.7109375" style="381" customWidth="1"/>
    <col min="7439" max="7687" width="9.140625" style="381"/>
    <col min="7688" max="7688" width="13.42578125" style="381" customWidth="1"/>
    <col min="7689" max="7689" width="9.140625" style="381"/>
    <col min="7690" max="7690" width="13.140625" style="381" customWidth="1"/>
    <col min="7691" max="7693" width="9.140625" style="381"/>
    <col min="7694" max="7694" width="20.7109375" style="381" customWidth="1"/>
    <col min="7695" max="7943" width="9.140625" style="381"/>
    <col min="7944" max="7944" width="13.42578125" style="381" customWidth="1"/>
    <col min="7945" max="7945" width="9.140625" style="381"/>
    <col min="7946" max="7946" width="13.140625" style="381" customWidth="1"/>
    <col min="7947" max="7949" width="9.140625" style="381"/>
    <col min="7950" max="7950" width="20.7109375" style="381" customWidth="1"/>
    <col min="7951" max="8199" width="9.140625" style="381"/>
    <col min="8200" max="8200" width="13.42578125" style="381" customWidth="1"/>
    <col min="8201" max="8201" width="9.140625" style="381"/>
    <col min="8202" max="8202" width="13.140625" style="381" customWidth="1"/>
    <col min="8203" max="8205" width="9.140625" style="381"/>
    <col min="8206" max="8206" width="20.7109375" style="381" customWidth="1"/>
    <col min="8207" max="8455" width="9.140625" style="381"/>
    <col min="8456" max="8456" width="13.42578125" style="381" customWidth="1"/>
    <col min="8457" max="8457" width="9.140625" style="381"/>
    <col min="8458" max="8458" width="13.140625" style="381" customWidth="1"/>
    <col min="8459" max="8461" width="9.140625" style="381"/>
    <col min="8462" max="8462" width="20.7109375" style="381" customWidth="1"/>
    <col min="8463" max="8711" width="9.140625" style="381"/>
    <col min="8712" max="8712" width="13.42578125" style="381" customWidth="1"/>
    <col min="8713" max="8713" width="9.140625" style="381"/>
    <col min="8714" max="8714" width="13.140625" style="381" customWidth="1"/>
    <col min="8715" max="8717" width="9.140625" style="381"/>
    <col min="8718" max="8718" width="20.7109375" style="381" customWidth="1"/>
    <col min="8719" max="8967" width="9.140625" style="381"/>
    <col min="8968" max="8968" width="13.42578125" style="381" customWidth="1"/>
    <col min="8969" max="8969" width="9.140625" style="381"/>
    <col min="8970" max="8970" width="13.140625" style="381" customWidth="1"/>
    <col min="8971" max="8973" width="9.140625" style="381"/>
    <col min="8974" max="8974" width="20.7109375" style="381" customWidth="1"/>
    <col min="8975" max="9223" width="9.140625" style="381"/>
    <col min="9224" max="9224" width="13.42578125" style="381" customWidth="1"/>
    <col min="9225" max="9225" width="9.140625" style="381"/>
    <col min="9226" max="9226" width="13.140625" style="381" customWidth="1"/>
    <col min="9227" max="9229" width="9.140625" style="381"/>
    <col min="9230" max="9230" width="20.7109375" style="381" customWidth="1"/>
    <col min="9231" max="9479" width="9.140625" style="381"/>
    <col min="9480" max="9480" width="13.42578125" style="381" customWidth="1"/>
    <col min="9481" max="9481" width="9.140625" style="381"/>
    <col min="9482" max="9482" width="13.140625" style="381" customWidth="1"/>
    <col min="9483" max="9485" width="9.140625" style="381"/>
    <col min="9486" max="9486" width="20.7109375" style="381" customWidth="1"/>
    <col min="9487" max="9735" width="9.140625" style="381"/>
    <col min="9736" max="9736" width="13.42578125" style="381" customWidth="1"/>
    <col min="9737" max="9737" width="9.140625" style="381"/>
    <col min="9738" max="9738" width="13.140625" style="381" customWidth="1"/>
    <col min="9739" max="9741" width="9.140625" style="381"/>
    <col min="9742" max="9742" width="20.7109375" style="381" customWidth="1"/>
    <col min="9743" max="9991" width="9.140625" style="381"/>
    <col min="9992" max="9992" width="13.42578125" style="381" customWidth="1"/>
    <col min="9993" max="9993" width="9.140625" style="381"/>
    <col min="9994" max="9994" width="13.140625" style="381" customWidth="1"/>
    <col min="9995" max="9997" width="9.140625" style="381"/>
    <col min="9998" max="9998" width="20.7109375" style="381" customWidth="1"/>
    <col min="9999" max="10247" width="9.140625" style="381"/>
    <col min="10248" max="10248" width="13.42578125" style="381" customWidth="1"/>
    <col min="10249" max="10249" width="9.140625" style="381"/>
    <col min="10250" max="10250" width="13.140625" style="381" customWidth="1"/>
    <col min="10251" max="10253" width="9.140625" style="381"/>
    <col min="10254" max="10254" width="20.7109375" style="381" customWidth="1"/>
    <col min="10255" max="10503" width="9.140625" style="381"/>
    <col min="10504" max="10504" width="13.42578125" style="381" customWidth="1"/>
    <col min="10505" max="10505" width="9.140625" style="381"/>
    <col min="10506" max="10506" width="13.140625" style="381" customWidth="1"/>
    <col min="10507" max="10509" width="9.140625" style="381"/>
    <col min="10510" max="10510" width="20.7109375" style="381" customWidth="1"/>
    <col min="10511" max="10759" width="9.140625" style="381"/>
    <col min="10760" max="10760" width="13.42578125" style="381" customWidth="1"/>
    <col min="10761" max="10761" width="9.140625" style="381"/>
    <col min="10762" max="10762" width="13.140625" style="381" customWidth="1"/>
    <col min="10763" max="10765" width="9.140625" style="381"/>
    <col min="10766" max="10766" width="20.7109375" style="381" customWidth="1"/>
    <col min="10767" max="11015" width="9.140625" style="381"/>
    <col min="11016" max="11016" width="13.42578125" style="381" customWidth="1"/>
    <col min="11017" max="11017" width="9.140625" style="381"/>
    <col min="11018" max="11018" width="13.140625" style="381" customWidth="1"/>
    <col min="11019" max="11021" width="9.140625" style="381"/>
    <col min="11022" max="11022" width="20.7109375" style="381" customWidth="1"/>
    <col min="11023" max="11271" width="9.140625" style="381"/>
    <col min="11272" max="11272" width="13.42578125" style="381" customWidth="1"/>
    <col min="11273" max="11273" width="9.140625" style="381"/>
    <col min="11274" max="11274" width="13.140625" style="381" customWidth="1"/>
    <col min="11275" max="11277" width="9.140625" style="381"/>
    <col min="11278" max="11278" width="20.7109375" style="381" customWidth="1"/>
    <col min="11279" max="11527" width="9.140625" style="381"/>
    <col min="11528" max="11528" width="13.42578125" style="381" customWidth="1"/>
    <col min="11529" max="11529" width="9.140625" style="381"/>
    <col min="11530" max="11530" width="13.140625" style="381" customWidth="1"/>
    <col min="11531" max="11533" width="9.140625" style="381"/>
    <col min="11534" max="11534" width="20.7109375" style="381" customWidth="1"/>
    <col min="11535" max="11783" width="9.140625" style="381"/>
    <col min="11784" max="11784" width="13.42578125" style="381" customWidth="1"/>
    <col min="11785" max="11785" width="9.140625" style="381"/>
    <col min="11786" max="11786" width="13.140625" style="381" customWidth="1"/>
    <col min="11787" max="11789" width="9.140625" style="381"/>
    <col min="11790" max="11790" width="20.7109375" style="381" customWidth="1"/>
    <col min="11791" max="12039" width="9.140625" style="381"/>
    <col min="12040" max="12040" width="13.42578125" style="381" customWidth="1"/>
    <col min="12041" max="12041" width="9.140625" style="381"/>
    <col min="12042" max="12042" width="13.140625" style="381" customWidth="1"/>
    <col min="12043" max="12045" width="9.140625" style="381"/>
    <col min="12046" max="12046" width="20.7109375" style="381" customWidth="1"/>
    <col min="12047" max="12295" width="9.140625" style="381"/>
    <col min="12296" max="12296" width="13.42578125" style="381" customWidth="1"/>
    <col min="12297" max="12297" width="9.140625" style="381"/>
    <col min="12298" max="12298" width="13.140625" style="381" customWidth="1"/>
    <col min="12299" max="12301" width="9.140625" style="381"/>
    <col min="12302" max="12302" width="20.7109375" style="381" customWidth="1"/>
    <col min="12303" max="12551" width="9.140625" style="381"/>
    <col min="12552" max="12552" width="13.42578125" style="381" customWidth="1"/>
    <col min="12553" max="12553" width="9.140625" style="381"/>
    <col min="12554" max="12554" width="13.140625" style="381" customWidth="1"/>
    <col min="12555" max="12557" width="9.140625" style="381"/>
    <col min="12558" max="12558" width="20.7109375" style="381" customWidth="1"/>
    <col min="12559" max="12807" width="9.140625" style="381"/>
    <col min="12808" max="12808" width="13.42578125" style="381" customWidth="1"/>
    <col min="12809" max="12809" width="9.140625" style="381"/>
    <col min="12810" max="12810" width="13.140625" style="381" customWidth="1"/>
    <col min="12811" max="12813" width="9.140625" style="381"/>
    <col min="12814" max="12814" width="20.7109375" style="381" customWidth="1"/>
    <col min="12815" max="13063" width="9.140625" style="381"/>
    <col min="13064" max="13064" width="13.42578125" style="381" customWidth="1"/>
    <col min="13065" max="13065" width="9.140625" style="381"/>
    <col min="13066" max="13066" width="13.140625" style="381" customWidth="1"/>
    <col min="13067" max="13069" width="9.140625" style="381"/>
    <col min="13070" max="13070" width="20.7109375" style="381" customWidth="1"/>
    <col min="13071" max="13319" width="9.140625" style="381"/>
    <col min="13320" max="13320" width="13.42578125" style="381" customWidth="1"/>
    <col min="13321" max="13321" width="9.140625" style="381"/>
    <col min="13322" max="13322" width="13.140625" style="381" customWidth="1"/>
    <col min="13323" max="13325" width="9.140625" style="381"/>
    <col min="13326" max="13326" width="20.7109375" style="381" customWidth="1"/>
    <col min="13327" max="13575" width="9.140625" style="381"/>
    <col min="13576" max="13576" width="13.42578125" style="381" customWidth="1"/>
    <col min="13577" max="13577" width="9.140625" style="381"/>
    <col min="13578" max="13578" width="13.140625" style="381" customWidth="1"/>
    <col min="13579" max="13581" width="9.140625" style="381"/>
    <col min="13582" max="13582" width="20.7109375" style="381" customWidth="1"/>
    <col min="13583" max="13831" width="9.140625" style="381"/>
    <col min="13832" max="13832" width="13.42578125" style="381" customWidth="1"/>
    <col min="13833" max="13833" width="9.140625" style="381"/>
    <col min="13834" max="13834" width="13.140625" style="381" customWidth="1"/>
    <col min="13835" max="13837" width="9.140625" style="381"/>
    <col min="13838" max="13838" width="20.7109375" style="381" customWidth="1"/>
    <col min="13839" max="14087" width="9.140625" style="381"/>
    <col min="14088" max="14088" width="13.42578125" style="381" customWidth="1"/>
    <col min="14089" max="14089" width="9.140625" style="381"/>
    <col min="14090" max="14090" width="13.140625" style="381" customWidth="1"/>
    <col min="14091" max="14093" width="9.140625" style="381"/>
    <col min="14094" max="14094" width="20.7109375" style="381" customWidth="1"/>
    <col min="14095" max="14343" width="9.140625" style="381"/>
    <col min="14344" max="14344" width="13.42578125" style="381" customWidth="1"/>
    <col min="14345" max="14345" width="9.140625" style="381"/>
    <col min="14346" max="14346" width="13.140625" style="381" customWidth="1"/>
    <col min="14347" max="14349" width="9.140625" style="381"/>
    <col min="14350" max="14350" width="20.7109375" style="381" customWidth="1"/>
    <col min="14351" max="14599" width="9.140625" style="381"/>
    <col min="14600" max="14600" width="13.42578125" style="381" customWidth="1"/>
    <col min="14601" max="14601" width="9.140625" style="381"/>
    <col min="14602" max="14602" width="13.140625" style="381" customWidth="1"/>
    <col min="14603" max="14605" width="9.140625" style="381"/>
    <col min="14606" max="14606" width="20.7109375" style="381" customWidth="1"/>
    <col min="14607" max="14855" width="9.140625" style="381"/>
    <col min="14856" max="14856" width="13.42578125" style="381" customWidth="1"/>
    <col min="14857" max="14857" width="9.140625" style="381"/>
    <col min="14858" max="14858" width="13.140625" style="381" customWidth="1"/>
    <col min="14859" max="14861" width="9.140625" style="381"/>
    <col min="14862" max="14862" width="20.7109375" style="381" customWidth="1"/>
    <col min="14863" max="15111" width="9.140625" style="381"/>
    <col min="15112" max="15112" width="13.42578125" style="381" customWidth="1"/>
    <col min="15113" max="15113" width="9.140625" style="381"/>
    <col min="15114" max="15114" width="13.140625" style="381" customWidth="1"/>
    <col min="15115" max="15117" width="9.140625" style="381"/>
    <col min="15118" max="15118" width="20.7109375" style="381" customWidth="1"/>
    <col min="15119" max="15367" width="9.140625" style="381"/>
    <col min="15368" max="15368" width="13.42578125" style="381" customWidth="1"/>
    <col min="15369" max="15369" width="9.140625" style="381"/>
    <col min="15370" max="15370" width="13.140625" style="381" customWidth="1"/>
    <col min="15371" max="15373" width="9.140625" style="381"/>
    <col min="15374" max="15374" width="20.7109375" style="381" customWidth="1"/>
    <col min="15375" max="15623" width="9.140625" style="381"/>
    <col min="15624" max="15624" width="13.42578125" style="381" customWidth="1"/>
    <col min="15625" max="15625" width="9.140625" style="381"/>
    <col min="15626" max="15626" width="13.140625" style="381" customWidth="1"/>
    <col min="15627" max="15629" width="9.140625" style="381"/>
    <col min="15630" max="15630" width="20.7109375" style="381" customWidth="1"/>
    <col min="15631" max="15879" width="9.140625" style="381"/>
    <col min="15880" max="15880" width="13.42578125" style="381" customWidth="1"/>
    <col min="15881" max="15881" width="9.140625" style="381"/>
    <col min="15882" max="15882" width="13.140625" style="381" customWidth="1"/>
    <col min="15883" max="15885" width="9.140625" style="381"/>
    <col min="15886" max="15886" width="20.7109375" style="381" customWidth="1"/>
    <col min="15887" max="16135" width="9.140625" style="381"/>
    <col min="16136" max="16136" width="13.42578125" style="381" customWidth="1"/>
    <col min="16137" max="16137" width="9.140625" style="381"/>
    <col min="16138" max="16138" width="13.140625" style="381" customWidth="1"/>
    <col min="16139" max="16141" width="9.140625" style="381"/>
    <col min="16142" max="16142" width="20.7109375" style="381" customWidth="1"/>
    <col min="16143" max="16384" width="9.140625" style="381"/>
  </cols>
  <sheetData>
    <row r="4" spans="1:14" ht="26.25" customHeight="1" x14ac:dyDescent="0.35">
      <c r="N4" s="382"/>
    </row>
    <row r="5" spans="1:14" ht="26.25" customHeight="1" x14ac:dyDescent="0.35">
      <c r="N5" s="383"/>
    </row>
    <row r="11" spans="1:14" s="380" customFormat="1" ht="29.25" customHeight="1" x14ac:dyDescent="0.4">
      <c r="A11" s="1349" t="s">
        <v>1053</v>
      </c>
      <c r="B11" s="1349"/>
      <c r="C11" s="1349"/>
      <c r="D11" s="1349"/>
      <c r="E11" s="1349"/>
      <c r="F11" s="1349"/>
      <c r="G11" s="1349"/>
      <c r="H11" s="1349"/>
      <c r="I11" s="1349"/>
      <c r="J11" s="327"/>
      <c r="N11" s="384"/>
    </row>
    <row r="12" spans="1:14" s="380" customFormat="1" ht="29.25" customHeight="1" x14ac:dyDescent="0.4">
      <c r="A12" s="1349" t="s">
        <v>717</v>
      </c>
      <c r="B12" s="1349"/>
      <c r="C12" s="1349"/>
      <c r="D12" s="1349"/>
      <c r="E12" s="1349"/>
      <c r="F12" s="1349"/>
      <c r="G12" s="1349"/>
      <c r="H12" s="1349"/>
      <c r="I12" s="1349"/>
      <c r="J12" s="327"/>
      <c r="N12" s="384"/>
    </row>
    <row r="903" spans="14:14" ht="26.25" customHeight="1" x14ac:dyDescent="0.35">
      <c r="N903" s="381"/>
    </row>
    <row r="984" spans="14:14" ht="26.25" customHeight="1" x14ac:dyDescent="0.35">
      <c r="N984" s="226"/>
    </row>
  </sheetData>
  <mergeCells count="2">
    <mergeCell ref="A11:I11"/>
    <mergeCell ref="A12:I12"/>
  </mergeCells>
  <printOptions horizontalCentered="1"/>
  <pageMargins left="0.86614173228346458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73"/>
  <sheetViews>
    <sheetView view="pageBreakPreview" topLeftCell="A215" zoomScale="70" zoomScaleNormal="100" zoomScaleSheetLayoutView="70" workbookViewId="0">
      <selection activeCell="D3" sqref="A3:D4"/>
    </sheetView>
  </sheetViews>
  <sheetFormatPr defaultRowHeight="21" x14ac:dyDescent="0.2"/>
  <cols>
    <col min="1" max="1" width="51.85546875" style="387" customWidth="1"/>
    <col min="2" max="3" width="16.85546875" style="387" bestFit="1" customWidth="1"/>
    <col min="4" max="4" width="15" style="387" bestFit="1" customWidth="1"/>
    <col min="5" max="5" width="14.7109375" style="387" bestFit="1" customWidth="1"/>
    <col min="6" max="6" width="14.42578125" style="387" bestFit="1" customWidth="1"/>
    <col min="7" max="7" width="16.85546875" style="387" bestFit="1" customWidth="1"/>
    <col min="8" max="8" width="21.28515625" style="387" customWidth="1"/>
    <col min="9" max="256" width="9.140625" style="387"/>
    <col min="257" max="257" width="51.85546875" style="387" customWidth="1"/>
    <col min="258" max="259" width="15.7109375" style="387" bestFit="1" customWidth="1"/>
    <col min="260" max="260" width="14" style="387" bestFit="1" customWidth="1"/>
    <col min="261" max="261" width="14.7109375" style="387" bestFit="1" customWidth="1"/>
    <col min="262" max="262" width="14.42578125" style="387" bestFit="1" customWidth="1"/>
    <col min="263" max="263" width="15.7109375" style="387" bestFit="1" customWidth="1"/>
    <col min="264" max="264" width="21.28515625" style="387" customWidth="1"/>
    <col min="265" max="512" width="9.140625" style="387"/>
    <col min="513" max="513" width="51.85546875" style="387" customWidth="1"/>
    <col min="514" max="515" width="15.7109375" style="387" bestFit="1" customWidth="1"/>
    <col min="516" max="516" width="14" style="387" bestFit="1" customWidth="1"/>
    <col min="517" max="517" width="14.7109375" style="387" bestFit="1" customWidth="1"/>
    <col min="518" max="518" width="14.42578125" style="387" bestFit="1" customWidth="1"/>
    <col min="519" max="519" width="15.7109375" style="387" bestFit="1" customWidth="1"/>
    <col min="520" max="520" width="21.28515625" style="387" customWidth="1"/>
    <col min="521" max="768" width="9.140625" style="387"/>
    <col min="769" max="769" width="51.85546875" style="387" customWidth="1"/>
    <col min="770" max="771" width="15.7109375" style="387" bestFit="1" customWidth="1"/>
    <col min="772" max="772" width="14" style="387" bestFit="1" customWidth="1"/>
    <col min="773" max="773" width="14.7109375" style="387" bestFit="1" customWidth="1"/>
    <col min="774" max="774" width="14.42578125" style="387" bestFit="1" customWidth="1"/>
    <col min="775" max="775" width="15.7109375" style="387" bestFit="1" customWidth="1"/>
    <col min="776" max="776" width="21.28515625" style="387" customWidth="1"/>
    <col min="777" max="1024" width="9.140625" style="387"/>
    <col min="1025" max="1025" width="51.85546875" style="387" customWidth="1"/>
    <col min="1026" max="1027" width="15.7109375" style="387" bestFit="1" customWidth="1"/>
    <col min="1028" max="1028" width="14" style="387" bestFit="1" customWidth="1"/>
    <col min="1029" max="1029" width="14.7109375" style="387" bestFit="1" customWidth="1"/>
    <col min="1030" max="1030" width="14.42578125" style="387" bestFit="1" customWidth="1"/>
    <col min="1031" max="1031" width="15.7109375" style="387" bestFit="1" customWidth="1"/>
    <col min="1032" max="1032" width="21.28515625" style="387" customWidth="1"/>
    <col min="1033" max="1280" width="9.140625" style="387"/>
    <col min="1281" max="1281" width="51.85546875" style="387" customWidth="1"/>
    <col min="1282" max="1283" width="15.7109375" style="387" bestFit="1" customWidth="1"/>
    <col min="1284" max="1284" width="14" style="387" bestFit="1" customWidth="1"/>
    <col min="1285" max="1285" width="14.7109375" style="387" bestFit="1" customWidth="1"/>
    <col min="1286" max="1286" width="14.42578125" style="387" bestFit="1" customWidth="1"/>
    <col min="1287" max="1287" width="15.7109375" style="387" bestFit="1" customWidth="1"/>
    <col min="1288" max="1288" width="21.28515625" style="387" customWidth="1"/>
    <col min="1289" max="1536" width="9.140625" style="387"/>
    <col min="1537" max="1537" width="51.85546875" style="387" customWidth="1"/>
    <col min="1538" max="1539" width="15.7109375" style="387" bestFit="1" customWidth="1"/>
    <col min="1540" max="1540" width="14" style="387" bestFit="1" customWidth="1"/>
    <col min="1541" max="1541" width="14.7109375" style="387" bestFit="1" customWidth="1"/>
    <col min="1542" max="1542" width="14.42578125" style="387" bestFit="1" customWidth="1"/>
    <col min="1543" max="1543" width="15.7109375" style="387" bestFit="1" customWidth="1"/>
    <col min="1544" max="1544" width="21.28515625" style="387" customWidth="1"/>
    <col min="1545" max="1792" width="9.140625" style="387"/>
    <col min="1793" max="1793" width="51.85546875" style="387" customWidth="1"/>
    <col min="1794" max="1795" width="15.7109375" style="387" bestFit="1" customWidth="1"/>
    <col min="1796" max="1796" width="14" style="387" bestFit="1" customWidth="1"/>
    <col min="1797" max="1797" width="14.7109375" style="387" bestFit="1" customWidth="1"/>
    <col min="1798" max="1798" width="14.42578125" style="387" bestFit="1" customWidth="1"/>
    <col min="1799" max="1799" width="15.7109375" style="387" bestFit="1" customWidth="1"/>
    <col min="1800" max="1800" width="21.28515625" style="387" customWidth="1"/>
    <col min="1801" max="2048" width="9.140625" style="387"/>
    <col min="2049" max="2049" width="51.85546875" style="387" customWidth="1"/>
    <col min="2050" max="2051" width="15.7109375" style="387" bestFit="1" customWidth="1"/>
    <col min="2052" max="2052" width="14" style="387" bestFit="1" customWidth="1"/>
    <col min="2053" max="2053" width="14.7109375" style="387" bestFit="1" customWidth="1"/>
    <col min="2054" max="2054" width="14.42578125" style="387" bestFit="1" customWidth="1"/>
    <col min="2055" max="2055" width="15.7109375" style="387" bestFit="1" customWidth="1"/>
    <col min="2056" max="2056" width="21.28515625" style="387" customWidth="1"/>
    <col min="2057" max="2304" width="9.140625" style="387"/>
    <col min="2305" max="2305" width="51.85546875" style="387" customWidth="1"/>
    <col min="2306" max="2307" width="15.7109375" style="387" bestFit="1" customWidth="1"/>
    <col min="2308" max="2308" width="14" style="387" bestFit="1" customWidth="1"/>
    <col min="2309" max="2309" width="14.7109375" style="387" bestFit="1" customWidth="1"/>
    <col min="2310" max="2310" width="14.42578125" style="387" bestFit="1" customWidth="1"/>
    <col min="2311" max="2311" width="15.7109375" style="387" bestFit="1" customWidth="1"/>
    <col min="2312" max="2312" width="21.28515625" style="387" customWidth="1"/>
    <col min="2313" max="2560" width="9.140625" style="387"/>
    <col min="2561" max="2561" width="51.85546875" style="387" customWidth="1"/>
    <col min="2562" max="2563" width="15.7109375" style="387" bestFit="1" customWidth="1"/>
    <col min="2564" max="2564" width="14" style="387" bestFit="1" customWidth="1"/>
    <col min="2565" max="2565" width="14.7109375" style="387" bestFit="1" customWidth="1"/>
    <col min="2566" max="2566" width="14.42578125" style="387" bestFit="1" customWidth="1"/>
    <col min="2567" max="2567" width="15.7109375" style="387" bestFit="1" customWidth="1"/>
    <col min="2568" max="2568" width="21.28515625" style="387" customWidth="1"/>
    <col min="2569" max="2816" width="9.140625" style="387"/>
    <col min="2817" max="2817" width="51.85546875" style="387" customWidth="1"/>
    <col min="2818" max="2819" width="15.7109375" style="387" bestFit="1" customWidth="1"/>
    <col min="2820" max="2820" width="14" style="387" bestFit="1" customWidth="1"/>
    <col min="2821" max="2821" width="14.7109375" style="387" bestFit="1" customWidth="1"/>
    <col min="2822" max="2822" width="14.42578125" style="387" bestFit="1" customWidth="1"/>
    <col min="2823" max="2823" width="15.7109375" style="387" bestFit="1" customWidth="1"/>
    <col min="2824" max="2824" width="21.28515625" style="387" customWidth="1"/>
    <col min="2825" max="3072" width="9.140625" style="387"/>
    <col min="3073" max="3073" width="51.85546875" style="387" customWidth="1"/>
    <col min="3074" max="3075" width="15.7109375" style="387" bestFit="1" customWidth="1"/>
    <col min="3076" max="3076" width="14" style="387" bestFit="1" customWidth="1"/>
    <col min="3077" max="3077" width="14.7109375" style="387" bestFit="1" customWidth="1"/>
    <col min="3078" max="3078" width="14.42578125" style="387" bestFit="1" customWidth="1"/>
    <col min="3079" max="3079" width="15.7109375" style="387" bestFit="1" customWidth="1"/>
    <col min="3080" max="3080" width="21.28515625" style="387" customWidth="1"/>
    <col min="3081" max="3328" width="9.140625" style="387"/>
    <col min="3329" max="3329" width="51.85546875" style="387" customWidth="1"/>
    <col min="3330" max="3331" width="15.7109375" style="387" bestFit="1" customWidth="1"/>
    <col min="3332" max="3332" width="14" style="387" bestFit="1" customWidth="1"/>
    <col min="3333" max="3333" width="14.7109375" style="387" bestFit="1" customWidth="1"/>
    <col min="3334" max="3334" width="14.42578125" style="387" bestFit="1" customWidth="1"/>
    <col min="3335" max="3335" width="15.7109375" style="387" bestFit="1" customWidth="1"/>
    <col min="3336" max="3336" width="21.28515625" style="387" customWidth="1"/>
    <col min="3337" max="3584" width="9.140625" style="387"/>
    <col min="3585" max="3585" width="51.85546875" style="387" customWidth="1"/>
    <col min="3586" max="3587" width="15.7109375" style="387" bestFit="1" customWidth="1"/>
    <col min="3588" max="3588" width="14" style="387" bestFit="1" customWidth="1"/>
    <col min="3589" max="3589" width="14.7109375" style="387" bestFit="1" customWidth="1"/>
    <col min="3590" max="3590" width="14.42578125" style="387" bestFit="1" customWidth="1"/>
    <col min="3591" max="3591" width="15.7109375" style="387" bestFit="1" customWidth="1"/>
    <col min="3592" max="3592" width="21.28515625" style="387" customWidth="1"/>
    <col min="3593" max="3840" width="9.140625" style="387"/>
    <col min="3841" max="3841" width="51.85546875" style="387" customWidth="1"/>
    <col min="3842" max="3843" width="15.7109375" style="387" bestFit="1" customWidth="1"/>
    <col min="3844" max="3844" width="14" style="387" bestFit="1" customWidth="1"/>
    <col min="3845" max="3845" width="14.7109375" style="387" bestFit="1" customWidth="1"/>
    <col min="3846" max="3846" width="14.42578125" style="387" bestFit="1" customWidth="1"/>
    <col min="3847" max="3847" width="15.7109375" style="387" bestFit="1" customWidth="1"/>
    <col min="3848" max="3848" width="21.28515625" style="387" customWidth="1"/>
    <col min="3849" max="4096" width="9.140625" style="387"/>
    <col min="4097" max="4097" width="51.85546875" style="387" customWidth="1"/>
    <col min="4098" max="4099" width="15.7109375" style="387" bestFit="1" customWidth="1"/>
    <col min="4100" max="4100" width="14" style="387" bestFit="1" customWidth="1"/>
    <col min="4101" max="4101" width="14.7109375" style="387" bestFit="1" customWidth="1"/>
    <col min="4102" max="4102" width="14.42578125" style="387" bestFit="1" customWidth="1"/>
    <col min="4103" max="4103" width="15.7109375" style="387" bestFit="1" customWidth="1"/>
    <col min="4104" max="4104" width="21.28515625" style="387" customWidth="1"/>
    <col min="4105" max="4352" width="9.140625" style="387"/>
    <col min="4353" max="4353" width="51.85546875" style="387" customWidth="1"/>
    <col min="4354" max="4355" width="15.7109375" style="387" bestFit="1" customWidth="1"/>
    <col min="4356" max="4356" width="14" style="387" bestFit="1" customWidth="1"/>
    <col min="4357" max="4357" width="14.7109375" style="387" bestFit="1" customWidth="1"/>
    <col min="4358" max="4358" width="14.42578125" style="387" bestFit="1" customWidth="1"/>
    <col min="4359" max="4359" width="15.7109375" style="387" bestFit="1" customWidth="1"/>
    <col min="4360" max="4360" width="21.28515625" style="387" customWidth="1"/>
    <col min="4361" max="4608" width="9.140625" style="387"/>
    <col min="4609" max="4609" width="51.85546875" style="387" customWidth="1"/>
    <col min="4610" max="4611" width="15.7109375" style="387" bestFit="1" customWidth="1"/>
    <col min="4612" max="4612" width="14" style="387" bestFit="1" customWidth="1"/>
    <col min="4613" max="4613" width="14.7109375" style="387" bestFit="1" customWidth="1"/>
    <col min="4614" max="4614" width="14.42578125" style="387" bestFit="1" customWidth="1"/>
    <col min="4615" max="4615" width="15.7109375" style="387" bestFit="1" customWidth="1"/>
    <col min="4616" max="4616" width="21.28515625" style="387" customWidth="1"/>
    <col min="4617" max="4864" width="9.140625" style="387"/>
    <col min="4865" max="4865" width="51.85546875" style="387" customWidth="1"/>
    <col min="4866" max="4867" width="15.7109375" style="387" bestFit="1" customWidth="1"/>
    <col min="4868" max="4868" width="14" style="387" bestFit="1" customWidth="1"/>
    <col min="4869" max="4869" width="14.7109375" style="387" bestFit="1" customWidth="1"/>
    <col min="4870" max="4870" width="14.42578125" style="387" bestFit="1" customWidth="1"/>
    <col min="4871" max="4871" width="15.7109375" style="387" bestFit="1" customWidth="1"/>
    <col min="4872" max="4872" width="21.28515625" style="387" customWidth="1"/>
    <col min="4873" max="5120" width="9.140625" style="387"/>
    <col min="5121" max="5121" width="51.85546875" style="387" customWidth="1"/>
    <col min="5122" max="5123" width="15.7109375" style="387" bestFit="1" customWidth="1"/>
    <col min="5124" max="5124" width="14" style="387" bestFit="1" customWidth="1"/>
    <col min="5125" max="5125" width="14.7109375" style="387" bestFit="1" customWidth="1"/>
    <col min="5126" max="5126" width="14.42578125" style="387" bestFit="1" customWidth="1"/>
    <col min="5127" max="5127" width="15.7109375" style="387" bestFit="1" customWidth="1"/>
    <col min="5128" max="5128" width="21.28515625" style="387" customWidth="1"/>
    <col min="5129" max="5376" width="9.140625" style="387"/>
    <col min="5377" max="5377" width="51.85546875" style="387" customWidth="1"/>
    <col min="5378" max="5379" width="15.7109375" style="387" bestFit="1" customWidth="1"/>
    <col min="5380" max="5380" width="14" style="387" bestFit="1" customWidth="1"/>
    <col min="5381" max="5381" width="14.7109375" style="387" bestFit="1" customWidth="1"/>
    <col min="5382" max="5382" width="14.42578125" style="387" bestFit="1" customWidth="1"/>
    <col min="5383" max="5383" width="15.7109375" style="387" bestFit="1" customWidth="1"/>
    <col min="5384" max="5384" width="21.28515625" style="387" customWidth="1"/>
    <col min="5385" max="5632" width="9.140625" style="387"/>
    <col min="5633" max="5633" width="51.85546875" style="387" customWidth="1"/>
    <col min="5634" max="5635" width="15.7109375" style="387" bestFit="1" customWidth="1"/>
    <col min="5636" max="5636" width="14" style="387" bestFit="1" customWidth="1"/>
    <col min="5637" max="5637" width="14.7109375" style="387" bestFit="1" customWidth="1"/>
    <col min="5638" max="5638" width="14.42578125" style="387" bestFit="1" customWidth="1"/>
    <col min="5639" max="5639" width="15.7109375" style="387" bestFit="1" customWidth="1"/>
    <col min="5640" max="5640" width="21.28515625" style="387" customWidth="1"/>
    <col min="5641" max="5888" width="9.140625" style="387"/>
    <col min="5889" max="5889" width="51.85546875" style="387" customWidth="1"/>
    <col min="5890" max="5891" width="15.7109375" style="387" bestFit="1" customWidth="1"/>
    <col min="5892" max="5892" width="14" style="387" bestFit="1" customWidth="1"/>
    <col min="5893" max="5893" width="14.7109375" style="387" bestFit="1" customWidth="1"/>
    <col min="5894" max="5894" width="14.42578125" style="387" bestFit="1" customWidth="1"/>
    <col min="5895" max="5895" width="15.7109375" style="387" bestFit="1" customWidth="1"/>
    <col min="5896" max="5896" width="21.28515625" style="387" customWidth="1"/>
    <col min="5897" max="6144" width="9.140625" style="387"/>
    <col min="6145" max="6145" width="51.85546875" style="387" customWidth="1"/>
    <col min="6146" max="6147" width="15.7109375" style="387" bestFit="1" customWidth="1"/>
    <col min="6148" max="6148" width="14" style="387" bestFit="1" customWidth="1"/>
    <col min="6149" max="6149" width="14.7109375" style="387" bestFit="1" customWidth="1"/>
    <col min="6150" max="6150" width="14.42578125" style="387" bestFit="1" customWidth="1"/>
    <col min="6151" max="6151" width="15.7109375" style="387" bestFit="1" customWidth="1"/>
    <col min="6152" max="6152" width="21.28515625" style="387" customWidth="1"/>
    <col min="6153" max="6400" width="9.140625" style="387"/>
    <col min="6401" max="6401" width="51.85546875" style="387" customWidth="1"/>
    <col min="6402" max="6403" width="15.7109375" style="387" bestFit="1" customWidth="1"/>
    <col min="6404" max="6404" width="14" style="387" bestFit="1" customWidth="1"/>
    <col min="6405" max="6405" width="14.7109375" style="387" bestFit="1" customWidth="1"/>
    <col min="6406" max="6406" width="14.42578125" style="387" bestFit="1" customWidth="1"/>
    <col min="6407" max="6407" width="15.7109375" style="387" bestFit="1" customWidth="1"/>
    <col min="6408" max="6408" width="21.28515625" style="387" customWidth="1"/>
    <col min="6409" max="6656" width="9.140625" style="387"/>
    <col min="6657" max="6657" width="51.85546875" style="387" customWidth="1"/>
    <col min="6658" max="6659" width="15.7109375" style="387" bestFit="1" customWidth="1"/>
    <col min="6660" max="6660" width="14" style="387" bestFit="1" customWidth="1"/>
    <col min="6661" max="6661" width="14.7109375" style="387" bestFit="1" customWidth="1"/>
    <col min="6662" max="6662" width="14.42578125" style="387" bestFit="1" customWidth="1"/>
    <col min="6663" max="6663" width="15.7109375" style="387" bestFit="1" customWidth="1"/>
    <col min="6664" max="6664" width="21.28515625" style="387" customWidth="1"/>
    <col min="6665" max="6912" width="9.140625" style="387"/>
    <col min="6913" max="6913" width="51.85546875" style="387" customWidth="1"/>
    <col min="6914" max="6915" width="15.7109375" style="387" bestFit="1" customWidth="1"/>
    <col min="6916" max="6916" width="14" style="387" bestFit="1" customWidth="1"/>
    <col min="6917" max="6917" width="14.7109375" style="387" bestFit="1" customWidth="1"/>
    <col min="6918" max="6918" width="14.42578125" style="387" bestFit="1" customWidth="1"/>
    <col min="6919" max="6919" width="15.7109375" style="387" bestFit="1" customWidth="1"/>
    <col min="6920" max="6920" width="21.28515625" style="387" customWidth="1"/>
    <col min="6921" max="7168" width="9.140625" style="387"/>
    <col min="7169" max="7169" width="51.85546875" style="387" customWidth="1"/>
    <col min="7170" max="7171" width="15.7109375" style="387" bestFit="1" customWidth="1"/>
    <col min="7172" max="7172" width="14" style="387" bestFit="1" customWidth="1"/>
    <col min="7173" max="7173" width="14.7109375" style="387" bestFit="1" customWidth="1"/>
    <col min="7174" max="7174" width="14.42578125" style="387" bestFit="1" customWidth="1"/>
    <col min="7175" max="7175" width="15.7109375" style="387" bestFit="1" customWidth="1"/>
    <col min="7176" max="7176" width="21.28515625" style="387" customWidth="1"/>
    <col min="7177" max="7424" width="9.140625" style="387"/>
    <col min="7425" max="7425" width="51.85546875" style="387" customWidth="1"/>
    <col min="7426" max="7427" width="15.7109375" style="387" bestFit="1" customWidth="1"/>
    <col min="7428" max="7428" width="14" style="387" bestFit="1" customWidth="1"/>
    <col min="7429" max="7429" width="14.7109375" style="387" bestFit="1" customWidth="1"/>
    <col min="7430" max="7430" width="14.42578125" style="387" bestFit="1" customWidth="1"/>
    <col min="7431" max="7431" width="15.7109375" style="387" bestFit="1" customWidth="1"/>
    <col min="7432" max="7432" width="21.28515625" style="387" customWidth="1"/>
    <col min="7433" max="7680" width="9.140625" style="387"/>
    <col min="7681" max="7681" width="51.85546875" style="387" customWidth="1"/>
    <col min="7682" max="7683" width="15.7109375" style="387" bestFit="1" customWidth="1"/>
    <col min="7684" max="7684" width="14" style="387" bestFit="1" customWidth="1"/>
    <col min="7685" max="7685" width="14.7109375" style="387" bestFit="1" customWidth="1"/>
    <col min="7686" max="7686" width="14.42578125" style="387" bestFit="1" customWidth="1"/>
    <col min="7687" max="7687" width="15.7109375" style="387" bestFit="1" customWidth="1"/>
    <col min="7688" max="7688" width="21.28515625" style="387" customWidth="1"/>
    <col min="7689" max="7936" width="9.140625" style="387"/>
    <col min="7937" max="7937" width="51.85546875" style="387" customWidth="1"/>
    <col min="7938" max="7939" width="15.7109375" style="387" bestFit="1" customWidth="1"/>
    <col min="7940" max="7940" width="14" style="387" bestFit="1" customWidth="1"/>
    <col min="7941" max="7941" width="14.7109375" style="387" bestFit="1" customWidth="1"/>
    <col min="7942" max="7942" width="14.42578125" style="387" bestFit="1" customWidth="1"/>
    <col min="7943" max="7943" width="15.7109375" style="387" bestFit="1" customWidth="1"/>
    <col min="7944" max="7944" width="21.28515625" style="387" customWidth="1"/>
    <col min="7945" max="8192" width="9.140625" style="387"/>
    <col min="8193" max="8193" width="51.85546875" style="387" customWidth="1"/>
    <col min="8194" max="8195" width="15.7109375" style="387" bestFit="1" customWidth="1"/>
    <col min="8196" max="8196" width="14" style="387" bestFit="1" customWidth="1"/>
    <col min="8197" max="8197" width="14.7109375" style="387" bestFit="1" customWidth="1"/>
    <col min="8198" max="8198" width="14.42578125" style="387" bestFit="1" customWidth="1"/>
    <col min="8199" max="8199" width="15.7109375" style="387" bestFit="1" customWidth="1"/>
    <col min="8200" max="8200" width="21.28515625" style="387" customWidth="1"/>
    <col min="8201" max="8448" width="9.140625" style="387"/>
    <col min="8449" max="8449" width="51.85546875" style="387" customWidth="1"/>
    <col min="8450" max="8451" width="15.7109375" style="387" bestFit="1" customWidth="1"/>
    <col min="8452" max="8452" width="14" style="387" bestFit="1" customWidth="1"/>
    <col min="8453" max="8453" width="14.7109375" style="387" bestFit="1" customWidth="1"/>
    <col min="8454" max="8454" width="14.42578125" style="387" bestFit="1" customWidth="1"/>
    <col min="8455" max="8455" width="15.7109375" style="387" bestFit="1" customWidth="1"/>
    <col min="8456" max="8456" width="21.28515625" style="387" customWidth="1"/>
    <col min="8457" max="8704" width="9.140625" style="387"/>
    <col min="8705" max="8705" width="51.85546875" style="387" customWidth="1"/>
    <col min="8706" max="8707" width="15.7109375" style="387" bestFit="1" customWidth="1"/>
    <col min="8708" max="8708" width="14" style="387" bestFit="1" customWidth="1"/>
    <col min="8709" max="8709" width="14.7109375" style="387" bestFit="1" customWidth="1"/>
    <col min="8710" max="8710" width="14.42578125" style="387" bestFit="1" customWidth="1"/>
    <col min="8711" max="8711" width="15.7109375" style="387" bestFit="1" customWidth="1"/>
    <col min="8712" max="8712" width="21.28515625" style="387" customWidth="1"/>
    <col min="8713" max="8960" width="9.140625" style="387"/>
    <col min="8961" max="8961" width="51.85546875" style="387" customWidth="1"/>
    <col min="8962" max="8963" width="15.7109375" style="387" bestFit="1" customWidth="1"/>
    <col min="8964" max="8964" width="14" style="387" bestFit="1" customWidth="1"/>
    <col min="8965" max="8965" width="14.7109375" style="387" bestFit="1" customWidth="1"/>
    <col min="8966" max="8966" width="14.42578125" style="387" bestFit="1" customWidth="1"/>
    <col min="8967" max="8967" width="15.7109375" style="387" bestFit="1" customWidth="1"/>
    <col min="8968" max="8968" width="21.28515625" style="387" customWidth="1"/>
    <col min="8969" max="9216" width="9.140625" style="387"/>
    <col min="9217" max="9217" width="51.85546875" style="387" customWidth="1"/>
    <col min="9218" max="9219" width="15.7109375" style="387" bestFit="1" customWidth="1"/>
    <col min="9220" max="9220" width="14" style="387" bestFit="1" customWidth="1"/>
    <col min="9221" max="9221" width="14.7109375" style="387" bestFit="1" customWidth="1"/>
    <col min="9222" max="9222" width="14.42578125" style="387" bestFit="1" customWidth="1"/>
    <col min="9223" max="9223" width="15.7109375" style="387" bestFit="1" customWidth="1"/>
    <col min="9224" max="9224" width="21.28515625" style="387" customWidth="1"/>
    <col min="9225" max="9472" width="9.140625" style="387"/>
    <col min="9473" max="9473" width="51.85546875" style="387" customWidth="1"/>
    <col min="9474" max="9475" width="15.7109375" style="387" bestFit="1" customWidth="1"/>
    <col min="9476" max="9476" width="14" style="387" bestFit="1" customWidth="1"/>
    <col min="9477" max="9477" width="14.7109375" style="387" bestFit="1" customWidth="1"/>
    <col min="9478" max="9478" width="14.42578125" style="387" bestFit="1" customWidth="1"/>
    <col min="9479" max="9479" width="15.7109375" style="387" bestFit="1" customWidth="1"/>
    <col min="9480" max="9480" width="21.28515625" style="387" customWidth="1"/>
    <col min="9481" max="9728" width="9.140625" style="387"/>
    <col min="9729" max="9729" width="51.85546875" style="387" customWidth="1"/>
    <col min="9730" max="9731" width="15.7109375" style="387" bestFit="1" customWidth="1"/>
    <col min="9732" max="9732" width="14" style="387" bestFit="1" customWidth="1"/>
    <col min="9733" max="9733" width="14.7109375" style="387" bestFit="1" customWidth="1"/>
    <col min="9734" max="9734" width="14.42578125" style="387" bestFit="1" customWidth="1"/>
    <col min="9735" max="9735" width="15.7109375" style="387" bestFit="1" customWidth="1"/>
    <col min="9736" max="9736" width="21.28515625" style="387" customWidth="1"/>
    <col min="9737" max="9984" width="9.140625" style="387"/>
    <col min="9985" max="9985" width="51.85546875" style="387" customWidth="1"/>
    <col min="9986" max="9987" width="15.7109375" style="387" bestFit="1" customWidth="1"/>
    <col min="9988" max="9988" width="14" style="387" bestFit="1" customWidth="1"/>
    <col min="9989" max="9989" width="14.7109375" style="387" bestFit="1" customWidth="1"/>
    <col min="9990" max="9990" width="14.42578125" style="387" bestFit="1" customWidth="1"/>
    <col min="9991" max="9991" width="15.7109375" style="387" bestFit="1" customWidth="1"/>
    <col min="9992" max="9992" width="21.28515625" style="387" customWidth="1"/>
    <col min="9993" max="10240" width="9.140625" style="387"/>
    <col min="10241" max="10241" width="51.85546875" style="387" customWidth="1"/>
    <col min="10242" max="10243" width="15.7109375" style="387" bestFit="1" customWidth="1"/>
    <col min="10244" max="10244" width="14" style="387" bestFit="1" customWidth="1"/>
    <col min="10245" max="10245" width="14.7109375" style="387" bestFit="1" customWidth="1"/>
    <col min="10246" max="10246" width="14.42578125" style="387" bestFit="1" customWidth="1"/>
    <col min="10247" max="10247" width="15.7109375" style="387" bestFit="1" customWidth="1"/>
    <col min="10248" max="10248" width="21.28515625" style="387" customWidth="1"/>
    <col min="10249" max="10496" width="9.140625" style="387"/>
    <col min="10497" max="10497" width="51.85546875" style="387" customWidth="1"/>
    <col min="10498" max="10499" width="15.7109375" style="387" bestFit="1" customWidth="1"/>
    <col min="10500" max="10500" width="14" style="387" bestFit="1" customWidth="1"/>
    <col min="10501" max="10501" width="14.7109375" style="387" bestFit="1" customWidth="1"/>
    <col min="10502" max="10502" width="14.42578125" style="387" bestFit="1" customWidth="1"/>
    <col min="10503" max="10503" width="15.7109375" style="387" bestFit="1" customWidth="1"/>
    <col min="10504" max="10504" width="21.28515625" style="387" customWidth="1"/>
    <col min="10505" max="10752" width="9.140625" style="387"/>
    <col min="10753" max="10753" width="51.85546875" style="387" customWidth="1"/>
    <col min="10754" max="10755" width="15.7109375" style="387" bestFit="1" customWidth="1"/>
    <col min="10756" max="10756" width="14" style="387" bestFit="1" customWidth="1"/>
    <col min="10757" max="10757" width="14.7109375" style="387" bestFit="1" customWidth="1"/>
    <col min="10758" max="10758" width="14.42578125" style="387" bestFit="1" customWidth="1"/>
    <col min="10759" max="10759" width="15.7109375" style="387" bestFit="1" customWidth="1"/>
    <col min="10760" max="10760" width="21.28515625" style="387" customWidth="1"/>
    <col min="10761" max="11008" width="9.140625" style="387"/>
    <col min="11009" max="11009" width="51.85546875" style="387" customWidth="1"/>
    <col min="11010" max="11011" width="15.7109375" style="387" bestFit="1" customWidth="1"/>
    <col min="11012" max="11012" width="14" style="387" bestFit="1" customWidth="1"/>
    <col min="11013" max="11013" width="14.7109375" style="387" bestFit="1" customWidth="1"/>
    <col min="11014" max="11014" width="14.42578125" style="387" bestFit="1" customWidth="1"/>
    <col min="11015" max="11015" width="15.7109375" style="387" bestFit="1" customWidth="1"/>
    <col min="11016" max="11016" width="21.28515625" style="387" customWidth="1"/>
    <col min="11017" max="11264" width="9.140625" style="387"/>
    <col min="11265" max="11265" width="51.85546875" style="387" customWidth="1"/>
    <col min="11266" max="11267" width="15.7109375" style="387" bestFit="1" customWidth="1"/>
    <col min="11268" max="11268" width="14" style="387" bestFit="1" customWidth="1"/>
    <col min="11269" max="11269" width="14.7109375" style="387" bestFit="1" customWidth="1"/>
    <col min="11270" max="11270" width="14.42578125" style="387" bestFit="1" customWidth="1"/>
    <col min="11271" max="11271" width="15.7109375" style="387" bestFit="1" customWidth="1"/>
    <col min="11272" max="11272" width="21.28515625" style="387" customWidth="1"/>
    <col min="11273" max="11520" width="9.140625" style="387"/>
    <col min="11521" max="11521" width="51.85546875" style="387" customWidth="1"/>
    <col min="11522" max="11523" width="15.7109375" style="387" bestFit="1" customWidth="1"/>
    <col min="11524" max="11524" width="14" style="387" bestFit="1" customWidth="1"/>
    <col min="11525" max="11525" width="14.7109375" style="387" bestFit="1" customWidth="1"/>
    <col min="11526" max="11526" width="14.42578125" style="387" bestFit="1" customWidth="1"/>
    <col min="11527" max="11527" width="15.7109375" style="387" bestFit="1" customWidth="1"/>
    <col min="11528" max="11528" width="21.28515625" style="387" customWidth="1"/>
    <col min="11529" max="11776" width="9.140625" style="387"/>
    <col min="11777" max="11777" width="51.85546875" style="387" customWidth="1"/>
    <col min="11778" max="11779" width="15.7109375" style="387" bestFit="1" customWidth="1"/>
    <col min="11780" max="11780" width="14" style="387" bestFit="1" customWidth="1"/>
    <col min="11781" max="11781" width="14.7109375" style="387" bestFit="1" customWidth="1"/>
    <col min="11782" max="11782" width="14.42578125" style="387" bestFit="1" customWidth="1"/>
    <col min="11783" max="11783" width="15.7109375" style="387" bestFit="1" customWidth="1"/>
    <col min="11784" max="11784" width="21.28515625" style="387" customWidth="1"/>
    <col min="11785" max="12032" width="9.140625" style="387"/>
    <col min="12033" max="12033" width="51.85546875" style="387" customWidth="1"/>
    <col min="12034" max="12035" width="15.7109375" style="387" bestFit="1" customWidth="1"/>
    <col min="12036" max="12036" width="14" style="387" bestFit="1" customWidth="1"/>
    <col min="12037" max="12037" width="14.7109375" style="387" bestFit="1" customWidth="1"/>
    <col min="12038" max="12038" width="14.42578125" style="387" bestFit="1" customWidth="1"/>
    <col min="12039" max="12039" width="15.7109375" style="387" bestFit="1" customWidth="1"/>
    <col min="12040" max="12040" width="21.28515625" style="387" customWidth="1"/>
    <col min="12041" max="12288" width="9.140625" style="387"/>
    <col min="12289" max="12289" width="51.85546875" style="387" customWidth="1"/>
    <col min="12290" max="12291" width="15.7109375" style="387" bestFit="1" customWidth="1"/>
    <col min="12292" max="12292" width="14" style="387" bestFit="1" customWidth="1"/>
    <col min="12293" max="12293" width="14.7109375" style="387" bestFit="1" customWidth="1"/>
    <col min="12294" max="12294" width="14.42578125" style="387" bestFit="1" customWidth="1"/>
    <col min="12295" max="12295" width="15.7109375" style="387" bestFit="1" customWidth="1"/>
    <col min="12296" max="12296" width="21.28515625" style="387" customWidth="1"/>
    <col min="12297" max="12544" width="9.140625" style="387"/>
    <col min="12545" max="12545" width="51.85546875" style="387" customWidth="1"/>
    <col min="12546" max="12547" width="15.7109375" style="387" bestFit="1" customWidth="1"/>
    <col min="12548" max="12548" width="14" style="387" bestFit="1" customWidth="1"/>
    <col min="12549" max="12549" width="14.7109375" style="387" bestFit="1" customWidth="1"/>
    <col min="12550" max="12550" width="14.42578125" style="387" bestFit="1" customWidth="1"/>
    <col min="12551" max="12551" width="15.7109375" style="387" bestFit="1" customWidth="1"/>
    <col min="12552" max="12552" width="21.28515625" style="387" customWidth="1"/>
    <col min="12553" max="12800" width="9.140625" style="387"/>
    <col min="12801" max="12801" width="51.85546875" style="387" customWidth="1"/>
    <col min="12802" max="12803" width="15.7109375" style="387" bestFit="1" customWidth="1"/>
    <col min="12804" max="12804" width="14" style="387" bestFit="1" customWidth="1"/>
    <col min="12805" max="12805" width="14.7109375" style="387" bestFit="1" customWidth="1"/>
    <col min="12806" max="12806" width="14.42578125" style="387" bestFit="1" customWidth="1"/>
    <col min="12807" max="12807" width="15.7109375" style="387" bestFit="1" customWidth="1"/>
    <col min="12808" max="12808" width="21.28515625" style="387" customWidth="1"/>
    <col min="12809" max="13056" width="9.140625" style="387"/>
    <col min="13057" max="13057" width="51.85546875" style="387" customWidth="1"/>
    <col min="13058" max="13059" width="15.7109375" style="387" bestFit="1" customWidth="1"/>
    <col min="13060" max="13060" width="14" style="387" bestFit="1" customWidth="1"/>
    <col min="13061" max="13061" width="14.7109375" style="387" bestFit="1" customWidth="1"/>
    <col min="13062" max="13062" width="14.42578125" style="387" bestFit="1" customWidth="1"/>
    <col min="13063" max="13063" width="15.7109375" style="387" bestFit="1" customWidth="1"/>
    <col min="13064" max="13064" width="21.28515625" style="387" customWidth="1"/>
    <col min="13065" max="13312" width="9.140625" style="387"/>
    <col min="13313" max="13313" width="51.85546875" style="387" customWidth="1"/>
    <col min="13314" max="13315" width="15.7109375" style="387" bestFit="1" customWidth="1"/>
    <col min="13316" max="13316" width="14" style="387" bestFit="1" customWidth="1"/>
    <col min="13317" max="13317" width="14.7109375" style="387" bestFit="1" customWidth="1"/>
    <col min="13318" max="13318" width="14.42578125" style="387" bestFit="1" customWidth="1"/>
    <col min="13319" max="13319" width="15.7109375" style="387" bestFit="1" customWidth="1"/>
    <col min="13320" max="13320" width="21.28515625" style="387" customWidth="1"/>
    <col min="13321" max="13568" width="9.140625" style="387"/>
    <col min="13569" max="13569" width="51.85546875" style="387" customWidth="1"/>
    <col min="13570" max="13571" width="15.7109375" style="387" bestFit="1" customWidth="1"/>
    <col min="13572" max="13572" width="14" style="387" bestFit="1" customWidth="1"/>
    <col min="13573" max="13573" width="14.7109375" style="387" bestFit="1" customWidth="1"/>
    <col min="13574" max="13574" width="14.42578125" style="387" bestFit="1" customWidth="1"/>
    <col min="13575" max="13575" width="15.7109375" style="387" bestFit="1" customWidth="1"/>
    <col min="13576" max="13576" width="21.28515625" style="387" customWidth="1"/>
    <col min="13577" max="13824" width="9.140625" style="387"/>
    <col min="13825" max="13825" width="51.85546875" style="387" customWidth="1"/>
    <col min="13826" max="13827" width="15.7109375" style="387" bestFit="1" customWidth="1"/>
    <col min="13828" max="13828" width="14" style="387" bestFit="1" customWidth="1"/>
    <col min="13829" max="13829" width="14.7109375" style="387" bestFit="1" customWidth="1"/>
    <col min="13830" max="13830" width="14.42578125" style="387" bestFit="1" customWidth="1"/>
    <col min="13831" max="13831" width="15.7109375" style="387" bestFit="1" customWidth="1"/>
    <col min="13832" max="13832" width="21.28515625" style="387" customWidth="1"/>
    <col min="13833" max="14080" width="9.140625" style="387"/>
    <col min="14081" max="14081" width="51.85546875" style="387" customWidth="1"/>
    <col min="14082" max="14083" width="15.7109375" style="387" bestFit="1" customWidth="1"/>
    <col min="14084" max="14084" width="14" style="387" bestFit="1" customWidth="1"/>
    <col min="14085" max="14085" width="14.7109375" style="387" bestFit="1" customWidth="1"/>
    <col min="14086" max="14086" width="14.42578125" style="387" bestFit="1" customWidth="1"/>
    <col min="14087" max="14087" width="15.7109375" style="387" bestFit="1" customWidth="1"/>
    <col min="14088" max="14088" width="21.28515625" style="387" customWidth="1"/>
    <col min="14089" max="14336" width="9.140625" style="387"/>
    <col min="14337" max="14337" width="51.85546875" style="387" customWidth="1"/>
    <col min="14338" max="14339" width="15.7109375" style="387" bestFit="1" customWidth="1"/>
    <col min="14340" max="14340" width="14" style="387" bestFit="1" customWidth="1"/>
    <col min="14341" max="14341" width="14.7109375" style="387" bestFit="1" customWidth="1"/>
    <col min="14342" max="14342" width="14.42578125" style="387" bestFit="1" customWidth="1"/>
    <col min="14343" max="14343" width="15.7109375" style="387" bestFit="1" customWidth="1"/>
    <col min="14344" max="14344" width="21.28515625" style="387" customWidth="1"/>
    <col min="14345" max="14592" width="9.140625" style="387"/>
    <col min="14593" max="14593" width="51.85546875" style="387" customWidth="1"/>
    <col min="14594" max="14595" width="15.7109375" style="387" bestFit="1" customWidth="1"/>
    <col min="14596" max="14596" width="14" style="387" bestFit="1" customWidth="1"/>
    <col min="14597" max="14597" width="14.7109375" style="387" bestFit="1" customWidth="1"/>
    <col min="14598" max="14598" width="14.42578125" style="387" bestFit="1" customWidth="1"/>
    <col min="14599" max="14599" width="15.7109375" style="387" bestFit="1" customWidth="1"/>
    <col min="14600" max="14600" width="21.28515625" style="387" customWidth="1"/>
    <col min="14601" max="14848" width="9.140625" style="387"/>
    <col min="14849" max="14849" width="51.85546875" style="387" customWidth="1"/>
    <col min="14850" max="14851" width="15.7109375" style="387" bestFit="1" customWidth="1"/>
    <col min="14852" max="14852" width="14" style="387" bestFit="1" customWidth="1"/>
    <col min="14853" max="14853" width="14.7109375" style="387" bestFit="1" customWidth="1"/>
    <col min="14854" max="14854" width="14.42578125" style="387" bestFit="1" customWidth="1"/>
    <col min="14855" max="14855" width="15.7109375" style="387" bestFit="1" customWidth="1"/>
    <col min="14856" max="14856" width="21.28515625" style="387" customWidth="1"/>
    <col min="14857" max="15104" width="9.140625" style="387"/>
    <col min="15105" max="15105" width="51.85546875" style="387" customWidth="1"/>
    <col min="15106" max="15107" width="15.7109375" style="387" bestFit="1" customWidth="1"/>
    <col min="15108" max="15108" width="14" style="387" bestFit="1" customWidth="1"/>
    <col min="15109" max="15109" width="14.7109375" style="387" bestFit="1" customWidth="1"/>
    <col min="15110" max="15110" width="14.42578125" style="387" bestFit="1" customWidth="1"/>
    <col min="15111" max="15111" width="15.7109375" style="387" bestFit="1" customWidth="1"/>
    <col min="15112" max="15112" width="21.28515625" style="387" customWidth="1"/>
    <col min="15113" max="15360" width="9.140625" style="387"/>
    <col min="15361" max="15361" width="51.85546875" style="387" customWidth="1"/>
    <col min="15362" max="15363" width="15.7109375" style="387" bestFit="1" customWidth="1"/>
    <col min="15364" max="15364" width="14" style="387" bestFit="1" customWidth="1"/>
    <col min="15365" max="15365" width="14.7109375" style="387" bestFit="1" customWidth="1"/>
    <col min="15366" max="15366" width="14.42578125" style="387" bestFit="1" customWidth="1"/>
    <col min="15367" max="15367" width="15.7109375" style="387" bestFit="1" customWidth="1"/>
    <col min="15368" max="15368" width="21.28515625" style="387" customWidth="1"/>
    <col min="15369" max="15616" width="9.140625" style="387"/>
    <col min="15617" max="15617" width="51.85546875" style="387" customWidth="1"/>
    <col min="15618" max="15619" width="15.7109375" style="387" bestFit="1" customWidth="1"/>
    <col min="15620" max="15620" width="14" style="387" bestFit="1" customWidth="1"/>
    <col min="15621" max="15621" width="14.7109375" style="387" bestFit="1" customWidth="1"/>
    <col min="15622" max="15622" width="14.42578125" style="387" bestFit="1" customWidth="1"/>
    <col min="15623" max="15623" width="15.7109375" style="387" bestFit="1" customWidth="1"/>
    <col min="15624" max="15624" width="21.28515625" style="387" customWidth="1"/>
    <col min="15625" max="15872" width="9.140625" style="387"/>
    <col min="15873" max="15873" width="51.85546875" style="387" customWidth="1"/>
    <col min="15874" max="15875" width="15.7109375" style="387" bestFit="1" customWidth="1"/>
    <col min="15876" max="15876" width="14" style="387" bestFit="1" customWidth="1"/>
    <col min="15877" max="15877" width="14.7109375" style="387" bestFit="1" customWidth="1"/>
    <col min="15878" max="15878" width="14.42578125" style="387" bestFit="1" customWidth="1"/>
    <col min="15879" max="15879" width="15.7109375" style="387" bestFit="1" customWidth="1"/>
    <col min="15880" max="15880" width="21.28515625" style="387" customWidth="1"/>
    <col min="15881" max="16128" width="9.140625" style="387"/>
    <col min="16129" max="16129" width="51.85546875" style="387" customWidth="1"/>
    <col min="16130" max="16131" width="15.7109375" style="387" bestFit="1" customWidth="1"/>
    <col min="16132" max="16132" width="14" style="387" bestFit="1" customWidth="1"/>
    <col min="16133" max="16133" width="14.7109375" style="387" bestFit="1" customWidth="1"/>
    <col min="16134" max="16134" width="14.42578125" style="387" bestFit="1" customWidth="1"/>
    <col min="16135" max="16135" width="15.7109375" style="387" bestFit="1" customWidth="1"/>
    <col min="16136" max="16136" width="21.28515625" style="387" customWidth="1"/>
    <col min="16137" max="16384" width="9.140625" style="387"/>
  </cols>
  <sheetData>
    <row r="1" spans="1:8" x14ac:dyDescent="0.2">
      <c r="A1" s="1358" t="s">
        <v>1052</v>
      </c>
      <c r="B1" s="1358"/>
      <c r="C1" s="1358"/>
      <c r="D1" s="1358"/>
      <c r="E1" s="1358"/>
      <c r="F1" s="1358"/>
      <c r="G1" s="1358"/>
      <c r="H1" s="386"/>
    </row>
    <row r="2" spans="1:8" x14ac:dyDescent="0.2">
      <c r="A2" s="1359" t="s">
        <v>52</v>
      </c>
      <c r="B2" s="1359"/>
      <c r="C2" s="1359"/>
      <c r="D2" s="1359"/>
      <c r="E2" s="1359"/>
      <c r="F2" s="1359"/>
      <c r="G2" s="1359"/>
      <c r="H2" s="386"/>
    </row>
    <row r="3" spans="1:8" x14ac:dyDescent="0.2">
      <c r="A3" s="388" t="s">
        <v>19</v>
      </c>
      <c r="B3" s="389" t="s">
        <v>20</v>
      </c>
      <c r="C3" s="389" t="s">
        <v>21</v>
      </c>
      <c r="D3" s="389" t="s">
        <v>22</v>
      </c>
      <c r="E3" s="389" t="s">
        <v>23</v>
      </c>
      <c r="F3" s="389" t="s">
        <v>24</v>
      </c>
      <c r="G3" s="389" t="s">
        <v>25</v>
      </c>
      <c r="H3" s="386"/>
    </row>
    <row r="4" spans="1:8" ht="24.6" customHeight="1" x14ac:dyDescent="0.2">
      <c r="A4" s="390" t="s">
        <v>12</v>
      </c>
      <c r="B4" s="391">
        <f t="shared" ref="B4:E4" si="0">SUM(,B5,,B7+B9)</f>
        <v>0</v>
      </c>
      <c r="C4" s="391" t="e">
        <f>SUM(,C5,,C7+C9)</f>
        <v>#REF!</v>
      </c>
      <c r="D4" s="391">
        <f t="shared" si="0"/>
        <v>0</v>
      </c>
      <c r="E4" s="391">
        <f t="shared" si="0"/>
        <v>0</v>
      </c>
      <c r="F4" s="391" t="e">
        <f>SUM(,F5,,F7+F9)</f>
        <v>#REF!</v>
      </c>
      <c r="G4" s="391" t="e">
        <f>SUM(B4:F4)</f>
        <v>#REF!</v>
      </c>
      <c r="H4" s="386"/>
    </row>
    <row r="5" spans="1:8" s="395" customFormat="1" ht="42" x14ac:dyDescent="0.2">
      <c r="A5" s="392" t="s">
        <v>165</v>
      </c>
      <c r="B5" s="393">
        <f>B6</f>
        <v>0</v>
      </c>
      <c r="C5" s="393">
        <f>C6</f>
        <v>0</v>
      </c>
      <c r="D5" s="393">
        <f>D6</f>
        <v>0</v>
      </c>
      <c r="E5" s="393">
        <f>E6</f>
        <v>0</v>
      </c>
      <c r="F5" s="393" t="e">
        <f>SUM(F6)</f>
        <v>#REF!</v>
      </c>
      <c r="G5" s="393" t="e">
        <f t="shared" ref="G5:G13" si="1">SUM(B5:F5)</f>
        <v>#REF!</v>
      </c>
      <c r="H5" s="394"/>
    </row>
    <row r="6" spans="1:8" x14ac:dyDescent="0.2">
      <c r="A6" s="396" t="s">
        <v>128</v>
      </c>
      <c r="B6" s="397">
        <v>0</v>
      </c>
      <c r="C6" s="397">
        <v>0</v>
      </c>
      <c r="D6" s="397">
        <v>0</v>
      </c>
      <c r="E6" s="397">
        <v>0</v>
      </c>
      <c r="F6" s="397" t="e">
        <f>+#REF!</f>
        <v>#REF!</v>
      </c>
      <c r="G6" s="397" t="e">
        <f t="shared" si="1"/>
        <v>#REF!</v>
      </c>
      <c r="H6" s="386"/>
    </row>
    <row r="7" spans="1:8" s="395" customFormat="1" ht="42" x14ac:dyDescent="0.2">
      <c r="A7" s="392" t="s">
        <v>166</v>
      </c>
      <c r="B7" s="393">
        <v>0</v>
      </c>
      <c r="C7" s="393">
        <f>SUM(C8:C8)</f>
        <v>0</v>
      </c>
      <c r="D7" s="393">
        <f>SUM(D8:D8)</f>
        <v>0</v>
      </c>
      <c r="E7" s="393">
        <f>SUM(E8:E8)</f>
        <v>0</v>
      </c>
      <c r="F7" s="393" t="e">
        <f>SUM(F8:F8)</f>
        <v>#REF!</v>
      </c>
      <c r="G7" s="393" t="e">
        <f t="shared" si="1"/>
        <v>#REF!</v>
      </c>
      <c r="H7" s="394"/>
    </row>
    <row r="8" spans="1:8" x14ac:dyDescent="0.2">
      <c r="A8" s="396" t="s">
        <v>131</v>
      </c>
      <c r="B8" s="397">
        <v>0</v>
      </c>
      <c r="C8" s="397">
        <v>0</v>
      </c>
      <c r="D8" s="397">
        <v>0</v>
      </c>
      <c r="E8" s="397">
        <v>0</v>
      </c>
      <c r="F8" s="397" t="e">
        <f>+#REF!</f>
        <v>#REF!</v>
      </c>
      <c r="G8" s="397" t="e">
        <f t="shared" si="1"/>
        <v>#REF!</v>
      </c>
      <c r="H8" s="386"/>
    </row>
    <row r="9" spans="1:8" s="395" customFormat="1" ht="42" x14ac:dyDescent="0.2">
      <c r="A9" s="392" t="s">
        <v>172</v>
      </c>
      <c r="B9" s="393">
        <v>0</v>
      </c>
      <c r="C9" s="393" t="e">
        <f>SUM(C10:C10)</f>
        <v>#REF!</v>
      </c>
      <c r="D9" s="393">
        <f>SUM(D10:D10)</f>
        <v>0</v>
      </c>
      <c r="E9" s="393">
        <f>SUM(E10:E10)</f>
        <v>0</v>
      </c>
      <c r="F9" s="393">
        <f>SUM(F10:F10)</f>
        <v>0</v>
      </c>
      <c r="G9" s="393" t="e">
        <f t="shared" si="1"/>
        <v>#REF!</v>
      </c>
      <c r="H9" s="394"/>
    </row>
    <row r="10" spans="1:8" ht="42" x14ac:dyDescent="0.2">
      <c r="A10" s="396" t="s">
        <v>136</v>
      </c>
      <c r="B10" s="397">
        <v>0</v>
      </c>
      <c r="C10" s="397" t="e">
        <f>+#REF!</f>
        <v>#REF!</v>
      </c>
      <c r="D10" s="397">
        <v>0</v>
      </c>
      <c r="E10" s="397">
        <v>0</v>
      </c>
      <c r="F10" s="397">
        <v>0</v>
      </c>
      <c r="G10" s="397" t="e">
        <f t="shared" si="1"/>
        <v>#REF!</v>
      </c>
      <c r="H10" s="386"/>
    </row>
    <row r="11" spans="1:8" ht="24.6" customHeight="1" x14ac:dyDescent="0.2">
      <c r="A11" s="390" t="s">
        <v>15</v>
      </c>
      <c r="B11" s="391">
        <f>B12</f>
        <v>0</v>
      </c>
      <c r="C11" s="391">
        <f>C12</f>
        <v>0</v>
      </c>
      <c r="D11" s="391" t="e">
        <f>D12</f>
        <v>#REF!</v>
      </c>
      <c r="E11" s="391">
        <f>E12</f>
        <v>0</v>
      </c>
      <c r="F11" s="391">
        <f>F12</f>
        <v>0</v>
      </c>
      <c r="G11" s="391" t="e">
        <f t="shared" si="1"/>
        <v>#REF!</v>
      </c>
      <c r="H11" s="386"/>
    </row>
    <row r="12" spans="1:8" x14ac:dyDescent="0.2">
      <c r="A12" s="396" t="s">
        <v>159</v>
      </c>
      <c r="B12" s="397">
        <v>0</v>
      </c>
      <c r="C12" s="397">
        <v>0</v>
      </c>
      <c r="D12" s="397" t="e">
        <f>D13</f>
        <v>#REF!</v>
      </c>
      <c r="E12" s="397">
        <v>0</v>
      </c>
      <c r="F12" s="397">
        <v>0</v>
      </c>
      <c r="G12" s="397" t="e">
        <f t="shared" si="1"/>
        <v>#REF!</v>
      </c>
    </row>
    <row r="13" spans="1:8" x14ac:dyDescent="0.2">
      <c r="A13" s="396" t="s">
        <v>119</v>
      </c>
      <c r="B13" s="397">
        <v>0</v>
      </c>
      <c r="C13" s="397">
        <v>0</v>
      </c>
      <c r="D13" s="397" t="e">
        <f>+#REF!</f>
        <v>#REF!</v>
      </c>
      <c r="E13" s="397">
        <v>0</v>
      </c>
      <c r="F13" s="397">
        <v>0</v>
      </c>
      <c r="G13" s="397" t="e">
        <f t="shared" si="1"/>
        <v>#REF!</v>
      </c>
    </row>
    <row r="14" spans="1:8" x14ac:dyDescent="0.2">
      <c r="A14" s="398" t="s">
        <v>2</v>
      </c>
      <c r="B14" s="391">
        <f t="shared" ref="B14:E14" si="2">+B4+B11</f>
        <v>0</v>
      </c>
      <c r="C14" s="391" t="e">
        <f>+C4+C11</f>
        <v>#REF!</v>
      </c>
      <c r="D14" s="391" t="e">
        <f t="shared" si="2"/>
        <v>#REF!</v>
      </c>
      <c r="E14" s="391">
        <f t="shared" si="2"/>
        <v>0</v>
      </c>
      <c r="F14" s="391" t="e">
        <f>+F4+F11</f>
        <v>#REF!</v>
      </c>
      <c r="G14" s="391" t="e">
        <f>+G11+G4</f>
        <v>#REF!</v>
      </c>
      <c r="H14" s="386" t="e">
        <f>+G14-#REF!</f>
        <v>#REF!</v>
      </c>
    </row>
    <row r="15" spans="1:8" x14ac:dyDescent="0.2">
      <c r="A15" s="395"/>
      <c r="B15" s="395"/>
      <c r="C15" s="399"/>
      <c r="H15" s="386"/>
    </row>
    <row r="16" spans="1:8" x14ac:dyDescent="0.2">
      <c r="A16" s="395"/>
      <c r="B16" s="395"/>
      <c r="C16" s="399"/>
      <c r="E16" s="400"/>
      <c r="H16" s="386"/>
    </row>
    <row r="17" spans="1:8" ht="24.6" customHeight="1" x14ac:dyDescent="0.2">
      <c r="A17" s="1358" t="s">
        <v>1052</v>
      </c>
      <c r="B17" s="1358"/>
      <c r="C17" s="1358"/>
      <c r="D17" s="1358"/>
      <c r="E17" s="1358"/>
      <c r="F17" s="1358"/>
      <c r="G17" s="1358"/>
      <c r="H17" s="386"/>
    </row>
    <row r="18" spans="1:8" s="395" customFormat="1" x14ac:dyDescent="0.2">
      <c r="A18" s="1359" t="s">
        <v>755</v>
      </c>
      <c r="B18" s="1359"/>
      <c r="C18" s="1359"/>
      <c r="D18" s="1359"/>
      <c r="E18" s="1359"/>
      <c r="F18" s="1359"/>
      <c r="G18" s="1359"/>
      <c r="H18" s="394"/>
    </row>
    <row r="19" spans="1:8" x14ac:dyDescent="0.2">
      <c r="A19" s="401" t="s">
        <v>19</v>
      </c>
      <c r="B19" s="389" t="s">
        <v>20</v>
      </c>
      <c r="C19" s="389" t="s">
        <v>21</v>
      </c>
      <c r="D19" s="402" t="s">
        <v>22</v>
      </c>
      <c r="E19" s="389" t="s">
        <v>23</v>
      </c>
      <c r="F19" s="403" t="s">
        <v>24</v>
      </c>
      <c r="G19" s="389" t="s">
        <v>25</v>
      </c>
      <c r="H19" s="386"/>
    </row>
    <row r="20" spans="1:8" s="395" customFormat="1" x14ac:dyDescent="0.2">
      <c r="A20" s="390" t="s">
        <v>12</v>
      </c>
      <c r="B20" s="391">
        <f t="shared" ref="B20:D20" si="3">SUM(,B21,,B23+B25)</f>
        <v>0</v>
      </c>
      <c r="C20" s="391" t="e">
        <f t="shared" si="3"/>
        <v>#REF!</v>
      </c>
      <c r="D20" s="391">
        <f t="shared" si="3"/>
        <v>0</v>
      </c>
      <c r="E20" s="391">
        <f>SUM(,E21,,E23+E25)</f>
        <v>0</v>
      </c>
      <c r="F20" s="391" t="e">
        <f>SUM(,F21,,F23+F25)</f>
        <v>#REF!</v>
      </c>
      <c r="G20" s="391" t="e">
        <f>SUM(B20:F20)</f>
        <v>#REF!</v>
      </c>
      <c r="H20" s="394"/>
    </row>
    <row r="21" spans="1:8" ht="42" x14ac:dyDescent="0.2">
      <c r="A21" s="392" t="s">
        <v>165</v>
      </c>
      <c r="B21" s="393">
        <f>B22</f>
        <v>0</v>
      </c>
      <c r="C21" s="393">
        <f>C22</f>
        <v>0</v>
      </c>
      <c r="D21" s="393">
        <f>D22</f>
        <v>0</v>
      </c>
      <c r="E21" s="393">
        <f>E22</f>
        <v>0</v>
      </c>
      <c r="F21" s="393" t="e">
        <f>SUM(F22)</f>
        <v>#REF!</v>
      </c>
      <c r="G21" s="393" t="e">
        <f t="shared" ref="G21:G26" si="4">SUM(B21:F21)</f>
        <v>#REF!</v>
      </c>
      <c r="H21" s="386"/>
    </row>
    <row r="22" spans="1:8" s="395" customFormat="1" x14ac:dyDescent="0.2">
      <c r="A22" s="396" t="s">
        <v>128</v>
      </c>
      <c r="B22" s="397">
        <v>0</v>
      </c>
      <c r="C22" s="397">
        <v>0</v>
      </c>
      <c r="D22" s="397">
        <v>0</v>
      </c>
      <c r="E22" s="397">
        <v>0</v>
      </c>
      <c r="F22" s="397" t="e">
        <f>+#REF!</f>
        <v>#REF!</v>
      </c>
      <c r="G22" s="393" t="e">
        <f>SUM(B22:F22)</f>
        <v>#REF!</v>
      </c>
      <c r="H22" s="394"/>
    </row>
    <row r="23" spans="1:8" ht="54" customHeight="1" x14ac:dyDescent="0.2">
      <c r="A23" s="392" t="s">
        <v>166</v>
      </c>
      <c r="B23" s="393">
        <v>0</v>
      </c>
      <c r="C23" s="393">
        <f>SUM(C24:C24)</f>
        <v>0</v>
      </c>
      <c r="D23" s="393">
        <f>SUM(D24:D24)</f>
        <v>0</v>
      </c>
      <c r="E23" s="393">
        <f>SUM(E24:E24)</f>
        <v>0</v>
      </c>
      <c r="F23" s="393" t="e">
        <f>SUM(F24:F24)</f>
        <v>#REF!</v>
      </c>
      <c r="G23" s="393" t="e">
        <f t="shared" si="4"/>
        <v>#REF!</v>
      </c>
      <c r="H23" s="386"/>
    </row>
    <row r="24" spans="1:8" x14ac:dyDescent="0.2">
      <c r="A24" s="396" t="s">
        <v>131</v>
      </c>
      <c r="B24" s="397">
        <v>0</v>
      </c>
      <c r="C24" s="397">
        <v>0</v>
      </c>
      <c r="D24" s="397">
        <v>0</v>
      </c>
      <c r="E24" s="397">
        <v>0</v>
      </c>
      <c r="F24" s="397" t="e">
        <f>+#REF!</f>
        <v>#REF!</v>
      </c>
      <c r="G24" s="397" t="e">
        <f t="shared" si="4"/>
        <v>#REF!</v>
      </c>
      <c r="H24" s="386"/>
    </row>
    <row r="25" spans="1:8" ht="42" x14ac:dyDescent="0.2">
      <c r="A25" s="392" t="s">
        <v>172</v>
      </c>
      <c r="B25" s="393">
        <v>0</v>
      </c>
      <c r="C25" s="393" t="e">
        <f>SUM(C26:C26)</f>
        <v>#REF!</v>
      </c>
      <c r="D25" s="393">
        <f>SUM(D26:D26)</f>
        <v>0</v>
      </c>
      <c r="E25" s="393">
        <f>SUM(E26:E26)</f>
        <v>0</v>
      </c>
      <c r="F25" s="393">
        <f>SUM(F26:F26)</f>
        <v>0</v>
      </c>
      <c r="G25" s="393" t="e">
        <f>SUM(B25:F25)</f>
        <v>#REF!</v>
      </c>
    </row>
    <row r="26" spans="1:8" ht="42" x14ac:dyDescent="0.2">
      <c r="A26" s="396" t="s">
        <v>136</v>
      </c>
      <c r="B26" s="397">
        <v>0</v>
      </c>
      <c r="C26" s="397" t="e">
        <f>+#REF!</f>
        <v>#REF!</v>
      </c>
      <c r="D26" s="397">
        <v>0</v>
      </c>
      <c r="E26" s="397">
        <v>0</v>
      </c>
      <c r="F26" s="397">
        <v>0</v>
      </c>
      <c r="G26" s="397" t="e">
        <f t="shared" si="4"/>
        <v>#REF!</v>
      </c>
    </row>
    <row r="27" spans="1:8" x14ac:dyDescent="0.2">
      <c r="A27" s="390" t="s">
        <v>15</v>
      </c>
      <c r="B27" s="391">
        <f>B28</f>
        <v>0</v>
      </c>
      <c r="C27" s="391">
        <f>C28</f>
        <v>0</v>
      </c>
      <c r="D27" s="391" t="e">
        <f>D28</f>
        <v>#REF!</v>
      </c>
      <c r="E27" s="391">
        <f>E28</f>
        <v>0</v>
      </c>
      <c r="F27" s="391">
        <f>F28</f>
        <v>0</v>
      </c>
      <c r="G27" s="391" t="e">
        <f>SUM(B27:F27)</f>
        <v>#REF!</v>
      </c>
    </row>
    <row r="28" spans="1:8" x14ac:dyDescent="0.2">
      <c r="A28" s="396" t="s">
        <v>159</v>
      </c>
      <c r="B28" s="397">
        <v>0</v>
      </c>
      <c r="C28" s="397">
        <v>0</v>
      </c>
      <c r="D28" s="397" t="e">
        <f>D29</f>
        <v>#REF!</v>
      </c>
      <c r="E28" s="397">
        <v>0</v>
      </c>
      <c r="F28" s="397">
        <v>0</v>
      </c>
      <c r="G28" s="397">
        <v>0</v>
      </c>
      <c r="H28" s="386"/>
    </row>
    <row r="29" spans="1:8" x14ac:dyDescent="0.2">
      <c r="A29" s="396" t="s">
        <v>119</v>
      </c>
      <c r="B29" s="397">
        <v>0</v>
      </c>
      <c r="C29" s="397">
        <v>0</v>
      </c>
      <c r="D29" s="397" t="e">
        <f>+#REF!</f>
        <v>#REF!</v>
      </c>
      <c r="E29" s="397">
        <v>0</v>
      </c>
      <c r="F29" s="397">
        <v>0</v>
      </c>
      <c r="G29" s="397">
        <v>0</v>
      </c>
      <c r="H29" s="386"/>
    </row>
    <row r="30" spans="1:8" ht="24.6" customHeight="1" x14ac:dyDescent="0.2">
      <c r="A30" s="398" t="s">
        <v>2</v>
      </c>
      <c r="B30" s="391">
        <f>+B20+B27</f>
        <v>0</v>
      </c>
      <c r="C30" s="391" t="e">
        <f t="shared" ref="C30:F30" si="5">+C20+C27</f>
        <v>#REF!</v>
      </c>
      <c r="D30" s="391" t="e">
        <f t="shared" si="5"/>
        <v>#REF!</v>
      </c>
      <c r="E30" s="391">
        <f t="shared" si="5"/>
        <v>0</v>
      </c>
      <c r="F30" s="391" t="e">
        <f t="shared" si="5"/>
        <v>#REF!</v>
      </c>
      <c r="G30" s="391" t="e">
        <f>+G20+G27</f>
        <v>#REF!</v>
      </c>
      <c r="H30" s="386" t="e">
        <f>+G30-#REF!</f>
        <v>#REF!</v>
      </c>
    </row>
    <row r="31" spans="1:8" s="395" customFormat="1" x14ac:dyDescent="0.2">
      <c r="A31" s="387"/>
      <c r="B31" s="387"/>
      <c r="C31" s="387"/>
      <c r="D31" s="387"/>
      <c r="E31" s="387"/>
      <c r="F31" s="387"/>
      <c r="G31" s="387"/>
      <c r="H31" s="394"/>
    </row>
    <row r="32" spans="1:8" x14ac:dyDescent="0.2">
      <c r="H32" s="386"/>
    </row>
    <row r="33" spans="1:8" s="395" customFormat="1" x14ac:dyDescent="0.2">
      <c r="A33" s="1358" t="s">
        <v>1052</v>
      </c>
      <c r="B33" s="1358"/>
      <c r="C33" s="1358"/>
      <c r="D33" s="1358"/>
      <c r="E33" s="1358"/>
      <c r="F33" s="1358"/>
      <c r="G33" s="1358"/>
      <c r="H33" s="394"/>
    </row>
    <row r="34" spans="1:8" x14ac:dyDescent="0.2">
      <c r="A34" s="1359" t="s">
        <v>54</v>
      </c>
      <c r="B34" s="1359"/>
      <c r="C34" s="1359"/>
      <c r="D34" s="1359"/>
      <c r="E34" s="1359"/>
      <c r="F34" s="1359"/>
      <c r="G34" s="1359"/>
      <c r="H34" s="386"/>
    </row>
    <row r="35" spans="1:8" s="395" customFormat="1" x14ac:dyDescent="0.2">
      <c r="A35" s="401" t="s">
        <v>19</v>
      </c>
      <c r="B35" s="389" t="s">
        <v>20</v>
      </c>
      <c r="C35" s="389" t="s">
        <v>21</v>
      </c>
      <c r="D35" s="402" t="s">
        <v>22</v>
      </c>
      <c r="E35" s="389" t="s">
        <v>23</v>
      </c>
      <c r="F35" s="403" t="s">
        <v>24</v>
      </c>
      <c r="G35" s="389" t="s">
        <v>25</v>
      </c>
      <c r="H35" s="394"/>
    </row>
    <row r="36" spans="1:8" x14ac:dyDescent="0.2">
      <c r="A36" s="390" t="s">
        <v>12</v>
      </c>
      <c r="B36" s="391">
        <f t="shared" ref="B36:D36" si="6">SUM(,B37,,B39+B41+B43+B45)</f>
        <v>0</v>
      </c>
      <c r="C36" s="391">
        <f t="shared" si="6"/>
        <v>1677400</v>
      </c>
      <c r="D36" s="391">
        <f t="shared" si="6"/>
        <v>0</v>
      </c>
      <c r="E36" s="391">
        <f>SUM(,E37,,E39+E41+E43+E45)</f>
        <v>3120000</v>
      </c>
      <c r="F36" s="391">
        <f>SUM(,F37,,F39+F41+F43+F45)</f>
        <v>12253800</v>
      </c>
      <c r="G36" s="391">
        <f>SUM(B36:F36)</f>
        <v>17051200</v>
      </c>
      <c r="H36" s="386"/>
    </row>
    <row r="37" spans="1:8" ht="42" x14ac:dyDescent="0.2">
      <c r="A37" s="392" t="s">
        <v>165</v>
      </c>
      <c r="B37" s="393">
        <f>B38</f>
        <v>0</v>
      </c>
      <c r="C37" s="393">
        <f>C38</f>
        <v>0</v>
      </c>
      <c r="D37" s="393">
        <f>D38</f>
        <v>0</v>
      </c>
      <c r="E37" s="393">
        <f>E38</f>
        <v>0</v>
      </c>
      <c r="F37" s="393">
        <f>SUM(F38)</f>
        <v>11403100</v>
      </c>
      <c r="G37" s="393">
        <f t="shared" ref="G37:G42" si="7">SUM(B37:F37)</f>
        <v>11403100</v>
      </c>
      <c r="H37" s="386"/>
    </row>
    <row r="38" spans="1:8" x14ac:dyDescent="0.2">
      <c r="A38" s="396" t="s">
        <v>128</v>
      </c>
      <c r="B38" s="397">
        <v>0</v>
      </c>
      <c r="C38" s="397">
        <v>0</v>
      </c>
      <c r="D38" s="397">
        <v>0</v>
      </c>
      <c r="E38" s="397">
        <v>0</v>
      </c>
      <c r="F38" s="397">
        <f>+'3.ยุโรป'!D9</f>
        <v>11403100</v>
      </c>
      <c r="G38" s="393">
        <f t="shared" si="7"/>
        <v>11403100</v>
      </c>
      <c r="H38" s="386"/>
    </row>
    <row r="39" spans="1:8" ht="42" x14ac:dyDescent="0.2">
      <c r="A39" s="392" t="s">
        <v>166</v>
      </c>
      <c r="B39" s="393">
        <v>0</v>
      </c>
      <c r="C39" s="393">
        <f>SUM(C40:C40)</f>
        <v>0</v>
      </c>
      <c r="D39" s="393">
        <f>SUM(D40:D40)</f>
        <v>0</v>
      </c>
      <c r="E39" s="393">
        <f>SUM(E40:E40)</f>
        <v>0</v>
      </c>
      <c r="F39" s="393">
        <f>SUM(F40:F40)</f>
        <v>50700</v>
      </c>
      <c r="G39" s="393">
        <f t="shared" si="7"/>
        <v>50700</v>
      </c>
      <c r="H39" s="386"/>
    </row>
    <row r="40" spans="1:8" x14ac:dyDescent="0.2">
      <c r="A40" s="396" t="s">
        <v>131</v>
      </c>
      <c r="B40" s="397">
        <v>0</v>
      </c>
      <c r="C40" s="397">
        <v>0</v>
      </c>
      <c r="D40" s="397">
        <v>0</v>
      </c>
      <c r="E40" s="397">
        <v>0</v>
      </c>
      <c r="F40" s="397">
        <f>+'3.ยุโรป'!D16</f>
        <v>50700</v>
      </c>
      <c r="G40" s="397">
        <f t="shared" si="7"/>
        <v>50700</v>
      </c>
      <c r="H40" s="386"/>
    </row>
    <row r="41" spans="1:8" ht="42" x14ac:dyDescent="0.2">
      <c r="A41" s="392" t="s">
        <v>167</v>
      </c>
      <c r="B41" s="393">
        <v>0</v>
      </c>
      <c r="C41" s="393">
        <f>SUM(C42:C42)</f>
        <v>0</v>
      </c>
      <c r="D41" s="393">
        <f>SUM(D42:D42)</f>
        <v>0</v>
      </c>
      <c r="E41" s="393">
        <f>SUM(E42:E42)</f>
        <v>3120000</v>
      </c>
      <c r="F41" s="393">
        <f>SUM(F42:F42)</f>
        <v>0</v>
      </c>
      <c r="G41" s="393">
        <f t="shared" si="7"/>
        <v>3120000</v>
      </c>
      <c r="H41" s="386"/>
    </row>
    <row r="42" spans="1:8" ht="42" x14ac:dyDescent="0.2">
      <c r="A42" s="396" t="s">
        <v>168</v>
      </c>
      <c r="B42" s="397">
        <v>0</v>
      </c>
      <c r="C42" s="397">
        <v>0</v>
      </c>
      <c r="D42" s="397">
        <v>0</v>
      </c>
      <c r="E42" s="397">
        <f>+'3.ยุโรป'!D20</f>
        <v>3120000</v>
      </c>
      <c r="F42" s="397">
        <v>0</v>
      </c>
      <c r="G42" s="397">
        <f t="shared" si="7"/>
        <v>3120000</v>
      </c>
      <c r="H42" s="386"/>
    </row>
    <row r="43" spans="1:8" ht="42" x14ac:dyDescent="0.2">
      <c r="A43" s="392" t="s">
        <v>169</v>
      </c>
      <c r="B43" s="393">
        <v>0</v>
      </c>
      <c r="C43" s="393">
        <f>SUM(C44:C44)</f>
        <v>0</v>
      </c>
      <c r="D43" s="393">
        <f>SUM(D44:D44)</f>
        <v>0</v>
      </c>
      <c r="E43" s="393">
        <f>SUM(E44:E44)</f>
        <v>0</v>
      </c>
      <c r="F43" s="393">
        <f>SUM(F44:F44)</f>
        <v>800000</v>
      </c>
      <c r="G43" s="393">
        <f t="shared" ref="G43:G44" si="8">SUM(B43:F43)</f>
        <v>800000</v>
      </c>
      <c r="H43" s="386"/>
    </row>
    <row r="44" spans="1:8" ht="24.6" customHeight="1" x14ac:dyDescent="0.2">
      <c r="A44" s="396" t="s">
        <v>170</v>
      </c>
      <c r="B44" s="397">
        <v>0</v>
      </c>
      <c r="C44" s="397">
        <v>0</v>
      </c>
      <c r="D44" s="397">
        <v>0</v>
      </c>
      <c r="E44" s="397">
        <v>0</v>
      </c>
      <c r="F44" s="397">
        <f>+'3.ยุโรป'!D24</f>
        <v>800000</v>
      </c>
      <c r="G44" s="397">
        <f t="shared" si="8"/>
        <v>800000</v>
      </c>
      <c r="H44" s="386"/>
    </row>
    <row r="45" spans="1:8" ht="48" customHeight="1" x14ac:dyDescent="0.2">
      <c r="A45" s="392" t="s">
        <v>172</v>
      </c>
      <c r="B45" s="393">
        <v>0</v>
      </c>
      <c r="C45" s="393">
        <f>SUM(C46:C46)</f>
        <v>1677400</v>
      </c>
      <c r="D45" s="393">
        <f>SUM(D46:D46)</f>
        <v>0</v>
      </c>
      <c r="E45" s="393">
        <f>SUM(E46:E46)</f>
        <v>0</v>
      </c>
      <c r="F45" s="393">
        <f>SUM(F46:F46)</f>
        <v>0</v>
      </c>
      <c r="G45" s="393">
        <f t="shared" ref="G45:G46" si="9">SUM(B45:F45)</f>
        <v>1677400</v>
      </c>
    </row>
    <row r="46" spans="1:8" ht="46.15" customHeight="1" x14ac:dyDescent="0.2">
      <c r="A46" s="396" t="s">
        <v>136</v>
      </c>
      <c r="B46" s="397">
        <v>0</v>
      </c>
      <c r="C46" s="397">
        <f>+'3.ยุโรป'!D28</f>
        <v>1677400</v>
      </c>
      <c r="D46" s="397">
        <v>0</v>
      </c>
      <c r="E46" s="397">
        <v>0</v>
      </c>
      <c r="F46" s="397">
        <v>0</v>
      </c>
      <c r="G46" s="397">
        <f t="shared" si="9"/>
        <v>1677400</v>
      </c>
    </row>
    <row r="47" spans="1:8" hidden="1" x14ac:dyDescent="0.2">
      <c r="A47" s="390" t="s">
        <v>15</v>
      </c>
      <c r="B47" s="391">
        <f>B48</f>
        <v>0</v>
      </c>
      <c r="C47" s="391">
        <f>C48</f>
        <v>0</v>
      </c>
      <c r="D47" s="391">
        <f>D48</f>
        <v>0</v>
      </c>
      <c r="E47" s="391">
        <f>E48</f>
        <v>0</v>
      </c>
      <c r="F47" s="391">
        <f>F48</f>
        <v>0</v>
      </c>
      <c r="G47" s="391">
        <f>SUM(B47:F47)</f>
        <v>0</v>
      </c>
    </row>
    <row r="48" spans="1:8" ht="21.6" hidden="1" customHeight="1" x14ac:dyDescent="0.2">
      <c r="A48" s="396" t="s">
        <v>159</v>
      </c>
      <c r="B48" s="397">
        <v>0</v>
      </c>
      <c r="C48" s="397">
        <v>0</v>
      </c>
      <c r="D48" s="397">
        <f>D49</f>
        <v>0</v>
      </c>
      <c r="E48" s="397">
        <v>0</v>
      </c>
      <c r="F48" s="397">
        <v>0</v>
      </c>
      <c r="G48" s="397">
        <v>0</v>
      </c>
      <c r="H48" s="386"/>
    </row>
    <row r="49" spans="1:8" ht="21" hidden="1" customHeight="1" x14ac:dyDescent="0.2">
      <c r="A49" s="396" t="s">
        <v>119</v>
      </c>
      <c r="B49" s="397">
        <v>0</v>
      </c>
      <c r="C49" s="397">
        <v>0</v>
      </c>
      <c r="D49" s="397">
        <v>0</v>
      </c>
      <c r="E49" s="397">
        <v>0</v>
      </c>
      <c r="F49" s="397">
        <v>0</v>
      </c>
      <c r="G49" s="397">
        <v>0</v>
      </c>
      <c r="H49" s="386"/>
    </row>
    <row r="50" spans="1:8" ht="24.6" customHeight="1" x14ac:dyDescent="0.2">
      <c r="A50" s="398" t="s">
        <v>2</v>
      </c>
      <c r="B50" s="391">
        <f t="shared" ref="B50:G50" si="10">+B36+B47</f>
        <v>0</v>
      </c>
      <c r="C50" s="391">
        <f>+C36+C47</f>
        <v>1677400</v>
      </c>
      <c r="D50" s="391">
        <f t="shared" si="10"/>
        <v>0</v>
      </c>
      <c r="E50" s="391">
        <f t="shared" si="10"/>
        <v>3120000</v>
      </c>
      <c r="F50" s="391">
        <f t="shared" si="10"/>
        <v>12253800</v>
      </c>
      <c r="G50" s="391">
        <f t="shared" si="10"/>
        <v>17051200</v>
      </c>
      <c r="H50" s="386">
        <f>+G50-'3.ยุโรป'!D5</f>
        <v>0</v>
      </c>
    </row>
    <row r="51" spans="1:8" s="395" customFormat="1" x14ac:dyDescent="0.2">
      <c r="A51" s="1358" t="s">
        <v>1052</v>
      </c>
      <c r="B51" s="1358"/>
      <c r="C51" s="1358"/>
      <c r="D51" s="1358"/>
      <c r="E51" s="1358"/>
      <c r="F51" s="1358"/>
      <c r="G51" s="1358"/>
      <c r="H51" s="394"/>
    </row>
    <row r="52" spans="1:8" x14ac:dyDescent="0.2">
      <c r="A52" s="1359" t="s">
        <v>53</v>
      </c>
      <c r="B52" s="1359"/>
      <c r="C52" s="1359"/>
      <c r="D52" s="1359"/>
      <c r="E52" s="1359"/>
      <c r="F52" s="1359"/>
      <c r="G52" s="1359"/>
      <c r="H52" s="386"/>
    </row>
    <row r="53" spans="1:8" s="395" customFormat="1" x14ac:dyDescent="0.2">
      <c r="A53" s="401" t="s">
        <v>19</v>
      </c>
      <c r="B53" s="389" t="s">
        <v>20</v>
      </c>
      <c r="C53" s="389" t="s">
        <v>21</v>
      </c>
      <c r="D53" s="402" t="s">
        <v>22</v>
      </c>
      <c r="E53" s="389" t="s">
        <v>23</v>
      </c>
      <c r="F53" s="403" t="s">
        <v>24</v>
      </c>
      <c r="G53" s="389" t="s">
        <v>25</v>
      </c>
      <c r="H53" s="394"/>
    </row>
    <row r="54" spans="1:8" x14ac:dyDescent="0.2">
      <c r="A54" s="390" t="s">
        <v>12</v>
      </c>
      <c r="B54" s="391">
        <f t="shared" ref="B54:E54" si="11">SUM(,B55,,B57+B59)</f>
        <v>0</v>
      </c>
      <c r="C54" s="391" t="e">
        <f t="shared" si="11"/>
        <v>#REF!</v>
      </c>
      <c r="D54" s="391">
        <f t="shared" si="11"/>
        <v>0</v>
      </c>
      <c r="E54" s="391">
        <f t="shared" si="11"/>
        <v>0</v>
      </c>
      <c r="F54" s="391" t="e">
        <f>SUM(,F55,,F57+F59)</f>
        <v>#REF!</v>
      </c>
      <c r="G54" s="391" t="e">
        <f t="shared" ref="G54:G60" si="12">SUM(B54:F54)</f>
        <v>#REF!</v>
      </c>
      <c r="H54" s="386"/>
    </row>
    <row r="55" spans="1:8" ht="42" x14ac:dyDescent="0.2">
      <c r="A55" s="392" t="s">
        <v>165</v>
      </c>
      <c r="B55" s="393">
        <f>B56</f>
        <v>0</v>
      </c>
      <c r="C55" s="393">
        <f>C56</f>
        <v>0</v>
      </c>
      <c r="D55" s="393">
        <f>D56</f>
        <v>0</v>
      </c>
      <c r="E55" s="393">
        <f>E56</f>
        <v>0</v>
      </c>
      <c r="F55" s="393" t="e">
        <f>SUM(F56)</f>
        <v>#REF!</v>
      </c>
      <c r="G55" s="393" t="e">
        <f t="shared" si="12"/>
        <v>#REF!</v>
      </c>
      <c r="H55" s="386"/>
    </row>
    <row r="56" spans="1:8" x14ac:dyDescent="0.2">
      <c r="A56" s="396" t="s">
        <v>128</v>
      </c>
      <c r="B56" s="397">
        <v>0</v>
      </c>
      <c r="C56" s="397">
        <v>0</v>
      </c>
      <c r="D56" s="397">
        <v>0</v>
      </c>
      <c r="E56" s="397">
        <v>0</v>
      </c>
      <c r="F56" s="397" t="e">
        <f>+#REF!</f>
        <v>#REF!</v>
      </c>
      <c r="G56" s="393" t="e">
        <f t="shared" si="12"/>
        <v>#REF!</v>
      </c>
    </row>
    <row r="57" spans="1:8" ht="42" x14ac:dyDescent="0.2">
      <c r="A57" s="392" t="s">
        <v>166</v>
      </c>
      <c r="B57" s="393">
        <v>0</v>
      </c>
      <c r="C57" s="393">
        <f>SUM(C58:C58)</f>
        <v>0</v>
      </c>
      <c r="D57" s="393">
        <f>SUM(D58:D58)</f>
        <v>0</v>
      </c>
      <c r="E57" s="393">
        <f>SUM(E58:E58)</f>
        <v>0</v>
      </c>
      <c r="F57" s="393" t="e">
        <f>SUM(F58:F58)</f>
        <v>#REF!</v>
      </c>
      <c r="G57" s="393" t="e">
        <f t="shared" si="12"/>
        <v>#REF!</v>
      </c>
    </row>
    <row r="58" spans="1:8" x14ac:dyDescent="0.2">
      <c r="A58" s="396" t="s">
        <v>131</v>
      </c>
      <c r="B58" s="397">
        <v>0</v>
      </c>
      <c r="C58" s="397">
        <v>0</v>
      </c>
      <c r="D58" s="397">
        <v>0</v>
      </c>
      <c r="E58" s="397">
        <v>0</v>
      </c>
      <c r="F58" s="397" t="e">
        <f>+#REF!</f>
        <v>#REF!</v>
      </c>
      <c r="G58" s="397" t="e">
        <f t="shared" si="12"/>
        <v>#REF!</v>
      </c>
    </row>
    <row r="59" spans="1:8" ht="42" x14ac:dyDescent="0.2">
      <c r="A59" s="392" t="s">
        <v>172</v>
      </c>
      <c r="B59" s="393">
        <v>0</v>
      </c>
      <c r="C59" s="393" t="e">
        <f>SUM(C60:C60)</f>
        <v>#REF!</v>
      </c>
      <c r="D59" s="393">
        <f>SUM(D60:D60)</f>
        <v>0</v>
      </c>
      <c r="E59" s="393">
        <f>SUM(E60:E60)</f>
        <v>0</v>
      </c>
      <c r="F59" s="393">
        <f>SUM(F60:F60)</f>
        <v>0</v>
      </c>
      <c r="G59" s="393" t="e">
        <f t="shared" si="12"/>
        <v>#REF!</v>
      </c>
      <c r="H59" s="386"/>
    </row>
    <row r="60" spans="1:8" ht="42" x14ac:dyDescent="0.2">
      <c r="A60" s="396" t="s">
        <v>136</v>
      </c>
      <c r="B60" s="397">
        <v>0</v>
      </c>
      <c r="C60" s="397" t="e">
        <f>+#REF!</f>
        <v>#REF!</v>
      </c>
      <c r="D60" s="397">
        <v>0</v>
      </c>
      <c r="E60" s="397">
        <v>0</v>
      </c>
      <c r="F60" s="397">
        <v>0</v>
      </c>
      <c r="G60" s="397" t="e">
        <f t="shared" si="12"/>
        <v>#REF!</v>
      </c>
      <c r="H60" s="386"/>
    </row>
    <row r="61" spans="1:8" ht="24.6" hidden="1" customHeight="1" x14ac:dyDescent="0.2">
      <c r="A61" s="390" t="s">
        <v>15</v>
      </c>
      <c r="B61" s="391">
        <f>B62</f>
        <v>0</v>
      </c>
      <c r="C61" s="391">
        <f>C62</f>
        <v>0</v>
      </c>
      <c r="D61" s="391">
        <f>D62</f>
        <v>0</v>
      </c>
      <c r="E61" s="391">
        <f>E62</f>
        <v>0</v>
      </c>
      <c r="F61" s="391">
        <f>F62</f>
        <v>0</v>
      </c>
      <c r="G61" s="391">
        <f>SUM(B61:F61)</f>
        <v>0</v>
      </c>
    </row>
    <row r="62" spans="1:8" s="395" customFormat="1" hidden="1" x14ac:dyDescent="0.2">
      <c r="A62" s="396" t="s">
        <v>159</v>
      </c>
      <c r="B62" s="397">
        <v>0</v>
      </c>
      <c r="C62" s="397">
        <v>0</v>
      </c>
      <c r="D62" s="397">
        <f>D63</f>
        <v>0</v>
      </c>
      <c r="E62" s="397">
        <v>0</v>
      </c>
      <c r="F62" s="397">
        <v>0</v>
      </c>
      <c r="G62" s="397">
        <v>0</v>
      </c>
      <c r="H62" s="394"/>
    </row>
    <row r="63" spans="1:8" hidden="1" x14ac:dyDescent="0.2">
      <c r="A63" s="396" t="s">
        <v>119</v>
      </c>
      <c r="B63" s="397">
        <v>0</v>
      </c>
      <c r="C63" s="397">
        <v>0</v>
      </c>
      <c r="D63" s="397">
        <v>0</v>
      </c>
      <c r="E63" s="397">
        <v>0</v>
      </c>
      <c r="F63" s="397">
        <v>0</v>
      </c>
      <c r="G63" s="397">
        <v>0</v>
      </c>
      <c r="H63" s="386"/>
    </row>
    <row r="64" spans="1:8" s="395" customFormat="1" x14ac:dyDescent="0.2">
      <c r="A64" s="398" t="s">
        <v>2</v>
      </c>
      <c r="B64" s="391">
        <f>+B54+B61</f>
        <v>0</v>
      </c>
      <c r="C64" s="391" t="e">
        <f t="shared" ref="C64:G64" si="13">+C54+C61</f>
        <v>#REF!</v>
      </c>
      <c r="D64" s="391">
        <f t="shared" si="13"/>
        <v>0</v>
      </c>
      <c r="E64" s="391">
        <f t="shared" si="13"/>
        <v>0</v>
      </c>
      <c r="F64" s="391" t="e">
        <f t="shared" si="13"/>
        <v>#REF!</v>
      </c>
      <c r="G64" s="391" t="e">
        <f t="shared" si="13"/>
        <v>#REF!</v>
      </c>
      <c r="H64" s="386" t="e">
        <f>+G64-#REF!</f>
        <v>#REF!</v>
      </c>
    </row>
    <row r="65" spans="1:8" x14ac:dyDescent="0.2">
      <c r="H65" s="386"/>
    </row>
    <row r="66" spans="1:8" x14ac:dyDescent="0.2">
      <c r="H66" s="386"/>
    </row>
    <row r="67" spans="1:8" x14ac:dyDescent="0.2">
      <c r="A67" s="1358" t="s">
        <v>1052</v>
      </c>
      <c r="B67" s="1358"/>
      <c r="C67" s="1358"/>
      <c r="D67" s="1358"/>
      <c r="E67" s="1358"/>
      <c r="F67" s="1358"/>
      <c r="G67" s="1358"/>
    </row>
    <row r="68" spans="1:8" x14ac:dyDescent="0.2">
      <c r="A68" s="1359" t="s">
        <v>80</v>
      </c>
      <c r="B68" s="1359"/>
      <c r="C68" s="1359"/>
      <c r="D68" s="1359"/>
      <c r="E68" s="1359"/>
      <c r="F68" s="1359"/>
      <c r="G68" s="1359"/>
    </row>
    <row r="69" spans="1:8" ht="24.6" customHeight="1" x14ac:dyDescent="0.2">
      <c r="A69" s="401" t="s">
        <v>19</v>
      </c>
      <c r="B69" s="389" t="s">
        <v>20</v>
      </c>
      <c r="C69" s="389" t="s">
        <v>21</v>
      </c>
      <c r="D69" s="402" t="s">
        <v>22</v>
      </c>
      <c r="E69" s="389" t="s">
        <v>23</v>
      </c>
      <c r="F69" s="403" t="s">
        <v>24</v>
      </c>
      <c r="G69" s="389" t="s">
        <v>25</v>
      </c>
      <c r="H69" s="386"/>
    </row>
    <row r="70" spans="1:8" x14ac:dyDescent="0.2">
      <c r="A70" s="390" t="s">
        <v>12</v>
      </c>
      <c r="B70" s="391">
        <f>SUM(,B71+B73)</f>
        <v>0</v>
      </c>
      <c r="C70" s="391" t="e">
        <f>SUM(,C71+C73)</f>
        <v>#REF!</v>
      </c>
      <c r="D70" s="391">
        <f>SUM(,D71+D73)</f>
        <v>0</v>
      </c>
      <c r="E70" s="391" t="e">
        <f>SUM(,E71+E73)</f>
        <v>#REF!</v>
      </c>
      <c r="F70" s="391" t="e">
        <f>SUM(,F71+F73)</f>
        <v>#REF!</v>
      </c>
      <c r="G70" s="391" t="e">
        <f t="shared" ref="G70:G75" si="14">SUM(B70:F70)</f>
        <v>#REF!</v>
      </c>
    </row>
    <row r="71" spans="1:8" ht="42" x14ac:dyDescent="0.2">
      <c r="A71" s="392" t="s">
        <v>166</v>
      </c>
      <c r="B71" s="393">
        <f>B72</f>
        <v>0</v>
      </c>
      <c r="C71" s="393">
        <f>C72</f>
        <v>0</v>
      </c>
      <c r="D71" s="393">
        <f>D72</f>
        <v>0</v>
      </c>
      <c r="E71" s="393" t="e">
        <f>E72</f>
        <v>#REF!</v>
      </c>
      <c r="F71" s="393" t="e">
        <f>SUM(F72)</f>
        <v>#REF!</v>
      </c>
      <c r="G71" s="393" t="e">
        <f t="shared" si="14"/>
        <v>#REF!</v>
      </c>
    </row>
    <row r="72" spans="1:8" x14ac:dyDescent="0.2">
      <c r="A72" s="396" t="s">
        <v>132</v>
      </c>
      <c r="B72" s="397">
        <v>0</v>
      </c>
      <c r="C72" s="397">
        <v>0</v>
      </c>
      <c r="D72" s="397">
        <v>0</v>
      </c>
      <c r="E72" s="397" t="e">
        <f>+#REF!</f>
        <v>#REF!</v>
      </c>
      <c r="F72" s="397" t="e">
        <f>+#REF!</f>
        <v>#REF!</v>
      </c>
      <c r="G72" s="393" t="e">
        <f t="shared" si="14"/>
        <v>#REF!</v>
      </c>
    </row>
    <row r="73" spans="1:8" ht="42" x14ac:dyDescent="0.2">
      <c r="A73" s="392" t="s">
        <v>172</v>
      </c>
      <c r="B73" s="393">
        <v>0</v>
      </c>
      <c r="C73" s="393" t="e">
        <f>SUM(C74:C74)</f>
        <v>#REF!</v>
      </c>
      <c r="D73" s="393">
        <f>SUM(D74:D74)</f>
        <v>0</v>
      </c>
      <c r="E73" s="393">
        <f>SUM(E74:E74)</f>
        <v>0</v>
      </c>
      <c r="F73" s="393">
        <f>SUM(F74:F74)</f>
        <v>0</v>
      </c>
      <c r="G73" s="393" t="e">
        <f t="shared" si="14"/>
        <v>#REF!</v>
      </c>
      <c r="H73" s="386"/>
    </row>
    <row r="74" spans="1:8" ht="42" x14ac:dyDescent="0.2">
      <c r="A74" s="396" t="s">
        <v>136</v>
      </c>
      <c r="B74" s="397">
        <v>0</v>
      </c>
      <c r="C74" s="397" t="e">
        <f>+#REF!</f>
        <v>#REF!</v>
      </c>
      <c r="D74" s="397">
        <v>0</v>
      </c>
      <c r="E74" s="397">
        <v>0</v>
      </c>
      <c r="F74" s="397">
        <v>0</v>
      </c>
      <c r="G74" s="397" t="e">
        <f t="shared" si="14"/>
        <v>#REF!</v>
      </c>
      <c r="H74" s="386"/>
    </row>
    <row r="75" spans="1:8" ht="24.6" customHeight="1" x14ac:dyDescent="0.2">
      <c r="A75" s="390" t="s">
        <v>15</v>
      </c>
      <c r="B75" s="391">
        <f>B76</f>
        <v>0</v>
      </c>
      <c r="C75" s="391">
        <f>C76</f>
        <v>0</v>
      </c>
      <c r="D75" s="391" t="e">
        <f>D76</f>
        <v>#REF!</v>
      </c>
      <c r="E75" s="391">
        <f>E76</f>
        <v>0</v>
      </c>
      <c r="F75" s="391">
        <f>F76</f>
        <v>0</v>
      </c>
      <c r="G75" s="391" t="e">
        <f t="shared" si="14"/>
        <v>#REF!</v>
      </c>
    </row>
    <row r="76" spans="1:8" s="395" customFormat="1" x14ac:dyDescent="0.2">
      <c r="A76" s="396" t="s">
        <v>159</v>
      </c>
      <c r="B76" s="397">
        <v>0</v>
      </c>
      <c r="C76" s="397">
        <v>0</v>
      </c>
      <c r="D76" s="397" t="e">
        <f>D77</f>
        <v>#REF!</v>
      </c>
      <c r="E76" s="397">
        <v>0</v>
      </c>
      <c r="F76" s="397">
        <v>0</v>
      </c>
      <c r="G76" s="397">
        <v>0</v>
      </c>
      <c r="H76" s="394"/>
    </row>
    <row r="77" spans="1:8" x14ac:dyDescent="0.2">
      <c r="A77" s="396" t="s">
        <v>119</v>
      </c>
      <c r="B77" s="397">
        <v>0</v>
      </c>
      <c r="C77" s="397">
        <v>0</v>
      </c>
      <c r="D77" s="397" t="e">
        <f>+#REF!</f>
        <v>#REF!</v>
      </c>
      <c r="E77" s="397">
        <v>0</v>
      </c>
      <c r="F77" s="397">
        <v>0</v>
      </c>
      <c r="G77" s="397">
        <v>0</v>
      </c>
      <c r="H77" s="386"/>
    </row>
    <row r="78" spans="1:8" s="395" customFormat="1" x14ac:dyDescent="0.2">
      <c r="A78" s="398" t="s">
        <v>2</v>
      </c>
      <c r="B78" s="391">
        <f>+B70</f>
        <v>0</v>
      </c>
      <c r="C78" s="391" t="e">
        <f>+C70</f>
        <v>#REF!</v>
      </c>
      <c r="D78" s="391" t="e">
        <f>+D70+D75</f>
        <v>#REF!</v>
      </c>
      <c r="E78" s="391" t="e">
        <f>+E70</f>
        <v>#REF!</v>
      </c>
      <c r="F78" s="391" t="e">
        <f>+F70</f>
        <v>#REF!</v>
      </c>
      <c r="G78" s="391" t="e">
        <f>+G70+G75</f>
        <v>#REF!</v>
      </c>
      <c r="H78" s="386" t="e">
        <f>+G78-#REF!</f>
        <v>#REF!</v>
      </c>
    </row>
    <row r="79" spans="1:8" x14ac:dyDescent="0.2">
      <c r="H79" s="386"/>
    </row>
    <row r="80" spans="1:8" s="395" customFormat="1" x14ac:dyDescent="0.2">
      <c r="A80" s="387"/>
      <c r="B80" s="387"/>
      <c r="C80" s="387"/>
      <c r="D80" s="387"/>
      <c r="E80" s="387"/>
      <c r="F80" s="387"/>
      <c r="G80" s="387"/>
      <c r="H80" s="394"/>
    </row>
    <row r="81" spans="1:8" x14ac:dyDescent="0.2">
      <c r="A81" s="1358" t="s">
        <v>1052</v>
      </c>
      <c r="B81" s="1358"/>
      <c r="C81" s="1358"/>
      <c r="D81" s="1358"/>
      <c r="E81" s="1358"/>
      <c r="F81" s="1358"/>
      <c r="G81" s="1358"/>
      <c r="H81" s="386"/>
    </row>
    <row r="82" spans="1:8" x14ac:dyDescent="0.2">
      <c r="A82" s="1359" t="s">
        <v>63</v>
      </c>
      <c r="B82" s="1359"/>
      <c r="C82" s="1359"/>
      <c r="D82" s="1359"/>
      <c r="E82" s="1359"/>
      <c r="F82" s="1359"/>
      <c r="G82" s="1359"/>
      <c r="H82" s="386"/>
    </row>
    <row r="83" spans="1:8" x14ac:dyDescent="0.2">
      <c r="A83" s="401" t="s">
        <v>19</v>
      </c>
      <c r="B83" s="389" t="s">
        <v>20</v>
      </c>
      <c r="C83" s="389" t="s">
        <v>21</v>
      </c>
      <c r="D83" s="402" t="s">
        <v>22</v>
      </c>
      <c r="E83" s="389" t="s">
        <v>23</v>
      </c>
      <c r="F83" s="403" t="s">
        <v>24</v>
      </c>
      <c r="G83" s="389" t="s">
        <v>25</v>
      </c>
    </row>
    <row r="84" spans="1:8" x14ac:dyDescent="0.2">
      <c r="A84" s="390" t="s">
        <v>12</v>
      </c>
      <c r="B84" s="391">
        <f>SUM(,B85,,B87+B89)</f>
        <v>0</v>
      </c>
      <c r="C84" s="391" t="e">
        <f>SUM(,C85,,C87+C89)</f>
        <v>#REF!</v>
      </c>
      <c r="D84" s="391">
        <f>SUM(,D85,,D87+D89)</f>
        <v>0</v>
      </c>
      <c r="E84" s="391" t="e">
        <f>SUM(,E85,,E87+E89)</f>
        <v>#REF!</v>
      </c>
      <c r="F84" s="391" t="e">
        <f>SUM(,F85,,F87+F89)</f>
        <v>#REF!</v>
      </c>
      <c r="G84" s="391" t="e">
        <f t="shared" ref="G84:G90" si="15">SUM(B84:F84)</f>
        <v>#REF!</v>
      </c>
    </row>
    <row r="85" spans="1:8" ht="42" x14ac:dyDescent="0.2">
      <c r="A85" s="392" t="s">
        <v>165</v>
      </c>
      <c r="B85" s="393">
        <f>B86</f>
        <v>0</v>
      </c>
      <c r="C85" s="393">
        <f>C86</f>
        <v>0</v>
      </c>
      <c r="D85" s="393">
        <f>D86</f>
        <v>0</v>
      </c>
      <c r="E85" s="393" t="e">
        <f>E86</f>
        <v>#REF!</v>
      </c>
      <c r="F85" s="393" t="e">
        <f>SUM(F86)</f>
        <v>#REF!</v>
      </c>
      <c r="G85" s="393" t="e">
        <f t="shared" si="15"/>
        <v>#REF!</v>
      </c>
    </row>
    <row r="86" spans="1:8" x14ac:dyDescent="0.2">
      <c r="A86" s="396" t="s">
        <v>129</v>
      </c>
      <c r="B86" s="397">
        <v>0</v>
      </c>
      <c r="C86" s="397">
        <v>0</v>
      </c>
      <c r="D86" s="397">
        <v>0</v>
      </c>
      <c r="E86" s="397" t="e">
        <f>+#REF!</f>
        <v>#REF!</v>
      </c>
      <c r="F86" s="397" t="e">
        <f>+#REF!</f>
        <v>#REF!</v>
      </c>
      <c r="G86" s="393" t="e">
        <f t="shared" si="15"/>
        <v>#REF!</v>
      </c>
      <c r="H86" s="386"/>
    </row>
    <row r="87" spans="1:8" ht="42" x14ac:dyDescent="0.2">
      <c r="A87" s="392" t="s">
        <v>167</v>
      </c>
      <c r="B87" s="393">
        <v>0</v>
      </c>
      <c r="C87" s="393">
        <f>SUM(C88:C88)</f>
        <v>0</v>
      </c>
      <c r="D87" s="393">
        <f>SUM(D88:D88)</f>
        <v>0</v>
      </c>
      <c r="E87" s="393" t="e">
        <f>SUM(E88:E88)</f>
        <v>#REF!</v>
      </c>
      <c r="F87" s="393">
        <f>SUM(F88:F88)</f>
        <v>0</v>
      </c>
      <c r="G87" s="393" t="e">
        <f t="shared" si="15"/>
        <v>#REF!</v>
      </c>
      <c r="H87" s="386"/>
    </row>
    <row r="88" spans="1:8" ht="42" x14ac:dyDescent="0.2">
      <c r="A88" s="396" t="s">
        <v>168</v>
      </c>
      <c r="B88" s="397">
        <v>0</v>
      </c>
      <c r="C88" s="397">
        <v>0</v>
      </c>
      <c r="D88" s="397">
        <v>0</v>
      </c>
      <c r="E88" s="397" t="e">
        <f>+#REF!</f>
        <v>#REF!</v>
      </c>
      <c r="F88" s="397">
        <v>0</v>
      </c>
      <c r="G88" s="397" t="e">
        <f t="shared" si="15"/>
        <v>#REF!</v>
      </c>
      <c r="H88" s="386"/>
    </row>
    <row r="89" spans="1:8" s="395" customFormat="1" ht="42" x14ac:dyDescent="0.2">
      <c r="A89" s="392" t="s">
        <v>172</v>
      </c>
      <c r="B89" s="393">
        <v>0</v>
      </c>
      <c r="C89" s="393" t="e">
        <f>SUM(C90:C90)</f>
        <v>#REF!</v>
      </c>
      <c r="D89" s="393">
        <f>SUM(D90:D90)</f>
        <v>0</v>
      </c>
      <c r="E89" s="393">
        <f>SUM(E90:E90)</f>
        <v>0</v>
      </c>
      <c r="F89" s="393">
        <f>SUM(F90:F90)</f>
        <v>0</v>
      </c>
      <c r="G89" s="393" t="e">
        <f t="shared" si="15"/>
        <v>#REF!</v>
      </c>
      <c r="H89" s="394"/>
    </row>
    <row r="90" spans="1:8" ht="42" x14ac:dyDescent="0.2">
      <c r="A90" s="396" t="s">
        <v>136</v>
      </c>
      <c r="B90" s="397">
        <v>0</v>
      </c>
      <c r="C90" s="397" t="e">
        <f>+#REF!</f>
        <v>#REF!</v>
      </c>
      <c r="D90" s="397">
        <v>0</v>
      </c>
      <c r="E90" s="397">
        <v>0</v>
      </c>
      <c r="F90" s="397">
        <v>0</v>
      </c>
      <c r="G90" s="397" t="e">
        <f t="shared" si="15"/>
        <v>#REF!</v>
      </c>
      <c r="H90" s="386"/>
    </row>
    <row r="91" spans="1:8" s="395" customFormat="1" x14ac:dyDescent="0.2">
      <c r="A91" s="390" t="s">
        <v>15</v>
      </c>
      <c r="B91" s="391">
        <f>B92</f>
        <v>0</v>
      </c>
      <c r="C91" s="391">
        <f>C92</f>
        <v>0</v>
      </c>
      <c r="D91" s="391" t="e">
        <f>D92</f>
        <v>#REF!</v>
      </c>
      <c r="E91" s="391">
        <f>E92</f>
        <v>0</v>
      </c>
      <c r="F91" s="391">
        <f>F92</f>
        <v>0</v>
      </c>
      <c r="G91" s="391" t="e">
        <f t="shared" ref="G91" si="16">SUM(B91:F91)</f>
        <v>#REF!</v>
      </c>
    </row>
    <row r="92" spans="1:8" x14ac:dyDescent="0.2">
      <c r="A92" s="396" t="s">
        <v>159</v>
      </c>
      <c r="B92" s="397">
        <v>0</v>
      </c>
      <c r="C92" s="397">
        <v>0</v>
      </c>
      <c r="D92" s="397" t="e">
        <f>D93</f>
        <v>#REF!</v>
      </c>
      <c r="E92" s="397">
        <v>0</v>
      </c>
      <c r="F92" s="397">
        <v>0</v>
      </c>
      <c r="G92" s="397">
        <v>0</v>
      </c>
      <c r="H92" s="386"/>
    </row>
    <row r="93" spans="1:8" s="395" customFormat="1" x14ac:dyDescent="0.2">
      <c r="A93" s="396" t="s">
        <v>119</v>
      </c>
      <c r="B93" s="397">
        <v>0</v>
      </c>
      <c r="C93" s="397">
        <v>0</v>
      </c>
      <c r="D93" s="397" t="e">
        <f>+#REF!</f>
        <v>#REF!</v>
      </c>
      <c r="E93" s="397">
        <v>0</v>
      </c>
      <c r="F93" s="397">
        <v>0</v>
      </c>
      <c r="G93" s="397">
        <v>0</v>
      </c>
      <c r="H93" s="394"/>
    </row>
    <row r="94" spans="1:8" x14ac:dyDescent="0.2">
      <c r="A94" s="398" t="s">
        <v>2</v>
      </c>
      <c r="B94" s="391">
        <f>+B84+B91</f>
        <v>0</v>
      </c>
      <c r="C94" s="391" t="e">
        <f t="shared" ref="C94:G94" si="17">+C84+C91</f>
        <v>#REF!</v>
      </c>
      <c r="D94" s="391" t="e">
        <f t="shared" si="17"/>
        <v>#REF!</v>
      </c>
      <c r="E94" s="391" t="e">
        <f t="shared" si="17"/>
        <v>#REF!</v>
      </c>
      <c r="F94" s="391" t="e">
        <f t="shared" si="17"/>
        <v>#REF!</v>
      </c>
      <c r="G94" s="391" t="e">
        <f t="shared" si="17"/>
        <v>#REF!</v>
      </c>
      <c r="H94" s="386" t="e">
        <f>+G94-#REF!</f>
        <v>#REF!</v>
      </c>
    </row>
    <row r="95" spans="1:8" x14ac:dyDescent="0.2">
      <c r="H95" s="386"/>
    </row>
    <row r="97" spans="1:8" x14ac:dyDescent="0.2">
      <c r="A97" s="1358" t="s">
        <v>1052</v>
      </c>
      <c r="B97" s="1358"/>
      <c r="C97" s="1358"/>
      <c r="D97" s="1358"/>
      <c r="E97" s="1358"/>
      <c r="F97" s="1358"/>
      <c r="G97" s="1358"/>
    </row>
    <row r="98" spans="1:8" x14ac:dyDescent="0.2">
      <c r="A98" s="1359" t="s">
        <v>61</v>
      </c>
      <c r="B98" s="1359"/>
      <c r="C98" s="1359"/>
      <c r="D98" s="1359"/>
      <c r="E98" s="1359"/>
      <c r="F98" s="1359"/>
      <c r="G98" s="1359"/>
      <c r="H98" s="386"/>
    </row>
    <row r="99" spans="1:8" x14ac:dyDescent="0.2">
      <c r="A99" s="401" t="s">
        <v>19</v>
      </c>
      <c r="B99" s="389" t="s">
        <v>20</v>
      </c>
      <c r="C99" s="389" t="s">
        <v>21</v>
      </c>
      <c r="D99" s="402" t="s">
        <v>22</v>
      </c>
      <c r="E99" s="389" t="s">
        <v>23</v>
      </c>
      <c r="F99" s="403" t="s">
        <v>24</v>
      </c>
      <c r="G99" s="389" t="s">
        <v>25</v>
      </c>
      <c r="H99" s="386"/>
    </row>
    <row r="100" spans="1:8" x14ac:dyDescent="0.2">
      <c r="A100" s="390" t="s">
        <v>12</v>
      </c>
      <c r="B100" s="391">
        <f>SUM(,B101,,B103+B105)</f>
        <v>0</v>
      </c>
      <c r="C100" s="391" t="e">
        <f>SUM(,C101,,C103+C105)</f>
        <v>#REF!</v>
      </c>
      <c r="D100" s="391">
        <f>SUM(,D101,,D103+D105)</f>
        <v>0</v>
      </c>
      <c r="E100" s="391" t="e">
        <f>SUM(,E101,,E103+E105)</f>
        <v>#REF!</v>
      </c>
      <c r="F100" s="391" t="e">
        <f>SUM(,F101,,F103+F105)</f>
        <v>#REF!</v>
      </c>
      <c r="G100" s="391" t="e">
        <f t="shared" ref="G100:G106" si="18">SUM(B100:F100)</f>
        <v>#REF!</v>
      </c>
      <c r="H100" s="386"/>
    </row>
    <row r="101" spans="1:8" ht="24.6" customHeight="1" x14ac:dyDescent="0.2">
      <c r="A101" s="392" t="s">
        <v>165</v>
      </c>
      <c r="B101" s="393">
        <f>B102</f>
        <v>0</v>
      </c>
      <c r="C101" s="393">
        <f>C102</f>
        <v>0</v>
      </c>
      <c r="D101" s="393">
        <f>D102</f>
        <v>0</v>
      </c>
      <c r="E101" s="393">
        <f>E102</f>
        <v>0</v>
      </c>
      <c r="F101" s="393" t="e">
        <f>SUM(F102)</f>
        <v>#REF!</v>
      </c>
      <c r="G101" s="393" t="e">
        <f t="shared" si="18"/>
        <v>#REF!</v>
      </c>
    </row>
    <row r="102" spans="1:8" s="395" customFormat="1" x14ac:dyDescent="0.2">
      <c r="A102" s="396" t="s">
        <v>128</v>
      </c>
      <c r="B102" s="397">
        <v>0</v>
      </c>
      <c r="C102" s="397">
        <v>0</v>
      </c>
      <c r="D102" s="397">
        <v>0</v>
      </c>
      <c r="E102" s="397">
        <v>0</v>
      </c>
      <c r="F102" s="397" t="e">
        <f>+#REF!</f>
        <v>#REF!</v>
      </c>
      <c r="G102" s="393" t="e">
        <f t="shared" si="18"/>
        <v>#REF!</v>
      </c>
      <c r="H102" s="394"/>
    </row>
    <row r="103" spans="1:8" ht="42" x14ac:dyDescent="0.2">
      <c r="A103" s="392" t="s">
        <v>167</v>
      </c>
      <c r="B103" s="393">
        <v>0</v>
      </c>
      <c r="C103" s="393">
        <f>SUM(C104:C104)</f>
        <v>0</v>
      </c>
      <c r="D103" s="393">
        <f>SUM(D104:D104)</f>
        <v>0</v>
      </c>
      <c r="E103" s="393" t="e">
        <f>SUM(E104:E104)</f>
        <v>#REF!</v>
      </c>
      <c r="F103" s="393" t="e">
        <f>SUM(F104:F104)</f>
        <v>#REF!</v>
      </c>
      <c r="G103" s="393" t="e">
        <f t="shared" si="18"/>
        <v>#REF!</v>
      </c>
      <c r="H103" s="386"/>
    </row>
    <row r="104" spans="1:8" s="395" customFormat="1" ht="42" x14ac:dyDescent="0.2">
      <c r="A104" s="396" t="s">
        <v>168</v>
      </c>
      <c r="B104" s="397">
        <v>0</v>
      </c>
      <c r="C104" s="397">
        <v>0</v>
      </c>
      <c r="D104" s="397">
        <v>0</v>
      </c>
      <c r="E104" s="397" t="e">
        <f>+#REF!</f>
        <v>#REF!</v>
      </c>
      <c r="F104" s="397" t="e">
        <f>+#REF!</f>
        <v>#REF!</v>
      </c>
      <c r="G104" s="397" t="e">
        <f t="shared" si="18"/>
        <v>#REF!</v>
      </c>
      <c r="H104" s="394"/>
    </row>
    <row r="105" spans="1:8" ht="42" x14ac:dyDescent="0.2">
      <c r="A105" s="392" t="s">
        <v>172</v>
      </c>
      <c r="B105" s="393">
        <v>0</v>
      </c>
      <c r="C105" s="393" t="e">
        <f>SUM(C106:C106)</f>
        <v>#REF!</v>
      </c>
      <c r="D105" s="393">
        <f>SUM(D106:D106)</f>
        <v>0</v>
      </c>
      <c r="E105" s="393">
        <f>SUM(E106:E106)</f>
        <v>0</v>
      </c>
      <c r="F105" s="393">
        <f>SUM(F106:F106)</f>
        <v>0</v>
      </c>
      <c r="G105" s="393" t="e">
        <f t="shared" si="18"/>
        <v>#REF!</v>
      </c>
      <c r="H105" s="386"/>
    </row>
    <row r="106" spans="1:8" s="395" customFormat="1" ht="42" x14ac:dyDescent="0.2">
      <c r="A106" s="396" t="s">
        <v>136</v>
      </c>
      <c r="B106" s="397">
        <v>0</v>
      </c>
      <c r="C106" s="397" t="e">
        <f>+#REF!</f>
        <v>#REF!</v>
      </c>
      <c r="D106" s="397">
        <v>0</v>
      </c>
      <c r="E106" s="397">
        <v>0</v>
      </c>
      <c r="F106" s="397">
        <v>0</v>
      </c>
      <c r="G106" s="397" t="e">
        <f t="shared" si="18"/>
        <v>#REF!</v>
      </c>
      <c r="H106" s="394"/>
    </row>
    <row r="107" spans="1:8" x14ac:dyDescent="0.2">
      <c r="A107" s="390" t="s">
        <v>15</v>
      </c>
      <c r="B107" s="391">
        <f>B108</f>
        <v>0</v>
      </c>
      <c r="C107" s="391">
        <f>C108</f>
        <v>0</v>
      </c>
      <c r="D107" s="391" t="e">
        <f>D108</f>
        <v>#REF!</v>
      </c>
      <c r="E107" s="391">
        <f>E108</f>
        <v>0</v>
      </c>
      <c r="F107" s="391">
        <f>F108</f>
        <v>0</v>
      </c>
      <c r="G107" s="391" t="e">
        <f>SUM(B107:F107)</f>
        <v>#REF!</v>
      </c>
      <c r="H107" s="386"/>
    </row>
    <row r="108" spans="1:8" x14ac:dyDescent="0.2">
      <c r="A108" s="396" t="s">
        <v>159</v>
      </c>
      <c r="B108" s="397">
        <v>0</v>
      </c>
      <c r="C108" s="397">
        <v>0</v>
      </c>
      <c r="D108" s="397" t="e">
        <f>D109</f>
        <v>#REF!</v>
      </c>
      <c r="E108" s="397">
        <v>0</v>
      </c>
      <c r="F108" s="397">
        <v>0</v>
      </c>
      <c r="G108" s="397">
        <v>0</v>
      </c>
      <c r="H108" s="386"/>
    </row>
    <row r="109" spans="1:8" x14ac:dyDescent="0.2">
      <c r="A109" s="396" t="s">
        <v>119</v>
      </c>
      <c r="B109" s="397">
        <v>0</v>
      </c>
      <c r="C109" s="397">
        <v>0</v>
      </c>
      <c r="D109" s="397" t="e">
        <f>+#REF!</f>
        <v>#REF!</v>
      </c>
      <c r="E109" s="397">
        <v>0</v>
      </c>
      <c r="F109" s="397">
        <v>0</v>
      </c>
      <c r="G109" s="397">
        <v>0</v>
      </c>
    </row>
    <row r="110" spans="1:8" x14ac:dyDescent="0.2">
      <c r="A110" s="398" t="s">
        <v>2</v>
      </c>
      <c r="B110" s="391">
        <f>+B100+B107</f>
        <v>0</v>
      </c>
      <c r="C110" s="391" t="e">
        <f t="shared" ref="C110:G110" si="19">+C100+C107</f>
        <v>#REF!</v>
      </c>
      <c r="D110" s="391" t="e">
        <f t="shared" si="19"/>
        <v>#REF!</v>
      </c>
      <c r="E110" s="391" t="e">
        <f t="shared" si="19"/>
        <v>#REF!</v>
      </c>
      <c r="F110" s="391" t="e">
        <f t="shared" si="19"/>
        <v>#REF!</v>
      </c>
      <c r="G110" s="391" t="e">
        <f t="shared" si="19"/>
        <v>#REF!</v>
      </c>
      <c r="H110" s="386" t="e">
        <f>+G110-#REF!</f>
        <v>#REF!</v>
      </c>
    </row>
    <row r="111" spans="1:8" x14ac:dyDescent="0.2">
      <c r="H111" s="386"/>
    </row>
    <row r="112" spans="1:8" x14ac:dyDescent="0.2">
      <c r="H112" s="386"/>
    </row>
    <row r="113" spans="1:8" x14ac:dyDescent="0.2">
      <c r="A113" s="1358" t="s">
        <v>1052</v>
      </c>
      <c r="B113" s="1358"/>
      <c r="C113" s="1358"/>
      <c r="D113" s="1358"/>
      <c r="E113" s="1358"/>
      <c r="F113" s="1358"/>
      <c r="G113" s="1358"/>
      <c r="H113" s="386"/>
    </row>
    <row r="114" spans="1:8" ht="24.6" customHeight="1" x14ac:dyDescent="0.2">
      <c r="A114" s="1359" t="s">
        <v>51</v>
      </c>
      <c r="B114" s="1359"/>
      <c r="C114" s="1359"/>
      <c r="D114" s="1359"/>
      <c r="E114" s="1359"/>
      <c r="F114" s="1359"/>
      <c r="G114" s="1359"/>
    </row>
    <row r="115" spans="1:8" s="395" customFormat="1" x14ac:dyDescent="0.2">
      <c r="A115" s="401" t="s">
        <v>19</v>
      </c>
      <c r="B115" s="389" t="s">
        <v>20</v>
      </c>
      <c r="C115" s="389" t="s">
        <v>21</v>
      </c>
      <c r="D115" s="402" t="s">
        <v>22</v>
      </c>
      <c r="E115" s="389" t="s">
        <v>23</v>
      </c>
      <c r="F115" s="403" t="s">
        <v>24</v>
      </c>
      <c r="G115" s="389" t="s">
        <v>25</v>
      </c>
      <c r="H115" s="394"/>
    </row>
    <row r="116" spans="1:8" x14ac:dyDescent="0.2">
      <c r="A116" s="390" t="s">
        <v>12</v>
      </c>
      <c r="B116" s="391">
        <f>SUM(,B117,,B119+B121)</f>
        <v>0</v>
      </c>
      <c r="C116" s="391" t="e">
        <f>SUM(,C117,,C119+C121)</f>
        <v>#REF!</v>
      </c>
      <c r="D116" s="391">
        <f>SUM(,D117,,D119+D121)</f>
        <v>0</v>
      </c>
      <c r="E116" s="391" t="e">
        <f>SUM(,E117,,E119+E121)</f>
        <v>#REF!</v>
      </c>
      <c r="F116" s="391" t="e">
        <f>SUM(,F117,,F119+F121)</f>
        <v>#REF!</v>
      </c>
      <c r="G116" s="391" t="e">
        <f t="shared" ref="G116:G122" si="20">SUM(B116:F116)</f>
        <v>#REF!</v>
      </c>
      <c r="H116" s="386"/>
    </row>
    <row r="117" spans="1:8" s="395" customFormat="1" ht="42" x14ac:dyDescent="0.2">
      <c r="A117" s="392" t="s">
        <v>166</v>
      </c>
      <c r="B117" s="393">
        <f>B118</f>
        <v>0</v>
      </c>
      <c r="C117" s="393">
        <f>C118</f>
        <v>0</v>
      </c>
      <c r="D117" s="393">
        <f>D118</f>
        <v>0</v>
      </c>
      <c r="E117" s="393">
        <f>E118</f>
        <v>0</v>
      </c>
      <c r="F117" s="393" t="e">
        <f>SUM(F118)</f>
        <v>#REF!</v>
      </c>
      <c r="G117" s="393" t="e">
        <f t="shared" si="20"/>
        <v>#REF!</v>
      </c>
      <c r="H117" s="394"/>
    </row>
    <row r="118" spans="1:8" x14ac:dyDescent="0.2">
      <c r="A118" s="396" t="s">
        <v>131</v>
      </c>
      <c r="B118" s="397">
        <v>0</v>
      </c>
      <c r="C118" s="397">
        <v>0</v>
      </c>
      <c r="D118" s="397">
        <v>0</v>
      </c>
      <c r="E118" s="397">
        <v>0</v>
      </c>
      <c r="F118" s="397" t="e">
        <f>+#REF!</f>
        <v>#REF!</v>
      </c>
      <c r="G118" s="393" t="e">
        <f t="shared" si="20"/>
        <v>#REF!</v>
      </c>
      <c r="H118" s="386"/>
    </row>
    <row r="119" spans="1:8" s="395" customFormat="1" ht="42" x14ac:dyDescent="0.2">
      <c r="A119" s="392" t="s">
        <v>167</v>
      </c>
      <c r="B119" s="393">
        <v>0</v>
      </c>
      <c r="C119" s="393">
        <f>SUM(C120:C120)</f>
        <v>0</v>
      </c>
      <c r="D119" s="393">
        <f>SUM(D120:D120)</f>
        <v>0</v>
      </c>
      <c r="E119" s="393" t="e">
        <f>SUM(E120:E120)</f>
        <v>#REF!</v>
      </c>
      <c r="F119" s="393">
        <f>SUM(F120:F120)</f>
        <v>0</v>
      </c>
      <c r="G119" s="393" t="e">
        <f t="shared" si="20"/>
        <v>#REF!</v>
      </c>
      <c r="H119" s="394"/>
    </row>
    <row r="120" spans="1:8" ht="42" x14ac:dyDescent="0.2">
      <c r="A120" s="396" t="s">
        <v>168</v>
      </c>
      <c r="B120" s="397">
        <v>0</v>
      </c>
      <c r="C120" s="397">
        <v>0</v>
      </c>
      <c r="D120" s="397">
        <v>0</v>
      </c>
      <c r="E120" s="397" t="e">
        <f>+#REF!</f>
        <v>#REF!</v>
      </c>
      <c r="F120" s="397">
        <v>0</v>
      </c>
      <c r="G120" s="397" t="e">
        <f t="shared" si="20"/>
        <v>#REF!</v>
      </c>
      <c r="H120" s="386"/>
    </row>
    <row r="121" spans="1:8" ht="42" x14ac:dyDescent="0.2">
      <c r="A121" s="392" t="s">
        <v>172</v>
      </c>
      <c r="B121" s="393">
        <v>0</v>
      </c>
      <c r="C121" s="393" t="e">
        <f>SUM(C122:C122)</f>
        <v>#REF!</v>
      </c>
      <c r="D121" s="393">
        <f>SUM(D122:D122)</f>
        <v>0</v>
      </c>
      <c r="E121" s="393">
        <f>SUM(E122:E122)</f>
        <v>0</v>
      </c>
      <c r="F121" s="393">
        <f>SUM(F122:F122)</f>
        <v>0</v>
      </c>
      <c r="G121" s="393" t="e">
        <f t="shared" si="20"/>
        <v>#REF!</v>
      </c>
      <c r="H121" s="386"/>
    </row>
    <row r="122" spans="1:8" ht="42" x14ac:dyDescent="0.2">
      <c r="A122" s="396" t="s">
        <v>136</v>
      </c>
      <c r="B122" s="397">
        <v>0</v>
      </c>
      <c r="C122" s="397" t="e">
        <f>+#REF!</f>
        <v>#REF!</v>
      </c>
      <c r="D122" s="397">
        <v>0</v>
      </c>
      <c r="E122" s="397">
        <v>0</v>
      </c>
      <c r="F122" s="397">
        <v>0</v>
      </c>
      <c r="G122" s="397" t="e">
        <f t="shared" si="20"/>
        <v>#REF!</v>
      </c>
    </row>
    <row r="123" spans="1:8" x14ac:dyDescent="0.2">
      <c r="A123" s="390" t="s">
        <v>15</v>
      </c>
      <c r="B123" s="391">
        <f>B124</f>
        <v>0</v>
      </c>
      <c r="C123" s="391">
        <f>C124</f>
        <v>0</v>
      </c>
      <c r="D123" s="391" t="e">
        <f>D124</f>
        <v>#REF!</v>
      </c>
      <c r="E123" s="391">
        <f>E124</f>
        <v>0</v>
      </c>
      <c r="F123" s="391">
        <f>F124</f>
        <v>0</v>
      </c>
      <c r="G123" s="391" t="e">
        <f>SUM(B123:F123)</f>
        <v>#REF!</v>
      </c>
    </row>
    <row r="124" spans="1:8" x14ac:dyDescent="0.2">
      <c r="A124" s="396" t="s">
        <v>159</v>
      </c>
      <c r="B124" s="397">
        <v>0</v>
      </c>
      <c r="C124" s="397">
        <v>0</v>
      </c>
      <c r="D124" s="397" t="e">
        <f>D125</f>
        <v>#REF!</v>
      </c>
      <c r="E124" s="397">
        <v>0</v>
      </c>
      <c r="F124" s="397">
        <v>0</v>
      </c>
      <c r="G124" s="397">
        <v>0</v>
      </c>
    </row>
    <row r="125" spans="1:8" x14ac:dyDescent="0.2">
      <c r="A125" s="396" t="s">
        <v>119</v>
      </c>
      <c r="B125" s="397">
        <v>0</v>
      </c>
      <c r="C125" s="397">
        <v>0</v>
      </c>
      <c r="D125" s="397" t="e">
        <f>+#REF!</f>
        <v>#REF!</v>
      </c>
      <c r="E125" s="397">
        <v>0</v>
      </c>
      <c r="F125" s="397">
        <v>0</v>
      </c>
      <c r="G125" s="397">
        <v>0</v>
      </c>
      <c r="H125" s="386"/>
    </row>
    <row r="126" spans="1:8" x14ac:dyDescent="0.2">
      <c r="A126" s="398" t="s">
        <v>2</v>
      </c>
      <c r="B126" s="391">
        <f>+B116+B123</f>
        <v>0</v>
      </c>
      <c r="C126" s="391" t="e">
        <f t="shared" ref="C126:G126" si="21">+C116+C123</f>
        <v>#REF!</v>
      </c>
      <c r="D126" s="391" t="e">
        <f t="shared" si="21"/>
        <v>#REF!</v>
      </c>
      <c r="E126" s="391" t="e">
        <f t="shared" si="21"/>
        <v>#REF!</v>
      </c>
      <c r="F126" s="391" t="e">
        <f t="shared" si="21"/>
        <v>#REF!</v>
      </c>
      <c r="G126" s="391" t="e">
        <f t="shared" si="21"/>
        <v>#REF!</v>
      </c>
      <c r="H126" s="386" t="e">
        <f>+G126-#REF!</f>
        <v>#REF!</v>
      </c>
    </row>
    <row r="127" spans="1:8" x14ac:dyDescent="0.2">
      <c r="H127" s="386"/>
    </row>
    <row r="128" spans="1:8" x14ac:dyDescent="0.2">
      <c r="H128" s="386"/>
    </row>
    <row r="129" spans="1:8" x14ac:dyDescent="0.2">
      <c r="A129" s="1358" t="s">
        <v>1052</v>
      </c>
      <c r="B129" s="1358"/>
      <c r="C129" s="1358"/>
      <c r="D129" s="1358"/>
      <c r="E129" s="1358"/>
      <c r="F129" s="1358"/>
      <c r="G129" s="1358"/>
      <c r="H129" s="386"/>
    </row>
    <row r="130" spans="1:8" x14ac:dyDescent="0.2">
      <c r="A130" s="1359" t="s">
        <v>62</v>
      </c>
      <c r="B130" s="1359"/>
      <c r="C130" s="1359"/>
      <c r="D130" s="1359"/>
      <c r="E130" s="1359"/>
      <c r="F130" s="1359"/>
      <c r="G130" s="1359"/>
      <c r="H130" s="386"/>
    </row>
    <row r="131" spans="1:8" s="395" customFormat="1" x14ac:dyDescent="0.2">
      <c r="A131" s="401" t="s">
        <v>19</v>
      </c>
      <c r="B131" s="389" t="s">
        <v>20</v>
      </c>
      <c r="C131" s="389" t="s">
        <v>21</v>
      </c>
      <c r="D131" s="402" t="s">
        <v>22</v>
      </c>
      <c r="E131" s="389" t="s">
        <v>23</v>
      </c>
      <c r="F131" s="403" t="s">
        <v>24</v>
      </c>
      <c r="G131" s="389" t="s">
        <v>25</v>
      </c>
      <c r="H131" s="394"/>
    </row>
    <row r="132" spans="1:8" x14ac:dyDescent="0.2">
      <c r="A132" s="390" t="s">
        <v>12</v>
      </c>
      <c r="B132" s="391">
        <f t="shared" ref="B132:E132" si="22">SUM(,B133,,B136+B138+B140)</f>
        <v>0</v>
      </c>
      <c r="C132" s="391" t="e">
        <f t="shared" si="22"/>
        <v>#REF!</v>
      </c>
      <c r="D132" s="391">
        <f t="shared" si="22"/>
        <v>0</v>
      </c>
      <c r="E132" s="391" t="e">
        <f t="shared" si="22"/>
        <v>#REF!</v>
      </c>
      <c r="F132" s="391" t="e">
        <f>SUM(,F133,,F136+F138+F140)</f>
        <v>#REF!</v>
      </c>
      <c r="G132" s="391" t="e">
        <f t="shared" ref="G132:G139" si="23">SUM(B132:F132)</f>
        <v>#REF!</v>
      </c>
      <c r="H132" s="386"/>
    </row>
    <row r="133" spans="1:8" s="395" customFormat="1" ht="42" x14ac:dyDescent="0.2">
      <c r="A133" s="392" t="s">
        <v>165</v>
      </c>
      <c r="B133" s="393">
        <f t="shared" ref="B133:E133" si="24">SUM(B134:B135)</f>
        <v>0</v>
      </c>
      <c r="C133" s="393">
        <f t="shared" si="24"/>
        <v>0</v>
      </c>
      <c r="D133" s="393">
        <f t="shared" si="24"/>
        <v>0</v>
      </c>
      <c r="E133" s="393">
        <f t="shared" si="24"/>
        <v>0</v>
      </c>
      <c r="F133" s="393" t="e">
        <f>SUM(F134:F135)</f>
        <v>#REF!</v>
      </c>
      <c r="G133" s="393" t="e">
        <f t="shared" si="23"/>
        <v>#REF!</v>
      </c>
    </row>
    <row r="134" spans="1:8" x14ac:dyDescent="0.2">
      <c r="A134" s="396" t="s">
        <v>128</v>
      </c>
      <c r="B134" s="397">
        <v>0</v>
      </c>
      <c r="C134" s="397">
        <v>0</v>
      </c>
      <c r="D134" s="397">
        <v>0</v>
      </c>
      <c r="E134" s="397">
        <v>0</v>
      </c>
      <c r="F134" s="397" t="e">
        <f>+#REF!</f>
        <v>#REF!</v>
      </c>
      <c r="G134" s="393" t="e">
        <f t="shared" si="23"/>
        <v>#REF!</v>
      </c>
      <c r="H134" s="386"/>
    </row>
    <row r="135" spans="1:8" x14ac:dyDescent="0.2">
      <c r="A135" s="396" t="s">
        <v>129</v>
      </c>
      <c r="B135" s="397">
        <v>0</v>
      </c>
      <c r="C135" s="397">
        <v>0</v>
      </c>
      <c r="D135" s="397">
        <v>0</v>
      </c>
      <c r="E135" s="397">
        <v>0</v>
      </c>
      <c r="F135" s="397" t="e">
        <f>+#REF!</f>
        <v>#REF!</v>
      </c>
      <c r="G135" s="393" t="e">
        <f t="shared" ref="G135" si="25">SUM(B135:F135)</f>
        <v>#REF!</v>
      </c>
      <c r="H135" s="386"/>
    </row>
    <row r="136" spans="1:8" ht="42" x14ac:dyDescent="0.2">
      <c r="A136" s="392" t="s">
        <v>167</v>
      </c>
      <c r="B136" s="393">
        <v>0</v>
      </c>
      <c r="C136" s="393">
        <f>SUM(C137:C137)</f>
        <v>0</v>
      </c>
      <c r="D136" s="393">
        <f>SUM(D137:D137)</f>
        <v>0</v>
      </c>
      <c r="E136" s="393" t="e">
        <f>SUM(E137:E137)</f>
        <v>#REF!</v>
      </c>
      <c r="F136" s="393" t="e">
        <f>SUM(F137:F137)</f>
        <v>#REF!</v>
      </c>
      <c r="G136" s="393" t="e">
        <f t="shared" si="23"/>
        <v>#REF!</v>
      </c>
      <c r="H136" s="386"/>
    </row>
    <row r="137" spans="1:8" s="395" customFormat="1" ht="42" x14ac:dyDescent="0.2">
      <c r="A137" s="396" t="s">
        <v>168</v>
      </c>
      <c r="B137" s="397">
        <v>0</v>
      </c>
      <c r="C137" s="397">
        <v>0</v>
      </c>
      <c r="D137" s="397">
        <v>0</v>
      </c>
      <c r="E137" s="397" t="e">
        <f>+#REF!</f>
        <v>#REF!</v>
      </c>
      <c r="F137" s="397" t="e">
        <f>+#REF!</f>
        <v>#REF!</v>
      </c>
      <c r="G137" s="397" t="e">
        <f t="shared" si="23"/>
        <v>#REF!</v>
      </c>
      <c r="H137" s="394"/>
    </row>
    <row r="138" spans="1:8" ht="42" x14ac:dyDescent="0.2">
      <c r="A138" s="392" t="s">
        <v>169</v>
      </c>
      <c r="B138" s="393">
        <v>0</v>
      </c>
      <c r="C138" s="393">
        <f>SUM(C139:C139)</f>
        <v>0</v>
      </c>
      <c r="D138" s="393">
        <f>SUM(D139:D139)</f>
        <v>0</v>
      </c>
      <c r="E138" s="393">
        <f>SUM(E139:E139)</f>
        <v>0</v>
      </c>
      <c r="F138" s="393" t="e">
        <f>SUM(F139:F139)</f>
        <v>#REF!</v>
      </c>
      <c r="G138" s="393" t="e">
        <f t="shared" si="23"/>
        <v>#REF!</v>
      </c>
      <c r="H138" s="386"/>
    </row>
    <row r="139" spans="1:8" ht="42" x14ac:dyDescent="0.2">
      <c r="A139" s="396" t="s">
        <v>170</v>
      </c>
      <c r="B139" s="397">
        <v>0</v>
      </c>
      <c r="C139" s="397">
        <v>0</v>
      </c>
      <c r="D139" s="397">
        <v>0</v>
      </c>
      <c r="E139" s="397">
        <v>0</v>
      </c>
      <c r="F139" s="397" t="e">
        <f>+#REF!</f>
        <v>#REF!</v>
      </c>
      <c r="G139" s="397" t="e">
        <f t="shared" si="23"/>
        <v>#REF!</v>
      </c>
      <c r="H139" s="386"/>
    </row>
    <row r="140" spans="1:8" ht="42" x14ac:dyDescent="0.2">
      <c r="A140" s="392" t="s">
        <v>172</v>
      </c>
      <c r="B140" s="393">
        <v>0</v>
      </c>
      <c r="C140" s="393" t="e">
        <f>SUM(C141:C141)</f>
        <v>#REF!</v>
      </c>
      <c r="D140" s="393">
        <f>SUM(D141:D141)</f>
        <v>0</v>
      </c>
      <c r="E140" s="393">
        <f>SUM(E141:E141)</f>
        <v>0</v>
      </c>
      <c r="F140" s="393">
        <f>SUM(F141:F141)</f>
        <v>0</v>
      </c>
      <c r="G140" s="393" t="e">
        <f>SUM(B140:F140)</f>
        <v>#REF!</v>
      </c>
      <c r="H140" s="386"/>
    </row>
    <row r="141" spans="1:8" ht="42" x14ac:dyDescent="0.2">
      <c r="A141" s="396" t="s">
        <v>136</v>
      </c>
      <c r="B141" s="397">
        <v>0</v>
      </c>
      <c r="C141" s="397" t="e">
        <f>+#REF!</f>
        <v>#REF!</v>
      </c>
      <c r="D141" s="397">
        <v>0</v>
      </c>
      <c r="E141" s="397">
        <v>0</v>
      </c>
      <c r="F141" s="397">
        <v>0</v>
      </c>
      <c r="G141" s="397" t="e">
        <f t="shared" ref="G141" si="26">SUM(B141:F141)</f>
        <v>#REF!</v>
      </c>
      <c r="H141" s="386"/>
    </row>
    <row r="142" spans="1:8" x14ac:dyDescent="0.2">
      <c r="A142" s="390" t="s">
        <v>15</v>
      </c>
      <c r="B142" s="391">
        <f>B143</f>
        <v>0</v>
      </c>
      <c r="C142" s="391">
        <f>C143</f>
        <v>0</v>
      </c>
      <c r="D142" s="391" t="e">
        <f>D143</f>
        <v>#REF!</v>
      </c>
      <c r="E142" s="391">
        <f>E143</f>
        <v>0</v>
      </c>
      <c r="F142" s="391">
        <f>F143</f>
        <v>0</v>
      </c>
      <c r="G142" s="391" t="e">
        <f>SUM(B142:F142)</f>
        <v>#REF!</v>
      </c>
    </row>
    <row r="143" spans="1:8" x14ac:dyDescent="0.2">
      <c r="A143" s="396" t="s">
        <v>159</v>
      </c>
      <c r="B143" s="397">
        <v>0</v>
      </c>
      <c r="C143" s="397">
        <v>0</v>
      </c>
      <c r="D143" s="397" t="e">
        <f>D144</f>
        <v>#REF!</v>
      </c>
      <c r="E143" s="397">
        <v>0</v>
      </c>
      <c r="F143" s="397">
        <v>0</v>
      </c>
      <c r="G143" s="397">
        <v>0</v>
      </c>
      <c r="H143" s="386"/>
    </row>
    <row r="144" spans="1:8" x14ac:dyDescent="0.2">
      <c r="A144" s="396" t="s">
        <v>119</v>
      </c>
      <c r="B144" s="397">
        <v>0</v>
      </c>
      <c r="C144" s="397">
        <v>0</v>
      </c>
      <c r="D144" s="397" t="e">
        <f>+#REF!</f>
        <v>#REF!</v>
      </c>
      <c r="E144" s="397">
        <v>0</v>
      </c>
      <c r="F144" s="397">
        <v>0</v>
      </c>
      <c r="G144" s="397">
        <v>0</v>
      </c>
    </row>
    <row r="145" spans="1:8" x14ac:dyDescent="0.2">
      <c r="A145" s="398" t="s">
        <v>2</v>
      </c>
      <c r="B145" s="391">
        <f>+B132+B142</f>
        <v>0</v>
      </c>
      <c r="C145" s="391" t="e">
        <f t="shared" ref="C145:G145" si="27">+C132+C142</f>
        <v>#REF!</v>
      </c>
      <c r="D145" s="391" t="e">
        <f t="shared" si="27"/>
        <v>#REF!</v>
      </c>
      <c r="E145" s="391" t="e">
        <f t="shared" si="27"/>
        <v>#REF!</v>
      </c>
      <c r="F145" s="391" t="e">
        <f t="shared" si="27"/>
        <v>#REF!</v>
      </c>
      <c r="G145" s="391" t="e">
        <f t="shared" si="27"/>
        <v>#REF!</v>
      </c>
      <c r="H145" s="394" t="e">
        <f>+G145-#REF!</f>
        <v>#REF!</v>
      </c>
    </row>
    <row r="146" spans="1:8" x14ac:dyDescent="0.2">
      <c r="A146" s="1358" t="s">
        <v>1052</v>
      </c>
      <c r="B146" s="1358"/>
      <c r="C146" s="1358"/>
      <c r="D146" s="1358"/>
      <c r="E146" s="1358"/>
      <c r="F146" s="1358"/>
      <c r="G146" s="1358"/>
      <c r="H146" s="386"/>
    </row>
    <row r="147" spans="1:8" x14ac:dyDescent="0.2">
      <c r="A147" s="1359" t="s">
        <v>50</v>
      </c>
      <c r="B147" s="1359"/>
      <c r="C147" s="1359"/>
      <c r="D147" s="1359"/>
      <c r="E147" s="1359"/>
      <c r="F147" s="1359"/>
      <c r="G147" s="1359"/>
      <c r="H147" s="386"/>
    </row>
    <row r="148" spans="1:8" s="395" customFormat="1" x14ac:dyDescent="0.2">
      <c r="A148" s="401" t="s">
        <v>19</v>
      </c>
      <c r="B148" s="389" t="s">
        <v>20</v>
      </c>
      <c r="C148" s="389" t="s">
        <v>21</v>
      </c>
      <c r="D148" s="402" t="s">
        <v>22</v>
      </c>
      <c r="E148" s="389" t="s">
        <v>23</v>
      </c>
      <c r="F148" s="403" t="s">
        <v>24</v>
      </c>
      <c r="G148" s="389" t="s">
        <v>25</v>
      </c>
    </row>
    <row r="149" spans="1:8" x14ac:dyDescent="0.2">
      <c r="A149" s="390" t="s">
        <v>12</v>
      </c>
      <c r="B149" s="391">
        <f t="shared" ref="B149:E149" si="28">SUM(,B150,,B155+B157+B153)</f>
        <v>0</v>
      </c>
      <c r="C149" s="391" t="e">
        <f t="shared" si="28"/>
        <v>#REF!</v>
      </c>
      <c r="D149" s="391">
        <f t="shared" si="28"/>
        <v>0</v>
      </c>
      <c r="E149" s="391" t="e">
        <f t="shared" si="28"/>
        <v>#REF!</v>
      </c>
      <c r="F149" s="391" t="e">
        <f>SUM(,F150,,F155+F157+F153)</f>
        <v>#REF!</v>
      </c>
      <c r="G149" s="391" t="e">
        <f>SUM(B149:F149)</f>
        <v>#REF!</v>
      </c>
      <c r="H149" s="386"/>
    </row>
    <row r="150" spans="1:8" ht="42" x14ac:dyDescent="0.2">
      <c r="A150" s="392" t="s">
        <v>165</v>
      </c>
      <c r="B150" s="393">
        <f t="shared" ref="B150:E150" si="29">SUM(B151:B152)</f>
        <v>0</v>
      </c>
      <c r="C150" s="393">
        <f t="shared" si="29"/>
        <v>0</v>
      </c>
      <c r="D150" s="393">
        <f t="shared" si="29"/>
        <v>0</v>
      </c>
      <c r="E150" s="393">
        <f t="shared" si="29"/>
        <v>0</v>
      </c>
      <c r="F150" s="393" t="e">
        <f>SUM(F151:F152)</f>
        <v>#REF!</v>
      </c>
      <c r="G150" s="393" t="e">
        <f t="shared" ref="G150:G158" si="30">SUM(B150:F150)</f>
        <v>#REF!</v>
      </c>
      <c r="H150" s="386"/>
    </row>
    <row r="151" spans="1:8" ht="24" customHeight="1" x14ac:dyDescent="0.2">
      <c r="A151" s="396" t="s">
        <v>128</v>
      </c>
      <c r="B151" s="397">
        <v>0</v>
      </c>
      <c r="C151" s="397">
        <v>0</v>
      </c>
      <c r="D151" s="397">
        <v>0</v>
      </c>
      <c r="E151" s="397">
        <v>0</v>
      </c>
      <c r="F151" s="397" t="e">
        <f>+#REF!</f>
        <v>#REF!</v>
      </c>
      <c r="G151" s="393" t="e">
        <f t="shared" si="30"/>
        <v>#REF!</v>
      </c>
      <c r="H151" s="386"/>
    </row>
    <row r="152" spans="1:8" x14ac:dyDescent="0.2">
      <c r="A152" s="396" t="s">
        <v>129</v>
      </c>
      <c r="B152" s="397">
        <v>0</v>
      </c>
      <c r="C152" s="397">
        <v>0</v>
      </c>
      <c r="D152" s="397">
        <v>0</v>
      </c>
      <c r="E152" s="397">
        <v>0</v>
      </c>
      <c r="F152" s="397" t="e">
        <f>+#REF!</f>
        <v>#REF!</v>
      </c>
      <c r="G152" s="393" t="e">
        <f t="shared" ref="G152" si="31">SUM(B152:F152)</f>
        <v>#REF!</v>
      </c>
    </row>
    <row r="153" spans="1:8" s="395" customFormat="1" ht="42" hidden="1" x14ac:dyDescent="0.2">
      <c r="A153" s="392" t="s">
        <v>166</v>
      </c>
      <c r="B153" s="393">
        <f>B154</f>
        <v>0</v>
      </c>
      <c r="C153" s="393">
        <f>C154</f>
        <v>0</v>
      </c>
      <c r="D153" s="393">
        <f>D154</f>
        <v>0</v>
      </c>
      <c r="E153" s="393">
        <f>E154</f>
        <v>0</v>
      </c>
      <c r="F153" s="393">
        <f>SUM(F154)</f>
        <v>0</v>
      </c>
      <c r="G153" s="393">
        <f t="shared" ref="G153:G154" si="32">SUM(B153:F153)</f>
        <v>0</v>
      </c>
      <c r="H153" s="394"/>
    </row>
    <row r="154" spans="1:8" hidden="1" x14ac:dyDescent="0.2">
      <c r="A154" s="396" t="s">
        <v>131</v>
      </c>
      <c r="B154" s="397">
        <v>0</v>
      </c>
      <c r="C154" s="397">
        <v>0</v>
      </c>
      <c r="D154" s="397">
        <v>0</v>
      </c>
      <c r="E154" s="397">
        <v>0</v>
      </c>
      <c r="F154" s="397">
        <v>0</v>
      </c>
      <c r="G154" s="393">
        <f t="shared" si="32"/>
        <v>0</v>
      </c>
      <c r="H154" s="386"/>
    </row>
    <row r="155" spans="1:8" ht="42" x14ac:dyDescent="0.2">
      <c r="A155" s="392" t="s">
        <v>169</v>
      </c>
      <c r="B155" s="393">
        <v>0</v>
      </c>
      <c r="C155" s="393">
        <f>SUM(C156:C156)</f>
        <v>0</v>
      </c>
      <c r="D155" s="393">
        <f>SUM(D156:D156)</f>
        <v>0</v>
      </c>
      <c r="E155" s="393" t="e">
        <f>SUM(E156:E156)</f>
        <v>#REF!</v>
      </c>
      <c r="F155" s="393" t="e">
        <f>SUM(F156:F156)</f>
        <v>#REF!</v>
      </c>
      <c r="G155" s="393" t="e">
        <f t="shared" si="30"/>
        <v>#REF!</v>
      </c>
    </row>
    <row r="156" spans="1:8" ht="42" x14ac:dyDescent="0.2">
      <c r="A156" s="396" t="s">
        <v>170</v>
      </c>
      <c r="B156" s="397">
        <v>0</v>
      </c>
      <c r="C156" s="397">
        <v>0</v>
      </c>
      <c r="D156" s="397">
        <v>0</v>
      </c>
      <c r="E156" s="397" t="e">
        <f>+#REF!</f>
        <v>#REF!</v>
      </c>
      <c r="F156" s="397" t="e">
        <f>+#REF!</f>
        <v>#REF!</v>
      </c>
      <c r="G156" s="397" t="e">
        <f t="shared" si="30"/>
        <v>#REF!</v>
      </c>
      <c r="H156" s="386"/>
    </row>
    <row r="157" spans="1:8" ht="42" x14ac:dyDescent="0.2">
      <c r="A157" s="392" t="s">
        <v>172</v>
      </c>
      <c r="B157" s="393">
        <v>0</v>
      </c>
      <c r="C157" s="393" t="e">
        <f>SUM(C158:C158)</f>
        <v>#REF!</v>
      </c>
      <c r="D157" s="393">
        <f>SUM(D158:D158)</f>
        <v>0</v>
      </c>
      <c r="E157" s="393">
        <f>SUM(E158:E158)</f>
        <v>0</v>
      </c>
      <c r="F157" s="393">
        <f>SUM(F158:F158)</f>
        <v>0</v>
      </c>
      <c r="G157" s="393" t="e">
        <f t="shared" si="30"/>
        <v>#REF!</v>
      </c>
      <c r="H157" s="386"/>
    </row>
    <row r="158" spans="1:8" ht="42" x14ac:dyDescent="0.2">
      <c r="A158" s="396" t="s">
        <v>136</v>
      </c>
      <c r="B158" s="397">
        <v>0</v>
      </c>
      <c r="C158" s="397" t="e">
        <f>+#REF!</f>
        <v>#REF!</v>
      </c>
      <c r="D158" s="397">
        <v>0</v>
      </c>
      <c r="E158" s="397">
        <v>0</v>
      </c>
      <c r="F158" s="397">
        <v>0</v>
      </c>
      <c r="G158" s="397" t="e">
        <f t="shared" si="30"/>
        <v>#REF!</v>
      </c>
      <c r="H158" s="386"/>
    </row>
    <row r="159" spans="1:8" hidden="1" x14ac:dyDescent="0.2">
      <c r="A159" s="390" t="s">
        <v>15</v>
      </c>
      <c r="B159" s="391">
        <f>B160</f>
        <v>0</v>
      </c>
      <c r="C159" s="391">
        <f>C160</f>
        <v>0</v>
      </c>
      <c r="D159" s="391">
        <f>D160</f>
        <v>0</v>
      </c>
      <c r="E159" s="391">
        <f>E160</f>
        <v>0</v>
      </c>
      <c r="F159" s="391">
        <f>F160</f>
        <v>0</v>
      </c>
      <c r="G159" s="391">
        <f>SUM(B159:F159)</f>
        <v>0</v>
      </c>
      <c r="H159" s="386"/>
    </row>
    <row r="160" spans="1:8" s="395" customFormat="1" hidden="1" x14ac:dyDescent="0.2">
      <c r="A160" s="396" t="s">
        <v>159</v>
      </c>
      <c r="B160" s="397">
        <v>0</v>
      </c>
      <c r="C160" s="397">
        <v>0</v>
      </c>
      <c r="D160" s="397">
        <f>D161</f>
        <v>0</v>
      </c>
      <c r="E160" s="397">
        <v>0</v>
      </c>
      <c r="F160" s="397">
        <v>0</v>
      </c>
      <c r="G160" s="397">
        <v>0</v>
      </c>
      <c r="H160" s="394"/>
    </row>
    <row r="161" spans="1:8" hidden="1" x14ac:dyDescent="0.2">
      <c r="A161" s="396" t="s">
        <v>119</v>
      </c>
      <c r="B161" s="397">
        <v>0</v>
      </c>
      <c r="C161" s="397">
        <v>0</v>
      </c>
      <c r="D161" s="397">
        <v>0</v>
      </c>
      <c r="E161" s="397">
        <v>0</v>
      </c>
      <c r="F161" s="397">
        <v>0</v>
      </c>
      <c r="G161" s="397">
        <v>0</v>
      </c>
    </row>
    <row r="162" spans="1:8" x14ac:dyDescent="0.2">
      <c r="A162" s="398" t="s">
        <v>2</v>
      </c>
      <c r="B162" s="391">
        <f>+B149+B159</f>
        <v>0</v>
      </c>
      <c r="C162" s="391" t="e">
        <f t="shared" ref="C162:E162" si="33">+C149+C159</f>
        <v>#REF!</v>
      </c>
      <c r="D162" s="391">
        <f t="shared" si="33"/>
        <v>0</v>
      </c>
      <c r="E162" s="391" t="e">
        <f t="shared" si="33"/>
        <v>#REF!</v>
      </c>
      <c r="F162" s="391" t="e">
        <f>+F149+F159</f>
        <v>#REF!</v>
      </c>
      <c r="G162" s="391" t="e">
        <f>+G149+G159</f>
        <v>#REF!</v>
      </c>
      <c r="H162" s="394" t="e">
        <f>+G162-#REF!</f>
        <v>#REF!</v>
      </c>
    </row>
    <row r="163" spans="1:8" x14ac:dyDescent="0.2">
      <c r="A163" s="1358" t="s">
        <v>1052</v>
      </c>
      <c r="B163" s="1358"/>
      <c r="C163" s="1358"/>
      <c r="D163" s="1358"/>
      <c r="E163" s="1358"/>
      <c r="F163" s="1358"/>
      <c r="G163" s="1358"/>
      <c r="H163" s="386"/>
    </row>
    <row r="164" spans="1:8" x14ac:dyDescent="0.2">
      <c r="A164" s="1359" t="s">
        <v>43</v>
      </c>
      <c r="B164" s="1359"/>
      <c r="C164" s="1359"/>
      <c r="D164" s="1359"/>
      <c r="E164" s="1359"/>
      <c r="F164" s="1359"/>
      <c r="G164" s="1359"/>
      <c r="H164" s="386"/>
    </row>
    <row r="165" spans="1:8" ht="24.6" customHeight="1" x14ac:dyDescent="0.2">
      <c r="A165" s="401" t="s">
        <v>19</v>
      </c>
      <c r="B165" s="389" t="s">
        <v>20</v>
      </c>
      <c r="C165" s="389" t="s">
        <v>21</v>
      </c>
      <c r="D165" s="402" t="s">
        <v>22</v>
      </c>
      <c r="E165" s="389" t="s">
        <v>23</v>
      </c>
      <c r="F165" s="403" t="s">
        <v>24</v>
      </c>
      <c r="G165" s="389" t="s">
        <v>25</v>
      </c>
      <c r="H165" s="386"/>
    </row>
    <row r="166" spans="1:8" x14ac:dyDescent="0.2">
      <c r="A166" s="390" t="s">
        <v>12</v>
      </c>
      <c r="B166" s="391">
        <f t="shared" ref="B166:E166" si="34">SUM(B171+B169+B167)</f>
        <v>0</v>
      </c>
      <c r="C166" s="391" t="e">
        <f t="shared" si="34"/>
        <v>#REF!</v>
      </c>
      <c r="D166" s="391">
        <f t="shared" si="34"/>
        <v>0</v>
      </c>
      <c r="E166" s="391">
        <f t="shared" si="34"/>
        <v>0</v>
      </c>
      <c r="F166" s="391" t="e">
        <f>SUM(F171+F169+F167)</f>
        <v>#REF!</v>
      </c>
      <c r="G166" s="391" t="e">
        <f>SUM(B166:F166)</f>
        <v>#REF!</v>
      </c>
    </row>
    <row r="167" spans="1:8" s="395" customFormat="1" ht="42" hidden="1" x14ac:dyDescent="0.2">
      <c r="A167" s="392" t="s">
        <v>166</v>
      </c>
      <c r="B167" s="393">
        <f>B168</f>
        <v>0</v>
      </c>
      <c r="C167" s="393">
        <f>C168</f>
        <v>0</v>
      </c>
      <c r="D167" s="393">
        <f>D168</f>
        <v>0</v>
      </c>
      <c r="E167" s="393">
        <f>E168</f>
        <v>0</v>
      </c>
      <c r="F167" s="393">
        <f>SUM(F168)</f>
        <v>0</v>
      </c>
      <c r="G167" s="393">
        <f t="shared" ref="G167:G168" si="35">SUM(B167:F167)</f>
        <v>0</v>
      </c>
      <c r="H167" s="394"/>
    </row>
    <row r="168" spans="1:8" hidden="1" x14ac:dyDescent="0.2">
      <c r="A168" s="396" t="s">
        <v>131</v>
      </c>
      <c r="B168" s="397">
        <v>0</v>
      </c>
      <c r="C168" s="397">
        <v>0</v>
      </c>
      <c r="D168" s="397">
        <v>0</v>
      </c>
      <c r="E168" s="397">
        <v>0</v>
      </c>
      <c r="F168" s="397"/>
      <c r="G168" s="393">
        <f t="shared" si="35"/>
        <v>0</v>
      </c>
      <c r="H168" s="386"/>
    </row>
    <row r="169" spans="1:8" ht="42" x14ac:dyDescent="0.2">
      <c r="A169" s="392" t="s">
        <v>169</v>
      </c>
      <c r="B169" s="393">
        <v>0</v>
      </c>
      <c r="C169" s="393">
        <f>SUM(C170:C170)</f>
        <v>0</v>
      </c>
      <c r="D169" s="393">
        <f>SUM(D170:D170)</f>
        <v>0</v>
      </c>
      <c r="E169" s="393">
        <f>SUM(E170:E170)</f>
        <v>0</v>
      </c>
      <c r="F169" s="393" t="e">
        <f>SUM(F170:F170)</f>
        <v>#REF!</v>
      </c>
      <c r="G169" s="393" t="e">
        <f t="shared" ref="G169:G173" si="36">SUM(B169:F169)</f>
        <v>#REF!</v>
      </c>
    </row>
    <row r="170" spans="1:8" ht="42" x14ac:dyDescent="0.2">
      <c r="A170" s="396" t="s">
        <v>170</v>
      </c>
      <c r="B170" s="397">
        <v>0</v>
      </c>
      <c r="C170" s="397">
        <v>0</v>
      </c>
      <c r="D170" s="397">
        <v>0</v>
      </c>
      <c r="E170" s="397">
        <v>0</v>
      </c>
      <c r="F170" s="397" t="e">
        <f>+#REF!</f>
        <v>#REF!</v>
      </c>
      <c r="G170" s="397" t="e">
        <f t="shared" si="36"/>
        <v>#REF!</v>
      </c>
      <c r="H170" s="386"/>
    </row>
    <row r="171" spans="1:8" ht="42" x14ac:dyDescent="0.2">
      <c r="A171" s="392" t="s">
        <v>172</v>
      </c>
      <c r="B171" s="393">
        <v>0</v>
      </c>
      <c r="C171" s="393" t="e">
        <f>SUM(C172:C172)</f>
        <v>#REF!</v>
      </c>
      <c r="D171" s="393">
        <f>SUM(D172:D172)</f>
        <v>0</v>
      </c>
      <c r="E171" s="393">
        <f>SUM(E172:E172)</f>
        <v>0</v>
      </c>
      <c r="F171" s="393">
        <f>SUM(F172:F172)</f>
        <v>0</v>
      </c>
      <c r="G171" s="393" t="e">
        <f t="shared" si="36"/>
        <v>#REF!</v>
      </c>
      <c r="H171" s="386"/>
    </row>
    <row r="172" spans="1:8" ht="42" x14ac:dyDescent="0.2">
      <c r="A172" s="396" t="s">
        <v>136</v>
      </c>
      <c r="B172" s="397">
        <v>0</v>
      </c>
      <c r="C172" s="397" t="e">
        <f>+#REF!</f>
        <v>#REF!</v>
      </c>
      <c r="D172" s="397">
        <v>0</v>
      </c>
      <c r="E172" s="397">
        <v>0</v>
      </c>
      <c r="F172" s="397">
        <v>0</v>
      </c>
      <c r="G172" s="397" t="e">
        <f t="shared" si="36"/>
        <v>#REF!</v>
      </c>
      <c r="H172" s="386"/>
    </row>
    <row r="173" spans="1:8" x14ac:dyDescent="0.2">
      <c r="A173" s="390" t="s">
        <v>15</v>
      </c>
      <c r="B173" s="391">
        <f>B174</f>
        <v>0</v>
      </c>
      <c r="C173" s="391">
        <f>C174</f>
        <v>0</v>
      </c>
      <c r="D173" s="391" t="e">
        <f>D174</f>
        <v>#REF!</v>
      </c>
      <c r="E173" s="391">
        <f>E174</f>
        <v>0</v>
      </c>
      <c r="F173" s="391">
        <f>F174</f>
        <v>0</v>
      </c>
      <c r="G173" s="391" t="e">
        <f t="shared" si="36"/>
        <v>#REF!</v>
      </c>
      <c r="H173" s="386"/>
    </row>
    <row r="174" spans="1:8" x14ac:dyDescent="0.2">
      <c r="A174" s="396" t="s">
        <v>159</v>
      </c>
      <c r="B174" s="397">
        <v>0</v>
      </c>
      <c r="C174" s="397">
        <v>0</v>
      </c>
      <c r="D174" s="397" t="e">
        <f>D175</f>
        <v>#REF!</v>
      </c>
      <c r="E174" s="397">
        <v>0</v>
      </c>
      <c r="F174" s="397">
        <v>0</v>
      </c>
      <c r="G174" s="397">
        <v>0</v>
      </c>
      <c r="H174" s="386"/>
    </row>
    <row r="175" spans="1:8" x14ac:dyDescent="0.2">
      <c r="A175" s="396" t="s">
        <v>119</v>
      </c>
      <c r="B175" s="397">
        <v>0</v>
      </c>
      <c r="C175" s="397">
        <v>0</v>
      </c>
      <c r="D175" s="397" t="e">
        <f>+#REF!</f>
        <v>#REF!</v>
      </c>
      <c r="E175" s="397">
        <v>0</v>
      </c>
      <c r="F175" s="397">
        <v>0</v>
      </c>
      <c r="G175" s="397">
        <v>0</v>
      </c>
      <c r="H175" s="386"/>
    </row>
    <row r="176" spans="1:8" x14ac:dyDescent="0.2">
      <c r="A176" s="398" t="s">
        <v>2</v>
      </c>
      <c r="B176" s="391">
        <f t="shared" ref="B176:G176" si="37">+B166+B173</f>
        <v>0</v>
      </c>
      <c r="C176" s="391" t="e">
        <f t="shared" si="37"/>
        <v>#REF!</v>
      </c>
      <c r="D176" s="391" t="e">
        <f t="shared" si="37"/>
        <v>#REF!</v>
      </c>
      <c r="E176" s="391">
        <f t="shared" si="37"/>
        <v>0</v>
      </c>
      <c r="F176" s="391" t="e">
        <f>+F166+F173</f>
        <v>#REF!</v>
      </c>
      <c r="G176" s="391" t="e">
        <f t="shared" si="37"/>
        <v>#REF!</v>
      </c>
      <c r="H176" s="386" t="e">
        <f>+G176-#REF!</f>
        <v>#REF!</v>
      </c>
    </row>
    <row r="177" spans="1:8" s="395" customFormat="1" x14ac:dyDescent="0.2">
      <c r="A177" s="387"/>
      <c r="B177" s="387"/>
      <c r="C177" s="387"/>
      <c r="D177" s="387"/>
      <c r="E177" s="387"/>
      <c r="F177" s="387"/>
      <c r="G177" s="387"/>
      <c r="H177" s="394"/>
    </row>
    <row r="178" spans="1:8" ht="24.6" customHeight="1" x14ac:dyDescent="0.2">
      <c r="H178" s="386"/>
    </row>
    <row r="179" spans="1:8" s="395" customFormat="1" x14ac:dyDescent="0.2">
      <c r="A179" s="1358" t="s">
        <v>1052</v>
      </c>
      <c r="B179" s="1358"/>
      <c r="C179" s="1358"/>
      <c r="D179" s="1358"/>
      <c r="E179" s="1358"/>
      <c r="F179" s="1358"/>
      <c r="G179" s="1358"/>
    </row>
    <row r="180" spans="1:8" ht="24.6" customHeight="1" x14ac:dyDescent="0.2">
      <c r="A180" s="1359" t="s">
        <v>42</v>
      </c>
      <c r="B180" s="1359"/>
      <c r="C180" s="1359"/>
      <c r="D180" s="1359"/>
      <c r="E180" s="1359"/>
      <c r="F180" s="1359"/>
      <c r="G180" s="1359"/>
      <c r="H180" s="386"/>
    </row>
    <row r="181" spans="1:8" s="395" customFormat="1" ht="24.6" customHeight="1" x14ac:dyDescent="0.2">
      <c r="A181" s="401" t="s">
        <v>19</v>
      </c>
      <c r="B181" s="389" t="s">
        <v>20</v>
      </c>
      <c r="C181" s="389" t="s">
        <v>21</v>
      </c>
      <c r="D181" s="402" t="s">
        <v>22</v>
      </c>
      <c r="E181" s="389" t="s">
        <v>23</v>
      </c>
      <c r="F181" s="403" t="s">
        <v>24</v>
      </c>
      <c r="G181" s="389" t="s">
        <v>25</v>
      </c>
      <c r="H181" s="394"/>
    </row>
    <row r="182" spans="1:8" x14ac:dyDescent="0.2">
      <c r="A182" s="390" t="s">
        <v>12</v>
      </c>
      <c r="B182" s="391">
        <f t="shared" ref="B182:E182" si="38">SUM(B183+B185)</f>
        <v>0</v>
      </c>
      <c r="C182" s="391" t="e">
        <f>SUM(C183+C185)</f>
        <v>#REF!</v>
      </c>
      <c r="D182" s="391">
        <f t="shared" si="38"/>
        <v>0</v>
      </c>
      <c r="E182" s="391" t="e">
        <f t="shared" si="38"/>
        <v>#REF!</v>
      </c>
      <c r="F182" s="391">
        <f>SUM(F183+F185)</f>
        <v>26832100</v>
      </c>
      <c r="G182" s="391" t="e">
        <f t="shared" ref="G182:G188" si="39">SUM(B182:F182)</f>
        <v>#REF!</v>
      </c>
      <c r="H182" s="386"/>
    </row>
    <row r="183" spans="1:8" ht="42" hidden="1" x14ac:dyDescent="0.2">
      <c r="A183" s="392" t="s">
        <v>169</v>
      </c>
      <c r="B183" s="393">
        <v>0</v>
      </c>
      <c r="C183" s="393">
        <f>SUM(C184:C184)</f>
        <v>0</v>
      </c>
      <c r="D183" s="393">
        <f>SUM(D184:D184)</f>
        <v>0</v>
      </c>
      <c r="E183" s="393">
        <f>SUM(E184:E184)</f>
        <v>0</v>
      </c>
      <c r="F183" s="393">
        <f>SUM(F184:F184)</f>
        <v>0</v>
      </c>
      <c r="G183" s="393">
        <f t="shared" si="39"/>
        <v>0</v>
      </c>
      <c r="H183" s="386"/>
    </row>
    <row r="184" spans="1:8" ht="42" hidden="1" x14ac:dyDescent="0.2">
      <c r="A184" s="396" t="s">
        <v>170</v>
      </c>
      <c r="B184" s="397">
        <v>0</v>
      </c>
      <c r="C184" s="397">
        <v>0</v>
      </c>
      <c r="D184" s="397">
        <v>0</v>
      </c>
      <c r="E184" s="397">
        <v>0</v>
      </c>
      <c r="F184" s="397">
        <v>0</v>
      </c>
      <c r="G184" s="397">
        <f t="shared" si="39"/>
        <v>0</v>
      </c>
      <c r="H184" s="386"/>
    </row>
    <row r="185" spans="1:8" s="395" customFormat="1" ht="42" x14ac:dyDescent="0.2">
      <c r="A185" s="392" t="s">
        <v>172</v>
      </c>
      <c r="B185" s="393">
        <f t="shared" ref="B185:D185" si="40">SUM(B186:B187)</f>
        <v>0</v>
      </c>
      <c r="C185" s="393" t="e">
        <f>SUM(C186:C187)</f>
        <v>#REF!</v>
      </c>
      <c r="D185" s="393">
        <f t="shared" si="40"/>
        <v>0</v>
      </c>
      <c r="E185" s="393" t="e">
        <f>SUM(E186:E187)</f>
        <v>#REF!</v>
      </c>
      <c r="F185" s="393">
        <f>SUM(F186:F187)</f>
        <v>26832100</v>
      </c>
      <c r="G185" s="393" t="e">
        <f t="shared" si="39"/>
        <v>#REF!</v>
      </c>
      <c r="H185" s="394"/>
    </row>
    <row r="186" spans="1:8" ht="42" x14ac:dyDescent="0.2">
      <c r="A186" s="396" t="s">
        <v>136</v>
      </c>
      <c r="B186" s="397">
        <v>0</v>
      </c>
      <c r="C186" s="397" t="e">
        <f>+#REF!</f>
        <v>#REF!</v>
      </c>
      <c r="D186" s="397">
        <v>0</v>
      </c>
      <c r="E186" s="397">
        <v>0</v>
      </c>
      <c r="F186" s="397">
        <v>0</v>
      </c>
      <c r="G186" s="397" t="e">
        <f t="shared" si="39"/>
        <v>#REF!</v>
      </c>
      <c r="H186" s="386"/>
    </row>
    <row r="187" spans="1:8" x14ac:dyDescent="0.2">
      <c r="A187" s="396" t="s">
        <v>137</v>
      </c>
      <c r="B187" s="397">
        <v>0</v>
      </c>
      <c r="C187" s="397">
        <v>0</v>
      </c>
      <c r="D187" s="397">
        <v>0</v>
      </c>
      <c r="E187" s="397" t="e">
        <f>+#REF!</f>
        <v>#REF!</v>
      </c>
      <c r="F187" s="397">
        <v>26832100</v>
      </c>
      <c r="G187" s="397" t="e">
        <f t="shared" si="39"/>
        <v>#REF!</v>
      </c>
      <c r="H187" s="386"/>
    </row>
    <row r="188" spans="1:8" hidden="1" x14ac:dyDescent="0.2">
      <c r="A188" s="390" t="s">
        <v>15</v>
      </c>
      <c r="B188" s="391">
        <f>B189</f>
        <v>0</v>
      </c>
      <c r="C188" s="391">
        <f>C189</f>
        <v>0</v>
      </c>
      <c r="D188" s="391">
        <f>D189</f>
        <v>0</v>
      </c>
      <c r="E188" s="391">
        <f>E189</f>
        <v>0</v>
      </c>
      <c r="F188" s="391">
        <f>F189</f>
        <v>0</v>
      </c>
      <c r="G188" s="391">
        <f t="shared" si="39"/>
        <v>0</v>
      </c>
    </row>
    <row r="189" spans="1:8" hidden="1" x14ac:dyDescent="0.2">
      <c r="A189" s="396" t="s">
        <v>159</v>
      </c>
      <c r="B189" s="397">
        <v>0</v>
      </c>
      <c r="C189" s="397">
        <v>0</v>
      </c>
      <c r="D189" s="397">
        <f>D190</f>
        <v>0</v>
      </c>
      <c r="E189" s="397">
        <v>0</v>
      </c>
      <c r="F189" s="397">
        <v>0</v>
      </c>
      <c r="G189" s="397">
        <v>0</v>
      </c>
    </row>
    <row r="190" spans="1:8" hidden="1" x14ac:dyDescent="0.2">
      <c r="A190" s="396" t="s">
        <v>119</v>
      </c>
      <c r="B190" s="397">
        <v>0</v>
      </c>
      <c r="C190" s="397">
        <v>0</v>
      </c>
      <c r="D190" s="397">
        <v>0</v>
      </c>
      <c r="E190" s="397">
        <v>0</v>
      </c>
      <c r="F190" s="397">
        <v>0</v>
      </c>
      <c r="G190" s="397">
        <v>0</v>
      </c>
    </row>
    <row r="191" spans="1:8" x14ac:dyDescent="0.2">
      <c r="A191" s="398" t="s">
        <v>2</v>
      </c>
      <c r="B191" s="391">
        <f t="shared" ref="B191:G191" si="41">+B182+B188</f>
        <v>0</v>
      </c>
      <c r="C191" s="391" t="e">
        <f>+C182+C188</f>
        <v>#REF!</v>
      </c>
      <c r="D191" s="391">
        <f t="shared" si="41"/>
        <v>0</v>
      </c>
      <c r="E191" s="391" t="e">
        <f t="shared" si="41"/>
        <v>#REF!</v>
      </c>
      <c r="F191" s="391">
        <f t="shared" si="41"/>
        <v>26832100</v>
      </c>
      <c r="G191" s="391" t="e">
        <f t="shared" si="41"/>
        <v>#REF!</v>
      </c>
      <c r="H191" s="394" t="e">
        <f>+G191-#REF!</f>
        <v>#REF!</v>
      </c>
    </row>
    <row r="192" spans="1:8" x14ac:dyDescent="0.2">
      <c r="H192" s="386"/>
    </row>
    <row r="193" spans="1:8" x14ac:dyDescent="0.2">
      <c r="H193" s="386"/>
    </row>
    <row r="194" spans="1:8" x14ac:dyDescent="0.2">
      <c r="A194" s="1358" t="s">
        <v>1052</v>
      </c>
      <c r="B194" s="1358"/>
      <c r="C194" s="1358"/>
      <c r="D194" s="1358"/>
      <c r="E194" s="1358"/>
      <c r="F194" s="1358"/>
      <c r="G194" s="1358"/>
      <c r="H194" s="386"/>
    </row>
    <row r="195" spans="1:8" s="395" customFormat="1" x14ac:dyDescent="0.2">
      <c r="A195" s="1359" t="s">
        <v>7</v>
      </c>
      <c r="B195" s="1359"/>
      <c r="C195" s="1359"/>
      <c r="D195" s="1359"/>
      <c r="E195" s="1359"/>
      <c r="F195" s="1359"/>
      <c r="G195" s="1359"/>
      <c r="H195" s="394"/>
    </row>
    <row r="196" spans="1:8" x14ac:dyDescent="0.2">
      <c r="A196" s="401" t="s">
        <v>19</v>
      </c>
      <c r="B196" s="389" t="s">
        <v>20</v>
      </c>
      <c r="C196" s="389" t="s">
        <v>21</v>
      </c>
      <c r="D196" s="402" t="s">
        <v>22</v>
      </c>
      <c r="E196" s="389" t="s">
        <v>23</v>
      </c>
      <c r="F196" s="403" t="s">
        <v>24</v>
      </c>
      <c r="G196" s="389" t="s">
        <v>25</v>
      </c>
      <c r="H196" s="386"/>
    </row>
    <row r="197" spans="1:8" ht="42" x14ac:dyDescent="0.2">
      <c r="A197" s="404" t="s">
        <v>756</v>
      </c>
      <c r="B197" s="391">
        <f>SUM(,B198,,B200)</f>
        <v>0</v>
      </c>
      <c r="C197" s="391">
        <f>SUM(,C198,,C200)</f>
        <v>0</v>
      </c>
      <c r="D197" s="391">
        <f>SUM(,D198,,D200)</f>
        <v>0</v>
      </c>
      <c r="E197" s="391">
        <f>SUM(,E198,,E200)</f>
        <v>0</v>
      </c>
      <c r="F197" s="391" t="e">
        <f>SUM(,F198,,F200)</f>
        <v>#REF!</v>
      </c>
      <c r="G197" s="391" t="e">
        <f t="shared" ref="G197:G219" si="42">SUM(B197:F197)</f>
        <v>#REF!</v>
      </c>
      <c r="H197" s="386"/>
    </row>
    <row r="198" spans="1:8" ht="42" x14ac:dyDescent="0.2">
      <c r="A198" s="392" t="s">
        <v>147</v>
      </c>
      <c r="B198" s="393">
        <f>B199</f>
        <v>0</v>
      </c>
      <c r="C198" s="393">
        <f>C199</f>
        <v>0</v>
      </c>
      <c r="D198" s="393">
        <f>D199</f>
        <v>0</v>
      </c>
      <c r="E198" s="393">
        <f>E199</f>
        <v>0</v>
      </c>
      <c r="F198" s="393" t="e">
        <f>SUM(F199)</f>
        <v>#REF!</v>
      </c>
      <c r="G198" s="393" t="e">
        <f t="shared" si="42"/>
        <v>#REF!</v>
      </c>
      <c r="H198" s="386"/>
    </row>
    <row r="199" spans="1:8" x14ac:dyDescent="0.2">
      <c r="A199" s="396" t="s">
        <v>44</v>
      </c>
      <c r="B199" s="397">
        <v>0</v>
      </c>
      <c r="C199" s="397">
        <v>0</v>
      </c>
      <c r="D199" s="397">
        <v>0</v>
      </c>
      <c r="E199" s="397">
        <v>0</v>
      </c>
      <c r="F199" s="397" t="e">
        <f>+#REF!</f>
        <v>#REF!</v>
      </c>
      <c r="G199" s="393" t="e">
        <f t="shared" si="42"/>
        <v>#REF!</v>
      </c>
      <c r="H199" s="386"/>
    </row>
    <row r="200" spans="1:8" ht="42" x14ac:dyDescent="0.2">
      <c r="A200" s="392" t="s">
        <v>148</v>
      </c>
      <c r="B200" s="393">
        <f>B201</f>
        <v>0</v>
      </c>
      <c r="C200" s="393">
        <f>C201</f>
        <v>0</v>
      </c>
      <c r="D200" s="393">
        <f>D201</f>
        <v>0</v>
      </c>
      <c r="E200" s="393">
        <f>E201</f>
        <v>0</v>
      </c>
      <c r="F200" s="393" t="e">
        <f>SUM(F201)</f>
        <v>#REF!</v>
      </c>
      <c r="G200" s="393" t="e">
        <f t="shared" si="42"/>
        <v>#REF!</v>
      </c>
      <c r="H200" s="386"/>
    </row>
    <row r="201" spans="1:8" x14ac:dyDescent="0.2">
      <c r="A201" s="396" t="s">
        <v>122</v>
      </c>
      <c r="B201" s="397">
        <v>0</v>
      </c>
      <c r="C201" s="397">
        <v>0</v>
      </c>
      <c r="D201" s="397">
        <v>0</v>
      </c>
      <c r="E201" s="397">
        <v>0</v>
      </c>
      <c r="F201" s="397" t="e">
        <f>+#REF!</f>
        <v>#REF!</v>
      </c>
      <c r="G201" s="393" t="e">
        <f t="shared" si="42"/>
        <v>#REF!</v>
      </c>
      <c r="H201" s="386"/>
    </row>
    <row r="202" spans="1:8" x14ac:dyDescent="0.2">
      <c r="A202" s="390" t="s">
        <v>12</v>
      </c>
      <c r="B202" s="391">
        <f t="shared" ref="B202:E202" si="43">SUM(,B203,,B205+B208+B210+B212)</f>
        <v>0</v>
      </c>
      <c r="C202" s="391" t="e">
        <f t="shared" si="43"/>
        <v>#REF!</v>
      </c>
      <c r="D202" s="391">
        <f t="shared" si="43"/>
        <v>0</v>
      </c>
      <c r="E202" s="391" t="e">
        <f t="shared" si="43"/>
        <v>#REF!</v>
      </c>
      <c r="F202" s="391" t="e">
        <f>SUM(,F203,,F205+F208+F210+F212)</f>
        <v>#REF!</v>
      </c>
      <c r="G202" s="391" t="e">
        <f>SUM(B202:F202)</f>
        <v>#REF!</v>
      </c>
      <c r="H202" s="386"/>
    </row>
    <row r="203" spans="1:8" ht="42" x14ac:dyDescent="0.2">
      <c r="A203" s="392" t="s">
        <v>329</v>
      </c>
      <c r="B203" s="393">
        <v>0</v>
      </c>
      <c r="C203" s="393">
        <f>SUM(C204:C204)</f>
        <v>0</v>
      </c>
      <c r="D203" s="393">
        <f>SUM(D204:D204)</f>
        <v>0</v>
      </c>
      <c r="E203" s="393">
        <f>SUM(E204:E204)</f>
        <v>0</v>
      </c>
      <c r="F203" s="393" t="e">
        <f>SUM(F204:F204)</f>
        <v>#REF!</v>
      </c>
      <c r="G203" s="393" t="e">
        <f t="shared" si="42"/>
        <v>#REF!</v>
      </c>
      <c r="H203" s="386"/>
    </row>
    <row r="204" spans="1:8" x14ac:dyDescent="0.2">
      <c r="A204" s="396" t="s">
        <v>128</v>
      </c>
      <c r="B204" s="397">
        <v>0</v>
      </c>
      <c r="C204" s="397">
        <v>0</v>
      </c>
      <c r="D204" s="397">
        <v>0</v>
      </c>
      <c r="E204" s="397">
        <v>0</v>
      </c>
      <c r="F204" s="397" t="e">
        <f>+#REF!</f>
        <v>#REF!</v>
      </c>
      <c r="G204" s="397" t="e">
        <f t="shared" si="42"/>
        <v>#REF!</v>
      </c>
      <c r="H204" s="386"/>
    </row>
    <row r="205" spans="1:8" ht="42" x14ac:dyDescent="0.2">
      <c r="A205" s="392" t="s">
        <v>166</v>
      </c>
      <c r="B205" s="393">
        <v>0</v>
      </c>
      <c r="C205" s="393">
        <f>SUM(C206:C206)</f>
        <v>0</v>
      </c>
      <c r="D205" s="393">
        <f>SUM(D206:D206)</f>
        <v>0</v>
      </c>
      <c r="E205" s="393">
        <f>SUM(E206:E206)</f>
        <v>0</v>
      </c>
      <c r="F205" s="393" t="e">
        <f>SUM(F206:F206)</f>
        <v>#REF!</v>
      </c>
      <c r="G205" s="393" t="e">
        <f t="shared" si="42"/>
        <v>#REF!</v>
      </c>
    </row>
    <row r="206" spans="1:8" x14ac:dyDescent="0.2">
      <c r="A206" s="396" t="s">
        <v>131</v>
      </c>
      <c r="B206" s="397">
        <v>0</v>
      </c>
      <c r="C206" s="397">
        <v>0</v>
      </c>
      <c r="D206" s="397">
        <v>0</v>
      </c>
      <c r="E206" s="397"/>
      <c r="F206" s="397" t="e">
        <f>+#REF!</f>
        <v>#REF!</v>
      </c>
      <c r="G206" s="397" t="e">
        <f t="shared" si="42"/>
        <v>#REF!</v>
      </c>
    </row>
    <row r="207" spans="1:8" x14ac:dyDescent="0.2">
      <c r="A207" s="401" t="s">
        <v>19</v>
      </c>
      <c r="B207" s="389" t="s">
        <v>20</v>
      </c>
      <c r="C207" s="389" t="s">
        <v>21</v>
      </c>
      <c r="D207" s="402" t="s">
        <v>22</v>
      </c>
      <c r="E207" s="389" t="s">
        <v>23</v>
      </c>
      <c r="F207" s="403" t="s">
        <v>24</v>
      </c>
      <c r="G207" s="389" t="s">
        <v>25</v>
      </c>
    </row>
    <row r="208" spans="1:8" ht="42" x14ac:dyDescent="0.2">
      <c r="A208" s="392" t="s">
        <v>167</v>
      </c>
      <c r="B208" s="393">
        <v>0</v>
      </c>
      <c r="C208" s="393">
        <f>SUM(C209:C209)</f>
        <v>0</v>
      </c>
      <c r="D208" s="393">
        <f>SUM(D209:D209)</f>
        <v>0</v>
      </c>
      <c r="E208" s="393">
        <f>SUM(E209:E209)</f>
        <v>0</v>
      </c>
      <c r="F208" s="393" t="e">
        <f>SUM(F209:F209)</f>
        <v>#REF!</v>
      </c>
      <c r="G208" s="393" t="e">
        <f t="shared" si="42"/>
        <v>#REF!</v>
      </c>
    </row>
    <row r="209" spans="1:8" ht="42" x14ac:dyDescent="0.2">
      <c r="A209" s="396" t="s">
        <v>168</v>
      </c>
      <c r="B209" s="397">
        <v>0</v>
      </c>
      <c r="C209" s="397">
        <v>0</v>
      </c>
      <c r="D209" s="397">
        <v>0</v>
      </c>
      <c r="E209" s="397">
        <v>0</v>
      </c>
      <c r="F209" s="397" t="e">
        <f>+#REF!</f>
        <v>#REF!</v>
      </c>
      <c r="G209" s="397" t="e">
        <f t="shared" si="42"/>
        <v>#REF!</v>
      </c>
    </row>
    <row r="210" spans="1:8" ht="42" x14ac:dyDescent="0.2">
      <c r="A210" s="392" t="s">
        <v>169</v>
      </c>
      <c r="B210" s="393">
        <v>0</v>
      </c>
      <c r="C210" s="393">
        <f>SUM(C211:C211)</f>
        <v>0</v>
      </c>
      <c r="D210" s="393">
        <f>SUM(D211:D211)</f>
        <v>0</v>
      </c>
      <c r="E210" s="393">
        <f>SUM(E211:E211)</f>
        <v>0</v>
      </c>
      <c r="F210" s="393" t="e">
        <f>SUM(F211:F211)</f>
        <v>#REF!</v>
      </c>
      <c r="G210" s="393" t="e">
        <f t="shared" si="42"/>
        <v>#REF!</v>
      </c>
    </row>
    <row r="211" spans="1:8" ht="42" x14ac:dyDescent="0.2">
      <c r="A211" s="396" t="s">
        <v>170</v>
      </c>
      <c r="B211" s="397">
        <v>0</v>
      </c>
      <c r="C211" s="397">
        <v>0</v>
      </c>
      <c r="D211" s="397">
        <v>0</v>
      </c>
      <c r="E211" s="397">
        <v>0</v>
      </c>
      <c r="F211" s="397" t="e">
        <f>+#REF!</f>
        <v>#REF!</v>
      </c>
      <c r="G211" s="397" t="e">
        <f t="shared" si="42"/>
        <v>#REF!</v>
      </c>
    </row>
    <row r="212" spans="1:8" ht="42" x14ac:dyDescent="0.2">
      <c r="A212" s="392" t="s">
        <v>172</v>
      </c>
      <c r="B212" s="393">
        <f t="shared" ref="B212:E212" si="44">SUM(B213:B214)</f>
        <v>0</v>
      </c>
      <c r="C212" s="393" t="e">
        <f t="shared" si="44"/>
        <v>#REF!</v>
      </c>
      <c r="D212" s="393">
        <f t="shared" si="44"/>
        <v>0</v>
      </c>
      <c r="E212" s="393" t="e">
        <f t="shared" si="44"/>
        <v>#REF!</v>
      </c>
      <c r="F212" s="393" t="e">
        <f>SUM(F213:F214)</f>
        <v>#REF!</v>
      </c>
      <c r="G212" s="393" t="e">
        <f t="shared" ref="G212:G213" si="45">SUM(B212:F212)</f>
        <v>#REF!</v>
      </c>
    </row>
    <row r="213" spans="1:8" ht="42" x14ac:dyDescent="0.2">
      <c r="A213" s="396" t="s">
        <v>136</v>
      </c>
      <c r="B213" s="397">
        <v>0</v>
      </c>
      <c r="C213" s="397" t="e">
        <f>+#REF!</f>
        <v>#REF!</v>
      </c>
      <c r="D213" s="397">
        <v>0</v>
      </c>
      <c r="E213" s="397" t="e">
        <f>+#REF!</f>
        <v>#REF!</v>
      </c>
      <c r="F213" s="397" t="e">
        <f>+#REF!</f>
        <v>#REF!</v>
      </c>
      <c r="G213" s="397" t="e">
        <f t="shared" si="45"/>
        <v>#REF!</v>
      </c>
    </row>
    <row r="214" spans="1:8" x14ac:dyDescent="0.2">
      <c r="A214" s="396" t="s">
        <v>137</v>
      </c>
      <c r="B214" s="397">
        <v>0</v>
      </c>
      <c r="C214" s="397">
        <v>0</v>
      </c>
      <c r="D214" s="397">
        <v>0</v>
      </c>
      <c r="E214" s="397">
        <v>0</v>
      </c>
      <c r="F214" s="397" t="e">
        <f>+#REF!</f>
        <v>#REF!</v>
      </c>
      <c r="G214" s="397" t="e">
        <f t="shared" ref="G214" si="46">SUM(B214:F214)</f>
        <v>#REF!</v>
      </c>
    </row>
    <row r="215" spans="1:8" x14ac:dyDescent="0.2">
      <c r="A215" s="390" t="s">
        <v>15</v>
      </c>
      <c r="B215" s="391">
        <f>SUM(,B216)</f>
        <v>0</v>
      </c>
      <c r="C215" s="391">
        <f>SUM(,C216)</f>
        <v>0</v>
      </c>
      <c r="D215" s="391" t="e">
        <f>SUM(,D216)</f>
        <v>#REF!</v>
      </c>
      <c r="E215" s="391">
        <f>SUM(,E216)</f>
        <v>0</v>
      </c>
      <c r="F215" s="391">
        <f>SUM(,F216)</f>
        <v>0</v>
      </c>
      <c r="G215" s="391" t="e">
        <f>SUM(B215:F215)</f>
        <v>#REF!</v>
      </c>
    </row>
    <row r="216" spans="1:8" x14ac:dyDescent="0.2">
      <c r="A216" s="396" t="s">
        <v>159</v>
      </c>
      <c r="B216" s="397">
        <f t="shared" ref="B216:G216" si="47">SUM(B217)</f>
        <v>0</v>
      </c>
      <c r="C216" s="397">
        <f t="shared" si="47"/>
        <v>0</v>
      </c>
      <c r="D216" s="397" t="e">
        <f t="shared" si="47"/>
        <v>#REF!</v>
      </c>
      <c r="E216" s="397">
        <f t="shared" si="47"/>
        <v>0</v>
      </c>
      <c r="F216" s="397">
        <f t="shared" si="47"/>
        <v>0</v>
      </c>
      <c r="G216" s="397">
        <f t="shared" si="47"/>
        <v>0</v>
      </c>
    </row>
    <row r="217" spans="1:8" x14ac:dyDescent="0.2">
      <c r="A217" s="396" t="s">
        <v>757</v>
      </c>
      <c r="B217" s="397">
        <v>0</v>
      </c>
      <c r="C217" s="397">
        <v>0</v>
      </c>
      <c r="D217" s="397" t="e">
        <f>+#REF!</f>
        <v>#REF!</v>
      </c>
      <c r="E217" s="397">
        <v>0</v>
      </c>
      <c r="F217" s="397">
        <v>0</v>
      </c>
      <c r="G217" s="397">
        <v>0</v>
      </c>
    </row>
    <row r="218" spans="1:8" x14ac:dyDescent="0.2">
      <c r="A218" s="390" t="s">
        <v>6</v>
      </c>
      <c r="B218" s="391" t="e">
        <f>SUM(,B219)</f>
        <v>#REF!</v>
      </c>
      <c r="C218" s="391" t="e">
        <f>SUM(,C219)</f>
        <v>#REF!</v>
      </c>
      <c r="D218" s="391">
        <f>SUM(,D219)</f>
        <v>0</v>
      </c>
      <c r="E218" s="391">
        <f>SUM(,E219)</f>
        <v>0</v>
      </c>
      <c r="F218" s="391">
        <f>SUM(,F219)</f>
        <v>0</v>
      </c>
      <c r="G218" s="391" t="e">
        <f t="shared" si="42"/>
        <v>#REF!</v>
      </c>
    </row>
    <row r="219" spans="1:8" x14ac:dyDescent="0.2">
      <c r="A219" s="396" t="s">
        <v>11</v>
      </c>
      <c r="B219" s="397" t="e">
        <f>+#REF!</f>
        <v>#REF!</v>
      </c>
      <c r="C219" s="397" t="e">
        <f>+#REF!</f>
        <v>#REF!</v>
      </c>
      <c r="D219" s="397">
        <v>0</v>
      </c>
      <c r="E219" s="397">
        <v>0</v>
      </c>
      <c r="F219" s="397">
        <v>0</v>
      </c>
      <c r="G219" s="397" t="e">
        <f t="shared" si="42"/>
        <v>#REF!</v>
      </c>
    </row>
    <row r="220" spans="1:8" x14ac:dyDescent="0.2">
      <c r="A220" s="398" t="s">
        <v>2</v>
      </c>
      <c r="B220" s="391" t="e">
        <f t="shared" ref="B220:G220" si="48">+B197+B202+B218+B215</f>
        <v>#REF!</v>
      </c>
      <c r="C220" s="391" t="e">
        <f t="shared" si="48"/>
        <v>#REF!</v>
      </c>
      <c r="D220" s="391" t="e">
        <f t="shared" si="48"/>
        <v>#REF!</v>
      </c>
      <c r="E220" s="391" t="e">
        <f t="shared" si="48"/>
        <v>#REF!</v>
      </c>
      <c r="F220" s="391" t="e">
        <f>+F197+F202+F218+F215</f>
        <v>#REF!</v>
      </c>
      <c r="G220" s="391" t="e">
        <f t="shared" si="48"/>
        <v>#REF!</v>
      </c>
      <c r="H220" s="387" t="e">
        <f>+G220-#REF!</f>
        <v>#REF!</v>
      </c>
    </row>
    <row r="221" spans="1:8" x14ac:dyDescent="0.2">
      <c r="A221" s="1358" t="s">
        <v>1052</v>
      </c>
      <c r="B221" s="1358"/>
      <c r="C221" s="1358"/>
      <c r="D221" s="1358"/>
      <c r="E221" s="1358"/>
      <c r="F221" s="1358"/>
      <c r="G221" s="1358"/>
    </row>
    <row r="222" spans="1:8" x14ac:dyDescent="0.2">
      <c r="A222" s="1359" t="s">
        <v>319</v>
      </c>
      <c r="B222" s="1359"/>
      <c r="C222" s="1359"/>
      <c r="D222" s="1359"/>
      <c r="E222" s="1359"/>
      <c r="F222" s="1359"/>
      <c r="G222" s="1359"/>
    </row>
    <row r="223" spans="1:8" x14ac:dyDescent="0.2">
      <c r="A223" s="401" t="s">
        <v>19</v>
      </c>
      <c r="B223" s="389" t="s">
        <v>20</v>
      </c>
      <c r="C223" s="389" t="s">
        <v>21</v>
      </c>
      <c r="D223" s="402" t="s">
        <v>22</v>
      </c>
      <c r="E223" s="389" t="s">
        <v>23</v>
      </c>
      <c r="F223" s="403" t="s">
        <v>24</v>
      </c>
      <c r="G223" s="389" t="s">
        <v>25</v>
      </c>
    </row>
    <row r="224" spans="1:8" x14ac:dyDescent="0.2">
      <c r="A224" s="390" t="s">
        <v>12</v>
      </c>
      <c r="B224" s="391">
        <f>SUM(B225)</f>
        <v>0</v>
      </c>
      <c r="C224" s="391" t="e">
        <f t="shared" ref="C224:F224" si="49">SUM(C225)</f>
        <v>#REF!</v>
      </c>
      <c r="D224" s="391" t="e">
        <f t="shared" si="49"/>
        <v>#REF!</v>
      </c>
      <c r="E224" s="391">
        <f t="shared" si="49"/>
        <v>0</v>
      </c>
      <c r="F224" s="391" t="e">
        <f t="shared" si="49"/>
        <v>#REF!</v>
      </c>
      <c r="G224" s="391" t="e">
        <f t="shared" ref="G224:G230" si="50">SUM(B224:F224)</f>
        <v>#REF!</v>
      </c>
    </row>
    <row r="225" spans="1:8" ht="42" x14ac:dyDescent="0.2">
      <c r="A225" s="392" t="s">
        <v>172</v>
      </c>
      <c r="B225" s="393">
        <f>SUM(B226:B227)</f>
        <v>0</v>
      </c>
      <c r="C225" s="393" t="e">
        <f>SUM(C226:C227)</f>
        <v>#REF!</v>
      </c>
      <c r="D225" s="393" t="e">
        <f t="shared" ref="D225:F225" si="51">SUM(D226:D227)</f>
        <v>#REF!</v>
      </c>
      <c r="E225" s="393">
        <f t="shared" si="51"/>
        <v>0</v>
      </c>
      <c r="F225" s="393" t="e">
        <f t="shared" si="51"/>
        <v>#REF!</v>
      </c>
      <c r="G225" s="393" t="e">
        <f t="shared" si="50"/>
        <v>#REF!</v>
      </c>
    </row>
    <row r="226" spans="1:8" ht="42" x14ac:dyDescent="0.2">
      <c r="A226" s="396" t="s">
        <v>136</v>
      </c>
      <c r="B226" s="397">
        <v>0</v>
      </c>
      <c r="C226" s="397" t="e">
        <f>+#REF!</f>
        <v>#REF!</v>
      </c>
      <c r="D226" s="397">
        <v>0</v>
      </c>
      <c r="E226" s="397">
        <v>0</v>
      </c>
      <c r="F226" s="397" t="e">
        <f>+#REF!</f>
        <v>#REF!</v>
      </c>
      <c r="G226" s="397" t="e">
        <f>SUM(B226:F226)</f>
        <v>#REF!</v>
      </c>
    </row>
    <row r="227" spans="1:8" x14ac:dyDescent="0.2">
      <c r="A227" s="396" t="s">
        <v>137</v>
      </c>
      <c r="B227" s="397">
        <v>0</v>
      </c>
      <c r="C227" s="397" t="e">
        <f>+#REF!</f>
        <v>#REF!</v>
      </c>
      <c r="D227" s="397" t="e">
        <f>+#REF!</f>
        <v>#REF!</v>
      </c>
      <c r="E227" s="397">
        <v>0</v>
      </c>
      <c r="F227" s="397">
        <v>0</v>
      </c>
      <c r="G227" s="397" t="e">
        <f t="shared" si="50"/>
        <v>#REF!</v>
      </c>
    </row>
    <row r="228" spans="1:8" x14ac:dyDescent="0.2">
      <c r="A228" s="390" t="s">
        <v>6</v>
      </c>
      <c r="B228" s="391" t="e">
        <f>SUM(,B229)</f>
        <v>#REF!</v>
      </c>
      <c r="C228" s="391" t="e">
        <f>SUM(,C229)</f>
        <v>#REF!</v>
      </c>
      <c r="D228" s="391">
        <f>SUM(,D229)</f>
        <v>0</v>
      </c>
      <c r="E228" s="391">
        <f>SUM(,E229)</f>
        <v>0</v>
      </c>
      <c r="F228" s="391">
        <f>SUM(,F229)</f>
        <v>0</v>
      </c>
      <c r="G228" s="391" t="e">
        <f t="shared" si="50"/>
        <v>#REF!</v>
      </c>
    </row>
    <row r="229" spans="1:8" x14ac:dyDescent="0.2">
      <c r="A229" s="396" t="s">
        <v>11</v>
      </c>
      <c r="B229" s="397" t="e">
        <f>+#REF!</f>
        <v>#REF!</v>
      </c>
      <c r="C229" s="397" t="e">
        <f>+#REF!</f>
        <v>#REF!</v>
      </c>
      <c r="D229" s="397">
        <v>0</v>
      </c>
      <c r="E229" s="397">
        <v>0</v>
      </c>
      <c r="F229" s="397">
        <v>0</v>
      </c>
      <c r="G229" s="397" t="e">
        <f t="shared" si="50"/>
        <v>#REF!</v>
      </c>
    </row>
    <row r="230" spans="1:8" x14ac:dyDescent="0.2">
      <c r="A230" s="398" t="s">
        <v>2</v>
      </c>
      <c r="B230" s="391" t="e">
        <f>+B224+B228</f>
        <v>#REF!</v>
      </c>
      <c r="C230" s="391" t="e">
        <f>+C224+C228</f>
        <v>#REF!</v>
      </c>
      <c r="D230" s="391" t="e">
        <f>+D224+D228</f>
        <v>#REF!</v>
      </c>
      <c r="E230" s="391">
        <f>+E224+E228</f>
        <v>0</v>
      </c>
      <c r="F230" s="391" t="e">
        <f>+F224+F228</f>
        <v>#REF!</v>
      </c>
      <c r="G230" s="391" t="e">
        <f t="shared" si="50"/>
        <v>#REF!</v>
      </c>
      <c r="H230" s="387" t="e">
        <f>+G230-#REF!</f>
        <v>#REF!</v>
      </c>
    </row>
    <row r="773" spans="4:4" x14ac:dyDescent="0.2">
      <c r="D773" s="387">
        <v>847193200</v>
      </c>
    </row>
  </sheetData>
  <mergeCells count="28">
    <mergeCell ref="A51:G51"/>
    <mergeCell ref="A52:G52"/>
    <mergeCell ref="A67:G67"/>
    <mergeCell ref="A68:G68"/>
    <mergeCell ref="A34:G34"/>
    <mergeCell ref="A1:G1"/>
    <mergeCell ref="A2:G2"/>
    <mergeCell ref="A17:G17"/>
    <mergeCell ref="A18:G18"/>
    <mergeCell ref="A33:G33"/>
    <mergeCell ref="A81:G81"/>
    <mergeCell ref="A163:G163"/>
    <mergeCell ref="A164:G164"/>
    <mergeCell ref="A179:G179"/>
    <mergeCell ref="A180:G180"/>
    <mergeCell ref="A130:G130"/>
    <mergeCell ref="A129:G129"/>
    <mergeCell ref="A82:G82"/>
    <mergeCell ref="A97:G97"/>
    <mergeCell ref="A98:G98"/>
    <mergeCell ref="A113:G113"/>
    <mergeCell ref="A114:G114"/>
    <mergeCell ref="A194:G194"/>
    <mergeCell ref="A195:G195"/>
    <mergeCell ref="A221:G221"/>
    <mergeCell ref="A222:G222"/>
    <mergeCell ref="A146:G146"/>
    <mergeCell ref="A147:G147"/>
  </mergeCells>
  <printOptions horizontalCentered="1"/>
  <pageMargins left="0.59055118110236227" right="0.59055118110236227" top="0.59055118110236227" bottom="0.39370078740157483" header="0" footer="0"/>
  <pageSetup paperSize="9" scale="92" fitToHeight="0" orientation="landscape" r:id="rId1"/>
  <headerFooter alignWithMargins="0"/>
  <rowBreaks count="14" manualBreakCount="14">
    <brk id="16" max="6" man="1"/>
    <brk id="32" max="6" man="1"/>
    <brk id="50" max="6" man="1"/>
    <brk id="66" max="6" man="1"/>
    <brk id="80" max="6" man="1"/>
    <brk id="96" max="6" man="1"/>
    <brk id="112" max="6" man="1"/>
    <brk id="128" max="6" man="1"/>
    <brk id="145" max="6" man="1"/>
    <brk id="162" max="6" man="1"/>
    <brk id="178" max="6" man="1"/>
    <brk id="193" max="6" man="1"/>
    <brk id="206" max="6" man="1"/>
    <brk id="22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zoomScale="70" zoomScaleNormal="70" zoomScaleSheetLayoutView="70" workbookViewId="0">
      <selection activeCell="C7" sqref="C7"/>
    </sheetView>
  </sheetViews>
  <sheetFormatPr defaultRowHeight="21" x14ac:dyDescent="0.35"/>
  <cols>
    <col min="1" max="1" width="12.85546875" style="172" customWidth="1"/>
    <col min="2" max="2" width="3.7109375" style="172" customWidth="1"/>
    <col min="3" max="3" width="89.42578125" style="172" customWidth="1"/>
    <col min="4" max="4" width="35.7109375" style="969" customWidth="1"/>
    <col min="5" max="5" width="39.42578125" style="969" customWidth="1"/>
    <col min="6" max="248" width="9.140625" style="967"/>
    <col min="249" max="249" width="12.85546875" style="967" customWidth="1"/>
    <col min="250" max="250" width="3.7109375" style="967" customWidth="1"/>
    <col min="251" max="251" width="89.42578125" style="967" customWidth="1"/>
    <col min="252" max="252" width="18" style="967" customWidth="1"/>
    <col min="253" max="504" width="9.140625" style="967"/>
    <col min="505" max="505" width="12.85546875" style="967" customWidth="1"/>
    <col min="506" max="506" width="3.7109375" style="967" customWidth="1"/>
    <col min="507" max="507" width="89.42578125" style="967" customWidth="1"/>
    <col min="508" max="508" width="18" style="967" customWidth="1"/>
    <col min="509" max="760" width="9.140625" style="967"/>
    <col min="761" max="761" width="12.85546875" style="967" customWidth="1"/>
    <col min="762" max="762" width="3.7109375" style="967" customWidth="1"/>
    <col min="763" max="763" width="89.42578125" style="967" customWidth="1"/>
    <col min="764" max="764" width="18" style="967" customWidth="1"/>
    <col min="765" max="1016" width="9.140625" style="967"/>
    <col min="1017" max="1017" width="12.85546875" style="967" customWidth="1"/>
    <col min="1018" max="1018" width="3.7109375" style="967" customWidth="1"/>
    <col min="1019" max="1019" width="89.42578125" style="967" customWidth="1"/>
    <col min="1020" max="1020" width="18" style="967" customWidth="1"/>
    <col min="1021" max="1272" width="9.140625" style="967"/>
    <col min="1273" max="1273" width="12.85546875" style="967" customWidth="1"/>
    <col min="1274" max="1274" width="3.7109375" style="967" customWidth="1"/>
    <col min="1275" max="1275" width="89.42578125" style="967" customWidth="1"/>
    <col min="1276" max="1276" width="18" style="967" customWidth="1"/>
    <col min="1277" max="1528" width="9.140625" style="967"/>
    <col min="1529" max="1529" width="12.85546875" style="967" customWidth="1"/>
    <col min="1530" max="1530" width="3.7109375" style="967" customWidth="1"/>
    <col min="1531" max="1531" width="89.42578125" style="967" customWidth="1"/>
    <col min="1532" max="1532" width="18" style="967" customWidth="1"/>
    <col min="1533" max="1784" width="9.140625" style="967"/>
    <col min="1785" max="1785" width="12.85546875" style="967" customWidth="1"/>
    <col min="1786" max="1786" width="3.7109375" style="967" customWidth="1"/>
    <col min="1787" max="1787" width="89.42578125" style="967" customWidth="1"/>
    <col min="1788" max="1788" width="18" style="967" customWidth="1"/>
    <col min="1789" max="2040" width="9.140625" style="967"/>
    <col min="2041" max="2041" width="12.85546875" style="967" customWidth="1"/>
    <col min="2042" max="2042" width="3.7109375" style="967" customWidth="1"/>
    <col min="2043" max="2043" width="89.42578125" style="967" customWidth="1"/>
    <col min="2044" max="2044" width="18" style="967" customWidth="1"/>
    <col min="2045" max="2296" width="9.140625" style="967"/>
    <col min="2297" max="2297" width="12.85546875" style="967" customWidth="1"/>
    <col min="2298" max="2298" width="3.7109375" style="967" customWidth="1"/>
    <col min="2299" max="2299" width="89.42578125" style="967" customWidth="1"/>
    <col min="2300" max="2300" width="18" style="967" customWidth="1"/>
    <col min="2301" max="2552" width="9.140625" style="967"/>
    <col min="2553" max="2553" width="12.85546875" style="967" customWidth="1"/>
    <col min="2554" max="2554" width="3.7109375" style="967" customWidth="1"/>
    <col min="2555" max="2555" width="89.42578125" style="967" customWidth="1"/>
    <col min="2556" max="2556" width="18" style="967" customWidth="1"/>
    <col min="2557" max="2808" width="9.140625" style="967"/>
    <col min="2809" max="2809" width="12.85546875" style="967" customWidth="1"/>
    <col min="2810" max="2810" width="3.7109375" style="967" customWidth="1"/>
    <col min="2811" max="2811" width="89.42578125" style="967" customWidth="1"/>
    <col min="2812" max="2812" width="18" style="967" customWidth="1"/>
    <col min="2813" max="3064" width="9.140625" style="967"/>
    <col min="3065" max="3065" width="12.85546875" style="967" customWidth="1"/>
    <col min="3066" max="3066" width="3.7109375" style="967" customWidth="1"/>
    <col min="3067" max="3067" width="89.42578125" style="967" customWidth="1"/>
    <col min="3068" max="3068" width="18" style="967" customWidth="1"/>
    <col min="3069" max="3320" width="9.140625" style="967"/>
    <col min="3321" max="3321" width="12.85546875" style="967" customWidth="1"/>
    <col min="3322" max="3322" width="3.7109375" style="967" customWidth="1"/>
    <col min="3323" max="3323" width="89.42578125" style="967" customWidth="1"/>
    <col min="3324" max="3324" width="18" style="967" customWidth="1"/>
    <col min="3325" max="3576" width="9.140625" style="967"/>
    <col min="3577" max="3577" width="12.85546875" style="967" customWidth="1"/>
    <col min="3578" max="3578" width="3.7109375" style="967" customWidth="1"/>
    <col min="3579" max="3579" width="89.42578125" style="967" customWidth="1"/>
    <col min="3580" max="3580" width="18" style="967" customWidth="1"/>
    <col min="3581" max="3832" width="9.140625" style="967"/>
    <col min="3833" max="3833" width="12.85546875" style="967" customWidth="1"/>
    <col min="3834" max="3834" width="3.7109375" style="967" customWidth="1"/>
    <col min="3835" max="3835" width="89.42578125" style="967" customWidth="1"/>
    <col min="3836" max="3836" width="18" style="967" customWidth="1"/>
    <col min="3837" max="4088" width="9.140625" style="967"/>
    <col min="4089" max="4089" width="12.85546875" style="967" customWidth="1"/>
    <col min="4090" max="4090" width="3.7109375" style="967" customWidth="1"/>
    <col min="4091" max="4091" width="89.42578125" style="967" customWidth="1"/>
    <col min="4092" max="4092" width="18" style="967" customWidth="1"/>
    <col min="4093" max="4344" width="9.140625" style="967"/>
    <col min="4345" max="4345" width="12.85546875" style="967" customWidth="1"/>
    <col min="4346" max="4346" width="3.7109375" style="967" customWidth="1"/>
    <col min="4347" max="4347" width="89.42578125" style="967" customWidth="1"/>
    <col min="4348" max="4348" width="18" style="967" customWidth="1"/>
    <col min="4349" max="4600" width="9.140625" style="967"/>
    <col min="4601" max="4601" width="12.85546875" style="967" customWidth="1"/>
    <col min="4602" max="4602" width="3.7109375" style="967" customWidth="1"/>
    <col min="4603" max="4603" width="89.42578125" style="967" customWidth="1"/>
    <col min="4604" max="4604" width="18" style="967" customWidth="1"/>
    <col min="4605" max="4856" width="9.140625" style="967"/>
    <col min="4857" max="4857" width="12.85546875" style="967" customWidth="1"/>
    <col min="4858" max="4858" width="3.7109375" style="967" customWidth="1"/>
    <col min="4859" max="4859" width="89.42578125" style="967" customWidth="1"/>
    <col min="4860" max="4860" width="18" style="967" customWidth="1"/>
    <col min="4861" max="5112" width="9.140625" style="967"/>
    <col min="5113" max="5113" width="12.85546875" style="967" customWidth="1"/>
    <col min="5114" max="5114" width="3.7109375" style="967" customWidth="1"/>
    <col min="5115" max="5115" width="89.42578125" style="967" customWidth="1"/>
    <col min="5116" max="5116" width="18" style="967" customWidth="1"/>
    <col min="5117" max="5368" width="9.140625" style="967"/>
    <col min="5369" max="5369" width="12.85546875" style="967" customWidth="1"/>
    <col min="5370" max="5370" width="3.7109375" style="967" customWidth="1"/>
    <col min="5371" max="5371" width="89.42578125" style="967" customWidth="1"/>
    <col min="5372" max="5372" width="18" style="967" customWidth="1"/>
    <col min="5373" max="5624" width="9.140625" style="967"/>
    <col min="5625" max="5625" width="12.85546875" style="967" customWidth="1"/>
    <col min="5626" max="5626" width="3.7109375" style="967" customWidth="1"/>
    <col min="5627" max="5627" width="89.42578125" style="967" customWidth="1"/>
    <col min="5628" max="5628" width="18" style="967" customWidth="1"/>
    <col min="5629" max="5880" width="9.140625" style="967"/>
    <col min="5881" max="5881" width="12.85546875" style="967" customWidth="1"/>
    <col min="5882" max="5882" width="3.7109375" style="967" customWidth="1"/>
    <col min="5883" max="5883" width="89.42578125" style="967" customWidth="1"/>
    <col min="5884" max="5884" width="18" style="967" customWidth="1"/>
    <col min="5885" max="6136" width="9.140625" style="967"/>
    <col min="6137" max="6137" width="12.85546875" style="967" customWidth="1"/>
    <col min="6138" max="6138" width="3.7109375" style="967" customWidth="1"/>
    <col min="6139" max="6139" width="89.42578125" style="967" customWidth="1"/>
    <col min="6140" max="6140" width="18" style="967" customWidth="1"/>
    <col min="6141" max="6392" width="9.140625" style="967"/>
    <col min="6393" max="6393" width="12.85546875" style="967" customWidth="1"/>
    <col min="6394" max="6394" width="3.7109375" style="967" customWidth="1"/>
    <col min="6395" max="6395" width="89.42578125" style="967" customWidth="1"/>
    <col min="6396" max="6396" width="18" style="967" customWidth="1"/>
    <col min="6397" max="6648" width="9.140625" style="967"/>
    <col min="6649" max="6649" width="12.85546875" style="967" customWidth="1"/>
    <col min="6650" max="6650" width="3.7109375" style="967" customWidth="1"/>
    <col min="6651" max="6651" width="89.42578125" style="967" customWidth="1"/>
    <col min="6652" max="6652" width="18" style="967" customWidth="1"/>
    <col min="6653" max="6904" width="9.140625" style="967"/>
    <col min="6905" max="6905" width="12.85546875" style="967" customWidth="1"/>
    <col min="6906" max="6906" width="3.7109375" style="967" customWidth="1"/>
    <col min="6907" max="6907" width="89.42578125" style="967" customWidth="1"/>
    <col min="6908" max="6908" width="18" style="967" customWidth="1"/>
    <col min="6909" max="7160" width="9.140625" style="967"/>
    <col min="7161" max="7161" width="12.85546875" style="967" customWidth="1"/>
    <col min="7162" max="7162" width="3.7109375" style="967" customWidth="1"/>
    <col min="7163" max="7163" width="89.42578125" style="967" customWidth="1"/>
    <col min="7164" max="7164" width="18" style="967" customWidth="1"/>
    <col min="7165" max="7416" width="9.140625" style="967"/>
    <col min="7417" max="7417" width="12.85546875" style="967" customWidth="1"/>
    <col min="7418" max="7418" width="3.7109375" style="967" customWidth="1"/>
    <col min="7419" max="7419" width="89.42578125" style="967" customWidth="1"/>
    <col min="7420" max="7420" width="18" style="967" customWidth="1"/>
    <col min="7421" max="7672" width="9.140625" style="967"/>
    <col min="7673" max="7673" width="12.85546875" style="967" customWidth="1"/>
    <col min="7674" max="7674" width="3.7109375" style="967" customWidth="1"/>
    <col min="7675" max="7675" width="89.42578125" style="967" customWidth="1"/>
    <col min="7676" max="7676" width="18" style="967" customWidth="1"/>
    <col min="7677" max="7928" width="9.140625" style="967"/>
    <col min="7929" max="7929" width="12.85546875" style="967" customWidth="1"/>
    <col min="7930" max="7930" width="3.7109375" style="967" customWidth="1"/>
    <col min="7931" max="7931" width="89.42578125" style="967" customWidth="1"/>
    <col min="7932" max="7932" width="18" style="967" customWidth="1"/>
    <col min="7933" max="8184" width="9.140625" style="967"/>
    <col min="8185" max="8185" width="12.85546875" style="967" customWidth="1"/>
    <col min="8186" max="8186" width="3.7109375" style="967" customWidth="1"/>
    <col min="8187" max="8187" width="89.42578125" style="967" customWidth="1"/>
    <col min="8188" max="8188" width="18" style="967" customWidth="1"/>
    <col min="8189" max="8440" width="9.140625" style="967"/>
    <col min="8441" max="8441" width="12.85546875" style="967" customWidth="1"/>
    <col min="8442" max="8442" width="3.7109375" style="967" customWidth="1"/>
    <col min="8443" max="8443" width="89.42578125" style="967" customWidth="1"/>
    <col min="8444" max="8444" width="18" style="967" customWidth="1"/>
    <col min="8445" max="8696" width="9.140625" style="967"/>
    <col min="8697" max="8697" width="12.85546875" style="967" customWidth="1"/>
    <col min="8698" max="8698" width="3.7109375" style="967" customWidth="1"/>
    <col min="8699" max="8699" width="89.42578125" style="967" customWidth="1"/>
    <col min="8700" max="8700" width="18" style="967" customWidth="1"/>
    <col min="8701" max="8952" width="9.140625" style="967"/>
    <col min="8953" max="8953" width="12.85546875" style="967" customWidth="1"/>
    <col min="8954" max="8954" width="3.7109375" style="967" customWidth="1"/>
    <col min="8955" max="8955" width="89.42578125" style="967" customWidth="1"/>
    <col min="8956" max="8956" width="18" style="967" customWidth="1"/>
    <col min="8957" max="9208" width="9.140625" style="967"/>
    <col min="9209" max="9209" width="12.85546875" style="967" customWidth="1"/>
    <col min="9210" max="9210" width="3.7109375" style="967" customWidth="1"/>
    <col min="9211" max="9211" width="89.42578125" style="967" customWidth="1"/>
    <col min="9212" max="9212" width="18" style="967" customWidth="1"/>
    <col min="9213" max="9464" width="9.140625" style="967"/>
    <col min="9465" max="9465" width="12.85546875" style="967" customWidth="1"/>
    <col min="9466" max="9466" width="3.7109375" style="967" customWidth="1"/>
    <col min="9467" max="9467" width="89.42578125" style="967" customWidth="1"/>
    <col min="9468" max="9468" width="18" style="967" customWidth="1"/>
    <col min="9469" max="9720" width="9.140625" style="967"/>
    <col min="9721" max="9721" width="12.85546875" style="967" customWidth="1"/>
    <col min="9722" max="9722" width="3.7109375" style="967" customWidth="1"/>
    <col min="9723" max="9723" width="89.42578125" style="967" customWidth="1"/>
    <col min="9724" max="9724" width="18" style="967" customWidth="1"/>
    <col min="9725" max="9976" width="9.140625" style="967"/>
    <col min="9977" max="9977" width="12.85546875" style="967" customWidth="1"/>
    <col min="9978" max="9978" width="3.7109375" style="967" customWidth="1"/>
    <col min="9979" max="9979" width="89.42578125" style="967" customWidth="1"/>
    <col min="9980" max="9980" width="18" style="967" customWidth="1"/>
    <col min="9981" max="10232" width="9.140625" style="967"/>
    <col min="10233" max="10233" width="12.85546875" style="967" customWidth="1"/>
    <col min="10234" max="10234" width="3.7109375" style="967" customWidth="1"/>
    <col min="10235" max="10235" width="89.42578125" style="967" customWidth="1"/>
    <col min="10236" max="10236" width="18" style="967" customWidth="1"/>
    <col min="10237" max="10488" width="9.140625" style="967"/>
    <col min="10489" max="10489" width="12.85546875" style="967" customWidth="1"/>
    <col min="10490" max="10490" width="3.7109375" style="967" customWidth="1"/>
    <col min="10491" max="10491" width="89.42578125" style="967" customWidth="1"/>
    <col min="10492" max="10492" width="18" style="967" customWidth="1"/>
    <col min="10493" max="10744" width="9.140625" style="967"/>
    <col min="10745" max="10745" width="12.85546875" style="967" customWidth="1"/>
    <col min="10746" max="10746" width="3.7109375" style="967" customWidth="1"/>
    <col min="10747" max="10747" width="89.42578125" style="967" customWidth="1"/>
    <col min="10748" max="10748" width="18" style="967" customWidth="1"/>
    <col min="10749" max="11000" width="9.140625" style="967"/>
    <col min="11001" max="11001" width="12.85546875" style="967" customWidth="1"/>
    <col min="11002" max="11002" width="3.7109375" style="967" customWidth="1"/>
    <col min="11003" max="11003" width="89.42578125" style="967" customWidth="1"/>
    <col min="11004" max="11004" width="18" style="967" customWidth="1"/>
    <col min="11005" max="11256" width="9.140625" style="967"/>
    <col min="11257" max="11257" width="12.85546875" style="967" customWidth="1"/>
    <col min="11258" max="11258" width="3.7109375" style="967" customWidth="1"/>
    <col min="11259" max="11259" width="89.42578125" style="967" customWidth="1"/>
    <col min="11260" max="11260" width="18" style="967" customWidth="1"/>
    <col min="11261" max="11512" width="9.140625" style="967"/>
    <col min="11513" max="11513" width="12.85546875" style="967" customWidth="1"/>
    <col min="11514" max="11514" width="3.7109375" style="967" customWidth="1"/>
    <col min="11515" max="11515" width="89.42578125" style="967" customWidth="1"/>
    <col min="11516" max="11516" width="18" style="967" customWidth="1"/>
    <col min="11517" max="11768" width="9.140625" style="967"/>
    <col min="11769" max="11769" width="12.85546875" style="967" customWidth="1"/>
    <col min="11770" max="11770" width="3.7109375" style="967" customWidth="1"/>
    <col min="11771" max="11771" width="89.42578125" style="967" customWidth="1"/>
    <col min="11772" max="11772" width="18" style="967" customWidth="1"/>
    <col min="11773" max="12024" width="9.140625" style="967"/>
    <col min="12025" max="12025" width="12.85546875" style="967" customWidth="1"/>
    <col min="12026" max="12026" width="3.7109375" style="967" customWidth="1"/>
    <col min="12027" max="12027" width="89.42578125" style="967" customWidth="1"/>
    <col min="12028" max="12028" width="18" style="967" customWidth="1"/>
    <col min="12029" max="12280" width="9.140625" style="967"/>
    <col min="12281" max="12281" width="12.85546875" style="967" customWidth="1"/>
    <col min="12282" max="12282" width="3.7109375" style="967" customWidth="1"/>
    <col min="12283" max="12283" width="89.42578125" style="967" customWidth="1"/>
    <col min="12284" max="12284" width="18" style="967" customWidth="1"/>
    <col min="12285" max="12536" width="9.140625" style="967"/>
    <col min="12537" max="12537" width="12.85546875" style="967" customWidth="1"/>
    <col min="12538" max="12538" width="3.7109375" style="967" customWidth="1"/>
    <col min="12539" max="12539" width="89.42578125" style="967" customWidth="1"/>
    <col min="12540" max="12540" width="18" style="967" customWidth="1"/>
    <col min="12541" max="12792" width="9.140625" style="967"/>
    <col min="12793" max="12793" width="12.85546875" style="967" customWidth="1"/>
    <col min="12794" max="12794" width="3.7109375" style="967" customWidth="1"/>
    <col min="12795" max="12795" width="89.42578125" style="967" customWidth="1"/>
    <col min="12796" max="12796" width="18" style="967" customWidth="1"/>
    <col min="12797" max="13048" width="9.140625" style="967"/>
    <col min="13049" max="13049" width="12.85546875" style="967" customWidth="1"/>
    <col min="13050" max="13050" width="3.7109375" style="967" customWidth="1"/>
    <col min="13051" max="13051" width="89.42578125" style="967" customWidth="1"/>
    <col min="13052" max="13052" width="18" style="967" customWidth="1"/>
    <col min="13053" max="13304" width="9.140625" style="967"/>
    <col min="13305" max="13305" width="12.85546875" style="967" customWidth="1"/>
    <col min="13306" max="13306" width="3.7109375" style="967" customWidth="1"/>
    <col min="13307" max="13307" width="89.42578125" style="967" customWidth="1"/>
    <col min="13308" max="13308" width="18" style="967" customWidth="1"/>
    <col min="13309" max="13560" width="9.140625" style="967"/>
    <col min="13561" max="13561" width="12.85546875" style="967" customWidth="1"/>
    <col min="13562" max="13562" width="3.7109375" style="967" customWidth="1"/>
    <col min="13563" max="13563" width="89.42578125" style="967" customWidth="1"/>
    <col min="13564" max="13564" width="18" style="967" customWidth="1"/>
    <col min="13565" max="13816" width="9.140625" style="967"/>
    <col min="13817" max="13817" width="12.85546875" style="967" customWidth="1"/>
    <col min="13818" max="13818" width="3.7109375" style="967" customWidth="1"/>
    <col min="13819" max="13819" width="89.42578125" style="967" customWidth="1"/>
    <col min="13820" max="13820" width="18" style="967" customWidth="1"/>
    <col min="13821" max="14072" width="9.140625" style="967"/>
    <col min="14073" max="14073" width="12.85546875" style="967" customWidth="1"/>
    <col min="14074" max="14074" width="3.7109375" style="967" customWidth="1"/>
    <col min="14075" max="14075" width="89.42578125" style="967" customWidth="1"/>
    <col min="14076" max="14076" width="18" style="967" customWidth="1"/>
    <col min="14077" max="14328" width="9.140625" style="967"/>
    <col min="14329" max="14329" width="12.85546875" style="967" customWidth="1"/>
    <col min="14330" max="14330" width="3.7109375" style="967" customWidth="1"/>
    <col min="14331" max="14331" width="89.42578125" style="967" customWidth="1"/>
    <col min="14332" max="14332" width="18" style="967" customWidth="1"/>
    <col min="14333" max="14584" width="9.140625" style="967"/>
    <col min="14585" max="14585" width="12.85546875" style="967" customWidth="1"/>
    <col min="14586" max="14586" width="3.7109375" style="967" customWidth="1"/>
    <col min="14587" max="14587" width="89.42578125" style="967" customWidth="1"/>
    <col min="14588" max="14588" width="18" style="967" customWidth="1"/>
    <col min="14589" max="14840" width="9.140625" style="967"/>
    <col min="14841" max="14841" width="12.85546875" style="967" customWidth="1"/>
    <col min="14842" max="14842" width="3.7109375" style="967" customWidth="1"/>
    <col min="14843" max="14843" width="89.42578125" style="967" customWidth="1"/>
    <col min="14844" max="14844" width="18" style="967" customWidth="1"/>
    <col min="14845" max="15096" width="9.140625" style="967"/>
    <col min="15097" max="15097" width="12.85546875" style="967" customWidth="1"/>
    <col min="15098" max="15098" width="3.7109375" style="967" customWidth="1"/>
    <col min="15099" max="15099" width="89.42578125" style="967" customWidth="1"/>
    <col min="15100" max="15100" width="18" style="967" customWidth="1"/>
    <col min="15101" max="15352" width="9.140625" style="967"/>
    <col min="15353" max="15353" width="12.85546875" style="967" customWidth="1"/>
    <col min="15354" max="15354" width="3.7109375" style="967" customWidth="1"/>
    <col min="15355" max="15355" width="89.42578125" style="967" customWidth="1"/>
    <col min="15356" max="15356" width="18" style="967" customWidth="1"/>
    <col min="15357" max="15608" width="9.140625" style="967"/>
    <col min="15609" max="15609" width="12.85546875" style="967" customWidth="1"/>
    <col min="15610" max="15610" width="3.7109375" style="967" customWidth="1"/>
    <col min="15611" max="15611" width="89.42578125" style="967" customWidth="1"/>
    <col min="15612" max="15612" width="18" style="967" customWidth="1"/>
    <col min="15613" max="15864" width="9.140625" style="967"/>
    <col min="15865" max="15865" width="12.85546875" style="967" customWidth="1"/>
    <col min="15866" max="15866" width="3.7109375" style="967" customWidth="1"/>
    <col min="15867" max="15867" width="89.42578125" style="967" customWidth="1"/>
    <col min="15868" max="15868" width="18" style="967" customWidth="1"/>
    <col min="15869" max="16120" width="9.140625" style="967"/>
    <col min="16121" max="16121" width="12.85546875" style="967" customWidth="1"/>
    <col min="16122" max="16122" width="3.7109375" style="967" customWidth="1"/>
    <col min="16123" max="16123" width="89.42578125" style="967" customWidth="1"/>
    <col min="16124" max="16124" width="18" style="967" customWidth="1"/>
    <col min="16125" max="16384" width="9.140625" style="967"/>
  </cols>
  <sheetData>
    <row r="1" spans="1:6" s="3" customFormat="1" ht="27.75" customHeight="1" x14ac:dyDescent="0.35">
      <c r="A1" s="1411" t="s">
        <v>1465</v>
      </c>
      <c r="B1" s="1411"/>
      <c r="C1" s="1411"/>
      <c r="D1" s="1411"/>
      <c r="E1" s="1411"/>
      <c r="F1" s="177"/>
    </row>
    <row r="2" spans="1:6" s="3" customFormat="1" ht="27" customHeight="1" x14ac:dyDescent="0.35">
      <c r="A2" s="1417" t="s">
        <v>54</v>
      </c>
      <c r="B2" s="1417"/>
      <c r="C2" s="1417"/>
      <c r="D2" s="1417"/>
      <c r="E2" s="1417"/>
      <c r="F2" s="177"/>
    </row>
    <row r="3" spans="1:6" ht="27" customHeight="1" x14ac:dyDescent="0.35">
      <c r="A3" s="1418" t="s">
        <v>318</v>
      </c>
      <c r="B3" s="1419"/>
      <c r="C3" s="1420"/>
      <c r="D3" s="1424" t="s">
        <v>1300</v>
      </c>
      <c r="E3" s="1415" t="s">
        <v>1463</v>
      </c>
    </row>
    <row r="4" spans="1:6" ht="27" customHeight="1" x14ac:dyDescent="0.35">
      <c r="A4" s="1421"/>
      <c r="B4" s="1422"/>
      <c r="C4" s="1423"/>
      <c r="D4" s="1425"/>
      <c r="E4" s="1416"/>
    </row>
    <row r="5" spans="1:6" ht="27" customHeight="1" x14ac:dyDescent="0.35">
      <c r="A5" s="1412" t="s">
        <v>5</v>
      </c>
      <c r="B5" s="1413"/>
      <c r="C5" s="1414"/>
      <c r="D5" s="1295">
        <v>17051200</v>
      </c>
      <c r="E5" s="1296" t="s">
        <v>1464</v>
      </c>
    </row>
    <row r="6" spans="1:6" ht="27" customHeight="1" x14ac:dyDescent="0.35">
      <c r="A6" s="1297" t="s">
        <v>12</v>
      </c>
      <c r="B6" s="1298"/>
      <c r="C6" s="1299"/>
      <c r="D6" s="1300">
        <v>17051200</v>
      </c>
      <c r="E6" s="1300"/>
    </row>
    <row r="7" spans="1:6" ht="27" customHeight="1" x14ac:dyDescent="0.35">
      <c r="A7" s="1301" t="s">
        <v>165</v>
      </c>
      <c r="B7" s="1302"/>
      <c r="C7" s="1302"/>
      <c r="D7" s="1303">
        <v>11403100</v>
      </c>
      <c r="E7" s="1303"/>
    </row>
    <row r="8" spans="1:6" ht="27" customHeight="1" x14ac:dyDescent="0.35">
      <c r="A8" s="1304" t="s">
        <v>128</v>
      </c>
      <c r="B8" s="1305"/>
      <c r="C8" s="1305"/>
      <c r="D8" s="1306">
        <v>11403100</v>
      </c>
      <c r="E8" s="1306"/>
    </row>
    <row r="9" spans="1:6" ht="27" customHeight="1" x14ac:dyDescent="0.35">
      <c r="A9" s="1307" t="s">
        <v>45</v>
      </c>
      <c r="B9" s="1308"/>
      <c r="C9" s="1308"/>
      <c r="D9" s="1309">
        <v>11403100</v>
      </c>
      <c r="E9" s="1309"/>
    </row>
    <row r="10" spans="1:6" s="968" customFormat="1" ht="27" customHeight="1" x14ac:dyDescent="0.35">
      <c r="A10" s="1310"/>
      <c r="B10" s="1311" t="s">
        <v>320</v>
      </c>
      <c r="C10" s="1312"/>
      <c r="D10" s="1313">
        <v>10300000</v>
      </c>
      <c r="E10" s="1313" t="s">
        <v>1464</v>
      </c>
    </row>
    <row r="11" spans="1:6" s="968" customFormat="1" ht="27" customHeight="1" x14ac:dyDescent="0.35">
      <c r="A11" s="1314"/>
      <c r="B11" s="1315" t="s">
        <v>323</v>
      </c>
      <c r="C11" s="1315"/>
      <c r="D11" s="1316">
        <v>217100</v>
      </c>
      <c r="E11" s="1316" t="s">
        <v>1464</v>
      </c>
    </row>
    <row r="12" spans="1:6" s="968" customFormat="1" ht="27" customHeight="1" x14ac:dyDescent="0.35">
      <c r="A12" s="1314"/>
      <c r="B12" s="1315" t="s">
        <v>324</v>
      </c>
      <c r="C12" s="1315"/>
      <c r="D12" s="1316">
        <v>786000</v>
      </c>
      <c r="E12" s="1316" t="s">
        <v>1464</v>
      </c>
    </row>
    <row r="13" spans="1:6" s="968" customFormat="1" ht="27" customHeight="1" x14ac:dyDescent="0.35">
      <c r="A13" s="1314"/>
      <c r="B13" s="1315" t="s">
        <v>325</v>
      </c>
      <c r="C13" s="1315"/>
      <c r="D13" s="1313">
        <v>100000</v>
      </c>
      <c r="E13" s="1313" t="s">
        <v>1464</v>
      </c>
    </row>
    <row r="14" spans="1:6" ht="27" customHeight="1" x14ac:dyDescent="0.35">
      <c r="A14" s="1317" t="s">
        <v>166</v>
      </c>
      <c r="B14" s="1318"/>
      <c r="C14" s="1318"/>
      <c r="D14" s="1319">
        <v>50700</v>
      </c>
      <c r="E14" s="1319"/>
    </row>
    <row r="15" spans="1:6" ht="27" customHeight="1" x14ac:dyDescent="0.35">
      <c r="A15" s="1304" t="s">
        <v>131</v>
      </c>
      <c r="B15" s="1305"/>
      <c r="C15" s="1305"/>
      <c r="D15" s="1306">
        <v>50700</v>
      </c>
      <c r="E15" s="1306"/>
    </row>
    <row r="16" spans="1:6" ht="27" customHeight="1" x14ac:dyDescent="0.35">
      <c r="A16" s="1307" t="s">
        <v>45</v>
      </c>
      <c r="B16" s="1320"/>
      <c r="C16" s="1308"/>
      <c r="D16" s="1321">
        <v>50700</v>
      </c>
      <c r="E16" s="1321"/>
    </row>
    <row r="17" spans="1:5" s="968" customFormat="1" ht="27" customHeight="1" x14ac:dyDescent="0.35">
      <c r="A17" s="1314"/>
      <c r="B17" s="1315" t="s">
        <v>321</v>
      </c>
      <c r="C17" s="1315"/>
      <c r="D17" s="1316">
        <v>50700</v>
      </c>
      <c r="E17" s="1316" t="s">
        <v>1464</v>
      </c>
    </row>
    <row r="18" spans="1:5" ht="27" customHeight="1" x14ac:dyDescent="0.35">
      <c r="A18" s="1322" t="s">
        <v>167</v>
      </c>
      <c r="B18" s="1323"/>
      <c r="C18" s="1323"/>
      <c r="D18" s="1324">
        <v>3120000</v>
      </c>
      <c r="E18" s="1324"/>
    </row>
    <row r="19" spans="1:5" ht="27" customHeight="1" x14ac:dyDescent="0.35">
      <c r="A19" s="1304" t="s">
        <v>168</v>
      </c>
      <c r="B19" s="1305"/>
      <c r="C19" s="1305"/>
      <c r="D19" s="1306">
        <v>3120000</v>
      </c>
      <c r="E19" s="1306"/>
    </row>
    <row r="20" spans="1:5" ht="27" customHeight="1" x14ac:dyDescent="0.35">
      <c r="A20" s="1307" t="s">
        <v>60</v>
      </c>
      <c r="B20" s="1308"/>
      <c r="C20" s="1308"/>
      <c r="D20" s="1309">
        <v>3120000</v>
      </c>
      <c r="E20" s="1309"/>
    </row>
    <row r="21" spans="1:5" s="968" customFormat="1" ht="27" customHeight="1" x14ac:dyDescent="0.35">
      <c r="A21" s="1310"/>
      <c r="B21" s="1311" t="s">
        <v>151</v>
      </c>
      <c r="C21" s="1312"/>
      <c r="D21" s="1313">
        <v>3120000</v>
      </c>
      <c r="E21" s="1313" t="s">
        <v>1464</v>
      </c>
    </row>
    <row r="22" spans="1:5" ht="27" customHeight="1" x14ac:dyDescent="0.35">
      <c r="A22" s="1317" t="s">
        <v>169</v>
      </c>
      <c r="B22" s="1318"/>
      <c r="C22" s="1318"/>
      <c r="D22" s="1319">
        <v>800000</v>
      </c>
      <c r="E22" s="1319"/>
    </row>
    <row r="23" spans="1:5" ht="27" customHeight="1" x14ac:dyDescent="0.35">
      <c r="A23" s="1304" t="s">
        <v>170</v>
      </c>
      <c r="B23" s="1305"/>
      <c r="C23" s="1305"/>
      <c r="D23" s="1306">
        <v>800000</v>
      </c>
      <c r="E23" s="1306"/>
    </row>
    <row r="24" spans="1:5" ht="27" customHeight="1" x14ac:dyDescent="0.35">
      <c r="A24" s="1307" t="s">
        <v>45</v>
      </c>
      <c r="B24" s="1308"/>
      <c r="C24" s="1308"/>
      <c r="D24" s="1309">
        <v>800000</v>
      </c>
      <c r="E24" s="1309"/>
    </row>
    <row r="25" spans="1:5" s="968" customFormat="1" ht="27" customHeight="1" x14ac:dyDescent="0.35">
      <c r="A25" s="1310"/>
      <c r="B25" s="1311" t="s">
        <v>326</v>
      </c>
      <c r="C25" s="1312"/>
      <c r="D25" s="1313">
        <v>800000</v>
      </c>
      <c r="E25" s="1313" t="s">
        <v>1464</v>
      </c>
    </row>
    <row r="26" spans="1:5" ht="27" customHeight="1" x14ac:dyDescent="0.35">
      <c r="A26" s="1317" t="s">
        <v>172</v>
      </c>
      <c r="B26" s="1318"/>
      <c r="C26" s="1318"/>
      <c r="D26" s="1319">
        <v>1677400</v>
      </c>
      <c r="E26" s="1319"/>
    </row>
    <row r="27" spans="1:5" ht="27" customHeight="1" x14ac:dyDescent="0.35">
      <c r="A27" s="1304" t="s">
        <v>136</v>
      </c>
      <c r="B27" s="1305"/>
      <c r="C27" s="1305"/>
      <c r="D27" s="1306">
        <v>1677400</v>
      </c>
      <c r="E27" s="1306"/>
    </row>
    <row r="28" spans="1:5" ht="27" customHeight="1" x14ac:dyDescent="0.35">
      <c r="A28" s="1307" t="s">
        <v>78</v>
      </c>
      <c r="B28" s="1308"/>
      <c r="C28" s="1308"/>
      <c r="D28" s="1309">
        <v>1677400</v>
      </c>
      <c r="E28" s="1309"/>
    </row>
    <row r="29" spans="1:5" ht="27" customHeight="1" x14ac:dyDescent="0.35">
      <c r="A29" s="1325"/>
      <c r="B29" s="1326" t="s">
        <v>79</v>
      </c>
      <c r="C29" s="1327"/>
      <c r="D29" s="1328">
        <v>87000</v>
      </c>
      <c r="E29" s="1329" t="s">
        <v>1464</v>
      </c>
    </row>
    <row r="30" spans="1:5" s="968" customFormat="1" ht="27" customHeight="1" x14ac:dyDescent="0.35">
      <c r="A30" s="1310"/>
      <c r="B30" s="1311" t="s">
        <v>117</v>
      </c>
      <c r="C30" s="1311"/>
      <c r="D30" s="1330">
        <v>87000</v>
      </c>
      <c r="E30" s="1330" t="s">
        <v>1464</v>
      </c>
    </row>
    <row r="31" spans="1:5" ht="27" customHeight="1" x14ac:dyDescent="0.35">
      <c r="A31" s="1331"/>
      <c r="B31" s="1332" t="s">
        <v>84</v>
      </c>
      <c r="C31" s="1332"/>
      <c r="D31" s="1333">
        <v>965300</v>
      </c>
      <c r="E31" s="1330" t="s">
        <v>1464</v>
      </c>
    </row>
    <row r="32" spans="1:5" s="968" customFormat="1" ht="27" customHeight="1" x14ac:dyDescent="0.35">
      <c r="A32" s="1310"/>
      <c r="B32" s="1311" t="s">
        <v>85</v>
      </c>
      <c r="C32" s="1312"/>
      <c r="D32" s="1329">
        <v>50000</v>
      </c>
      <c r="E32" s="1329" t="s">
        <v>1464</v>
      </c>
    </row>
    <row r="33" spans="1:5" s="968" customFormat="1" ht="27" customHeight="1" x14ac:dyDescent="0.35">
      <c r="A33" s="1310"/>
      <c r="B33" s="1311" t="s">
        <v>87</v>
      </c>
      <c r="C33" s="1312"/>
      <c r="D33" s="1329">
        <v>10000</v>
      </c>
      <c r="E33" s="1329" t="s">
        <v>1464</v>
      </c>
    </row>
    <row r="34" spans="1:5" s="968" customFormat="1" ht="27" customHeight="1" x14ac:dyDescent="0.35">
      <c r="A34" s="1310"/>
      <c r="B34" s="1311" t="s">
        <v>88</v>
      </c>
      <c r="C34" s="1312"/>
      <c r="D34" s="1329">
        <v>58500</v>
      </c>
      <c r="E34" s="1329" t="s">
        <v>1464</v>
      </c>
    </row>
    <row r="35" spans="1:5" s="968" customFormat="1" ht="27" customHeight="1" x14ac:dyDescent="0.35">
      <c r="A35" s="1310"/>
      <c r="B35" s="1311" t="s">
        <v>89</v>
      </c>
      <c r="C35" s="1312"/>
      <c r="D35" s="1329">
        <v>446800</v>
      </c>
      <c r="E35" s="1329" t="s">
        <v>1464</v>
      </c>
    </row>
    <row r="36" spans="1:5" s="968" customFormat="1" ht="27" customHeight="1" x14ac:dyDescent="0.35">
      <c r="A36" s="1310"/>
      <c r="B36" s="1311" t="s">
        <v>91</v>
      </c>
      <c r="C36" s="1312"/>
      <c r="D36" s="1329">
        <v>200000</v>
      </c>
      <c r="E36" s="1329" t="s">
        <v>1464</v>
      </c>
    </row>
    <row r="37" spans="1:5" s="968" customFormat="1" ht="27" customHeight="1" x14ac:dyDescent="0.35">
      <c r="A37" s="1310"/>
      <c r="B37" s="1311" t="s">
        <v>96</v>
      </c>
      <c r="C37" s="1312"/>
      <c r="D37" s="1329">
        <v>200000</v>
      </c>
      <c r="E37" s="1329" t="s">
        <v>1464</v>
      </c>
    </row>
    <row r="38" spans="1:5" ht="27" customHeight="1" x14ac:dyDescent="0.35">
      <c r="A38" s="1325"/>
      <c r="B38" s="1326" t="s">
        <v>156</v>
      </c>
      <c r="C38" s="1327"/>
      <c r="D38" s="1328">
        <v>625100</v>
      </c>
      <c r="E38" s="1329" t="s">
        <v>1464</v>
      </c>
    </row>
    <row r="39" spans="1:5" s="968" customFormat="1" ht="27" customHeight="1" x14ac:dyDescent="0.35">
      <c r="A39" s="1310"/>
      <c r="B39" s="1334" t="s">
        <v>98</v>
      </c>
      <c r="C39" s="1335"/>
      <c r="D39" s="1329">
        <v>392400</v>
      </c>
      <c r="E39" s="1329" t="s">
        <v>1464</v>
      </c>
    </row>
    <row r="40" spans="1:5" s="968" customFormat="1" ht="27" customHeight="1" x14ac:dyDescent="0.35">
      <c r="A40" s="1310"/>
      <c r="B40" s="1334" t="s">
        <v>99</v>
      </c>
      <c r="C40" s="1335"/>
      <c r="D40" s="1329">
        <v>96000</v>
      </c>
      <c r="E40" s="1329" t="s">
        <v>1464</v>
      </c>
    </row>
    <row r="41" spans="1:5" s="968" customFormat="1" ht="27" customHeight="1" x14ac:dyDescent="0.35">
      <c r="A41" s="1310"/>
      <c r="B41" s="1334" t="s">
        <v>100</v>
      </c>
      <c r="C41" s="1335"/>
      <c r="D41" s="1329">
        <v>91700</v>
      </c>
      <c r="E41" s="1329" t="s">
        <v>1464</v>
      </c>
    </row>
    <row r="42" spans="1:5" s="968" customFormat="1" ht="27" customHeight="1" x14ac:dyDescent="0.35">
      <c r="A42" s="1336"/>
      <c r="B42" s="1337" t="s">
        <v>322</v>
      </c>
      <c r="C42" s="1338"/>
      <c r="D42" s="1339">
        <v>45000</v>
      </c>
      <c r="E42" s="1339" t="s">
        <v>1464</v>
      </c>
    </row>
    <row r="43" spans="1:5" ht="27" customHeight="1" x14ac:dyDescent="0.35">
      <c r="A43" s="1340" t="s">
        <v>265</v>
      </c>
      <c r="B43" s="1341" t="s">
        <v>1046</v>
      </c>
      <c r="C43" s="1341"/>
      <c r="D43" s="1342"/>
      <c r="E43" s="1342"/>
    </row>
    <row r="44" spans="1:5" ht="23.25" x14ac:dyDescent="0.35">
      <c r="A44" s="1341"/>
      <c r="B44" s="1341"/>
      <c r="C44" s="1341"/>
      <c r="D44" s="1342"/>
      <c r="E44" s="1342"/>
    </row>
    <row r="45" spans="1:5" ht="23.25" x14ac:dyDescent="0.35">
      <c r="A45" s="1341"/>
      <c r="B45" s="1341"/>
      <c r="C45" s="1341"/>
      <c r="D45" s="1342"/>
      <c r="E45" s="1342"/>
    </row>
  </sheetData>
  <mergeCells count="6">
    <mergeCell ref="A1:E1"/>
    <mergeCell ref="A5:C5"/>
    <mergeCell ref="E3:E4"/>
    <mergeCell ref="A2:E2"/>
    <mergeCell ref="A3:C4"/>
    <mergeCell ref="D3:D4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81" fitToHeight="0" orientation="landscape" r:id="rId1"/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1.ปก</vt:lpstr>
      <vt:lpstr>2.1สารบัญ</vt:lpstr>
      <vt:lpstr>สารบัญของอีกอัน</vt:lpstr>
      <vt:lpstr>3.คั่นหน้า 1</vt:lpstr>
      <vt:lpstr>4.กราฟแยกงบ  </vt:lpstr>
      <vt:lpstr>5.กราฟภาพรวม  </vt:lpstr>
      <vt:lpstr>6.กราฟรายจ่ายลงทุน </vt:lpstr>
      <vt:lpstr>7.สรุปภาพรวม</vt:lpstr>
      <vt:lpstr>8.คั่นหน้า 2</vt:lpstr>
      <vt:lpstr>พี่จิจัดสรรงบดำเนินงาน </vt:lpstr>
      <vt:lpstr>ผลผลิต (vlookup)</vt:lpstr>
      <vt:lpstr>10.คั่นหน้า3</vt:lpstr>
      <vt:lpstr>11.สรุปรายกรม</vt:lpstr>
      <vt:lpstr>3.ยุโรป</vt:lpstr>
      <vt:lpstr>'10.คั่นหน้า3'!Print_Area</vt:lpstr>
      <vt:lpstr>'11.สรุปรายกรม'!Print_Area</vt:lpstr>
      <vt:lpstr>'3.คั่นหน้า 1'!Print_Area</vt:lpstr>
      <vt:lpstr>'3.ยุโรป'!Print_Area</vt:lpstr>
      <vt:lpstr>'4.กราฟแยกงบ  '!Print_Area</vt:lpstr>
      <vt:lpstr>'5.กราฟภาพรวม  '!Print_Area</vt:lpstr>
      <vt:lpstr>'6.กราฟรายจ่ายลงทุน '!Print_Area</vt:lpstr>
      <vt:lpstr>'7.สรุปภาพรวม'!Print_Area</vt:lpstr>
      <vt:lpstr>'8.คั่นหน้า 2'!Print_Area</vt:lpstr>
      <vt:lpstr>'ผลผลิต (vlookup)'!Print_Area</vt:lpstr>
      <vt:lpstr>'พี่จิจัดสรรงบดำเนินงาน '!Print_Area</vt:lpstr>
      <vt:lpstr>'3.ยุโรป'!Print_Titles</vt:lpstr>
      <vt:lpstr>'ผลผลิต (vlookup)'!Print_Titles</vt:lpstr>
      <vt:lpstr>'พี่จิจัดสรรงบดำเนินงาน '!Print_Titles</vt:lpstr>
    </vt:vector>
  </TitlesOfParts>
  <Company>cdg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cdg</dc:creator>
  <cp:lastModifiedBy>Windows User</cp:lastModifiedBy>
  <cp:lastPrinted>2024-04-22T04:04:06Z</cp:lastPrinted>
  <dcterms:created xsi:type="dcterms:W3CDTF">2006-01-30T10:51:51Z</dcterms:created>
  <dcterms:modified xsi:type="dcterms:W3CDTF">2024-04-29T06:44:36Z</dcterms:modified>
</cp:coreProperties>
</file>