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75" windowWidth="11715" windowHeight="2130" activeTab="0"/>
  </bookViews>
  <sheets>
    <sheet name="รายกระทรวง2563" sheetId="1" r:id="rId1"/>
    <sheet name="สาขา2563" sheetId="2" r:id="rId2"/>
    <sheet name="TICAแยกสาขา2563 (2)" sheetId="3" r:id="rId3"/>
    <sheet name="สพพ63loan+grant" sheetId="4" r:id="rId4"/>
    <sheet name="สพพ60แยกloan-grant (2)" sheetId="5" r:id="rId5"/>
    <sheet name="ดิจิทัล63" sheetId="6" r:id="rId6"/>
    <sheet name="แรงงาน63" sheetId="7" r:id="rId7"/>
    <sheet name="ศึกษา63" sheetId="8" r:id="rId8"/>
    <sheet name="การคลัง63" sheetId="9" r:id="rId9"/>
    <sheet name="นายก63" sheetId="10" r:id="rId10"/>
    <sheet name="ธปท63" sheetId="11" r:id="rId11"/>
    <sheet name="พาณิชย์63" sheetId="12" r:id="rId12"/>
    <sheet name="อุตสาหรรม63" sheetId="13" r:id="rId13"/>
    <sheet name="ยุติธรรม63" sheetId="14" r:id="rId14"/>
    <sheet name="วัฒนธรรม63" sheetId="15" r:id="rId15"/>
    <sheet name="ทรัพยากร63" sheetId="16" r:id="rId16"/>
    <sheet name="คมนาคม63" sheetId="17" r:id="rId17"/>
    <sheet name="มหาดไทย63" sheetId="18" r:id="rId18"/>
    <sheet name="พลังงาน63" sheetId="19" r:id="rId19"/>
    <sheet name="สาธารณสุข63 " sheetId="20" r:id="rId20"/>
    <sheet name="พัฒนาสังคม63" sheetId="21" r:id="rId21"/>
    <sheet name="อุดมศึกษา63" sheetId="22" r:id="rId22"/>
    <sheet name="MFAปี63" sheetId="23" r:id="rId23"/>
    <sheet name="Sheet7" sheetId="24" r:id="rId24"/>
    <sheet name="Sheet2" sheetId="25" r:id="rId25"/>
    <sheet name="Sheet14" sheetId="26" r:id="rId26"/>
    <sheet name="Sheet6" sheetId="27" r:id="rId27"/>
    <sheet name="Sheet12" sheetId="28" r:id="rId28"/>
    <sheet name="Sheet15" sheetId="29" r:id="rId29"/>
    <sheet name="Sheet1" sheetId="30" r:id="rId30"/>
    <sheet name="Sheet16" sheetId="31" r:id="rId31"/>
    <sheet name="Sheet13" sheetId="32" r:id="rId32"/>
  </sheets>
  <externalReferences>
    <externalReference r:id="rId35"/>
    <externalReference r:id="rId36"/>
  </externalReferences>
  <definedNames>
    <definedName name="country" localSheetId="2">#REF!</definedName>
    <definedName name="country" localSheetId="8">#REF!</definedName>
    <definedName name="country" localSheetId="9">#REF!</definedName>
    <definedName name="country" localSheetId="18">#REF!</definedName>
    <definedName name="country" localSheetId="20">#REF!</definedName>
    <definedName name="country" localSheetId="17">#REF!</definedName>
    <definedName name="country" localSheetId="14">#REF!</definedName>
    <definedName name="country" localSheetId="4">#REF!</definedName>
    <definedName name="country" localSheetId="3">#REF!</definedName>
    <definedName name="country" localSheetId="1">#REF!</definedName>
    <definedName name="country" localSheetId="21">#REF!</definedName>
    <definedName name="country">#REF!</definedName>
    <definedName name="_xlnm.Print_Area" localSheetId="22">'MFAปี63'!$A$6:$L$95</definedName>
    <definedName name="_xlnm.Print_Area" localSheetId="6">'แรงงาน63'!$A$1:$K$15</definedName>
    <definedName name="_xlnm.Print_Area" localSheetId="8">'การคลัง63'!$A$1:$K$13</definedName>
    <definedName name="_xlnm.Print_Area" localSheetId="16">'คมนาคม63'!$A$1:$J$16</definedName>
    <definedName name="_xlnm.Print_Area" localSheetId="5">'ดิจิทัล63'!$A$1:$J$41</definedName>
    <definedName name="_xlnm.Print_Area" localSheetId="15">'ทรัพยากร63'!$A$1:$K$39</definedName>
    <definedName name="_xlnm.Print_Area" localSheetId="10">'ธปท63'!$A$1:$J$12</definedName>
    <definedName name="_xlnm.Print_Area" localSheetId="9">'นายก63'!$A$1:$K$14</definedName>
    <definedName name="_xlnm.Print_Area" localSheetId="18">'พลังงาน63'!$A$1:$K$26</definedName>
    <definedName name="_xlnm.Print_Area" localSheetId="20">'พัฒนาสังคม63'!$A$1:$K$15</definedName>
    <definedName name="_xlnm.Print_Area" localSheetId="11">'พาณิชย์63'!$A$1:$J$18</definedName>
    <definedName name="_xlnm.Print_Area" localSheetId="17">'มหาดไทย63'!$A$1:$L$15</definedName>
    <definedName name="_xlnm.Print_Area" localSheetId="13">'ยุติธรรม63'!$A$2:$L$18</definedName>
    <definedName name="_xlnm.Print_Area" localSheetId="0">'รายกระทรวง2563'!$A$1:$F$29</definedName>
    <definedName name="_xlnm.Print_Area" localSheetId="14">'วัฒนธรรม63'!$A$1:$K$19</definedName>
    <definedName name="_xlnm.Print_Area" localSheetId="7">'ศึกษา63'!$A$1:$L$16</definedName>
    <definedName name="_xlnm.Print_Area" localSheetId="4">'สพพ60แยกloan-grant (2)'!$A$1:$K$14</definedName>
    <definedName name="_xlnm.Print_Area" localSheetId="3">'สพพ63loan+grant'!$A$1:$K$13</definedName>
    <definedName name="_xlnm.Print_Area" localSheetId="1">'สาขา2563'!$A$1:$I$74</definedName>
    <definedName name="_xlnm.Print_Area" localSheetId="19">'สาธารณสุข63 '!$A$1:$L$23</definedName>
    <definedName name="_xlnm.Print_Area" localSheetId="21">'อุดมศึกษา63'!$A$1:$L$184</definedName>
    <definedName name="_xlnm.Print_Area" localSheetId="12">'อุตสาหรรม63'!$A$1:$K$30</definedName>
    <definedName name="_xlnm.Print_Titles" localSheetId="22">'MFAปี63'!$1:$5</definedName>
    <definedName name="_xlnm.Print_Titles" localSheetId="2">'TICAแยกสาขา2563 (2)'!$1:$5</definedName>
    <definedName name="_xlnm.Print_Titles" localSheetId="5">'ดิจิทัล63'!$1:$5</definedName>
    <definedName name="_xlnm.Print_Titles" localSheetId="15">'ทรัพยากร63'!$3:$5</definedName>
    <definedName name="_xlnm.Print_Titles" localSheetId="9">'นายก63'!$3:$5</definedName>
    <definedName name="_xlnm.Print_Titles" localSheetId="18">'พลังงาน63'!$1:$5</definedName>
    <definedName name="_xlnm.Print_Titles" localSheetId="7">'ศึกษา63'!$1:$5</definedName>
    <definedName name="_xlnm.Print_Titles" localSheetId="1">'สาขา2563'!$1:$5</definedName>
    <definedName name="_xlnm.Print_Titles" localSheetId="19">'สาธารณสุข63 '!$1:$5</definedName>
    <definedName name="_xlnm.Print_Titles" localSheetId="21">'อุดมศึกษา63'!$1:$5</definedName>
  </definedNames>
  <calcPr fullCalcOnLoad="1"/>
</workbook>
</file>

<file path=xl/comments20.xml><?xml version="1.0" encoding="utf-8"?>
<comments xmlns="http://schemas.openxmlformats.org/spreadsheetml/2006/main">
  <authors>
    <author>User01</author>
  </authors>
  <commentList>
    <comment ref="G22" authorId="0">
      <text>
        <r>
          <rPr>
            <b/>
            <sz val="9"/>
            <rFont val="Tahoma"/>
            <family val="2"/>
          </rPr>
          <t>User01:Iran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DELL</author>
    <author>User01</author>
  </authors>
  <commentList>
    <comment ref="G11" authorId="0">
      <text>
        <r>
          <rPr>
            <b/>
            <sz val="9"/>
            <rFont val="Tahoma"/>
            <family val="2"/>
          </rPr>
          <t xml:space="preserve">DELL: </t>
        </r>
        <r>
          <rPr>
            <sz val="11"/>
            <rFont val="Cordia New"/>
            <family val="2"/>
          </rPr>
          <t xml:space="preserve">อินเดีย อินโดนีเซีย ศรีลังกา กานา
</t>
        </r>
      </text>
    </comment>
    <comment ref="G22" authorId="1">
      <text>
        <r>
          <rPr>
            <sz val="9"/>
            <rFont val="Tahoma"/>
            <family val="2"/>
          </rPr>
          <t xml:space="preserve">อินโดเซีย ฟิลิปปินส์
</t>
        </r>
      </text>
    </comment>
    <comment ref="G32" authorId="1">
      <text>
        <r>
          <rPr>
            <sz val="9"/>
            <rFont val="Tahoma"/>
            <family val="2"/>
          </rPr>
          <t xml:space="preserve">ภูฎาน
</t>
        </r>
      </text>
    </comment>
    <comment ref="G55" authorId="1">
      <text>
        <r>
          <rPr>
            <sz val="9"/>
            <rFont val="Tahoma"/>
            <family val="2"/>
          </rPr>
          <t xml:space="preserve">เนปาล อินโดนีเซีย ปากีสถาน บังคลาเทศ กินี อินเดีย ไนจีเรีย
</t>
        </r>
      </text>
    </comment>
    <comment ref="G56" authorId="1">
      <text>
        <r>
          <rPr>
            <b/>
            <sz val="9"/>
            <rFont val="Tahoma"/>
            <family val="2"/>
          </rPr>
          <t>User01:ซูดาน</t>
        </r>
        <r>
          <rPr>
            <sz val="9"/>
            <rFont val="Tahoma"/>
            <family val="2"/>
          </rPr>
          <t xml:space="preserve">
</t>
        </r>
      </text>
    </comment>
    <comment ref="G57" authorId="1">
      <text>
        <r>
          <rPr>
            <b/>
            <sz val="9"/>
            <rFont val="Tahoma"/>
            <family val="2"/>
          </rPr>
          <t>User01:เลโซโท เนปาล</t>
        </r>
        <r>
          <rPr>
            <sz val="9"/>
            <rFont val="Tahoma"/>
            <family val="2"/>
          </rPr>
          <t xml:space="preserve">
</t>
        </r>
      </text>
    </comment>
    <comment ref="G59" authorId="1">
      <text>
        <r>
          <rPr>
            <sz val="9"/>
            <rFont val="Tahoma"/>
            <family val="2"/>
          </rPr>
          <t xml:space="preserve">อินโดนีเซีย
</t>
        </r>
      </text>
    </comment>
    <comment ref="G60" authorId="1">
      <text>
        <r>
          <rPr>
            <b/>
            <sz val="9"/>
            <rFont val="Tahoma"/>
            <family val="2"/>
          </rPr>
          <t xml:space="preserve">อินเดีย อินโดนีเซีย ภูฏาน ปากรสถาน
</t>
        </r>
      </text>
    </comment>
    <comment ref="G62" authorId="1">
      <text>
        <r>
          <rPr>
            <sz val="9"/>
            <rFont val="Tahoma"/>
            <family val="2"/>
          </rPr>
          <t xml:space="preserve">อินโดนีเซีย
</t>
        </r>
      </text>
    </comment>
    <comment ref="G63" authorId="1">
      <text>
        <r>
          <rPr>
            <sz val="9"/>
            <rFont val="Tahoma"/>
            <family val="2"/>
          </rPr>
          <t xml:space="preserve">อินโดนีเซีย ปากีสถาน บังคลาเทศ
</t>
        </r>
      </text>
    </comment>
    <comment ref="G75" authorId="1">
      <text>
        <r>
          <rPr>
            <sz val="9"/>
            <rFont val="Tahoma"/>
            <family val="2"/>
          </rPr>
          <t xml:space="preserve">ภูฏาน อินโดนีเซีย แคมมารูน นีเรีย แกรมเบีย มาติรุส ศรีลังกา เนปาล
</t>
        </r>
      </text>
    </comment>
    <comment ref="G135" authorId="1">
      <text>
        <r>
          <rPr>
            <sz val="9"/>
            <rFont val="Tahoma"/>
            <family val="2"/>
          </rPr>
          <t xml:space="preserve">ฟิลิปปินส์ อินโดนีซีย
</t>
        </r>
      </text>
    </comment>
  </commentList>
</comments>
</file>

<file path=xl/comments23.xml><?xml version="1.0" encoding="utf-8"?>
<comments xmlns="http://schemas.openxmlformats.org/spreadsheetml/2006/main">
  <authors>
    <author>User01</author>
  </authors>
  <commentList>
    <comment ref="G8" authorId="0">
      <text>
        <r>
          <rPr>
            <sz val="9"/>
            <rFont val="Tahoma"/>
            <family val="2"/>
          </rPr>
          <t xml:space="preserve">สิงคโปร์ ฟิลิปปินสฺ มาเลเซี
</t>
        </r>
      </text>
    </comment>
    <comment ref="G35" authorId="0">
      <text>
        <r>
          <rPr>
            <sz val="9"/>
            <rFont val="Tahoma"/>
            <family val="2"/>
          </rPr>
          <t xml:space="preserve">ติมอร์
</t>
        </r>
      </text>
    </comment>
  </commentList>
</comments>
</file>

<file path=xl/comments7.xml><?xml version="1.0" encoding="utf-8"?>
<comments xmlns="http://schemas.openxmlformats.org/spreadsheetml/2006/main">
  <authors>
    <author>DELL</author>
  </authors>
  <commentList>
    <comment ref="F1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บังคลาเทศ</t>
        </r>
      </text>
    </comment>
  </commentList>
</comments>
</file>

<file path=xl/sharedStrings.xml><?xml version="1.0" encoding="utf-8"?>
<sst xmlns="http://schemas.openxmlformats.org/spreadsheetml/2006/main" count="1853" uniqueCount="718">
  <si>
    <t>ตารางความร่วมมือเพื่อการพัฒนาที่ประเทศไทยให้แก่ต่างประเทศ</t>
  </si>
  <si>
    <t>กระทรวง</t>
  </si>
  <si>
    <t>รวม</t>
  </si>
  <si>
    <t xml:space="preserve">  สำนักนายกรัฐมนตรี</t>
  </si>
  <si>
    <t>มูลค่ารวม (บาท)</t>
  </si>
  <si>
    <t>หมายเหตุ</t>
  </si>
  <si>
    <t>สาขา</t>
  </si>
  <si>
    <t>ลักษณะความร่วมมือ</t>
  </si>
  <si>
    <t>กัมพูชา</t>
  </si>
  <si>
    <t>สปป.ลาว</t>
  </si>
  <si>
    <t>เวียดนาม</t>
  </si>
  <si>
    <t xml:space="preserve"> ตามพันธกรณี</t>
  </si>
  <si>
    <t>ประเทศผู้รับ</t>
  </si>
  <si>
    <t xml:space="preserve">   มูลค่ารวม     (บาท)</t>
  </si>
  <si>
    <t xml:space="preserve">      เงินอุดหนุนองค์การระหว่างประเทศ</t>
  </si>
  <si>
    <t>เงินให้เปล่า</t>
  </si>
  <si>
    <t xml:space="preserve">     มูลค่ารวม       (บาท)</t>
  </si>
  <si>
    <t xml:space="preserve">  สำนักงานความร่วมมือพัฒนาเศรษฐกิจกับประเทศเพื่อนบ้านฯ</t>
  </si>
  <si>
    <t>ประเทศอื่นๆ</t>
  </si>
  <si>
    <t>จีน</t>
  </si>
  <si>
    <t xml:space="preserve">   กระทรวงยุติธรรม</t>
  </si>
  <si>
    <t xml:space="preserve">      สนง. ป.ป.ส.</t>
  </si>
  <si>
    <t>หมายเหตุ/กรอบความร่วมือ</t>
  </si>
  <si>
    <t xml:space="preserve">   กระทรวงพาณิชย์</t>
  </si>
  <si>
    <t xml:space="preserve">   ธนาคารแห่งประเทศไทย</t>
  </si>
  <si>
    <t>การธนาคารและบริการทางการเงิน</t>
  </si>
  <si>
    <t xml:space="preserve">   กระทรวงศึกษาธิการ</t>
  </si>
  <si>
    <t>การศึกษา</t>
  </si>
  <si>
    <t>สาธารณสุข</t>
  </si>
  <si>
    <t xml:space="preserve">   รวม</t>
  </si>
  <si>
    <t xml:space="preserve">  กระทรวงทรัพยากรธรรมชาติและสิ่งแวดล้อม</t>
  </si>
  <si>
    <t>หมายเหตุ/กรอบความร่วมมือ</t>
  </si>
  <si>
    <t xml:space="preserve"> </t>
  </si>
  <si>
    <t>รวมประเทศอื่นๆ</t>
  </si>
  <si>
    <t xml:space="preserve">  สำนักงานคณะกรรมการการอุดมศึกษา</t>
  </si>
  <si>
    <t>GMS</t>
  </si>
  <si>
    <t>หลากสาขา</t>
  </si>
  <si>
    <t xml:space="preserve">                                                                                                   </t>
  </si>
  <si>
    <t>วิทยาศาสตร์และเทคโนโลยี</t>
  </si>
  <si>
    <t>ฝึกอบรม</t>
  </si>
  <si>
    <t xml:space="preserve">   กระทรวงการต่างประเทศ</t>
  </si>
  <si>
    <t>Ministries</t>
  </si>
  <si>
    <t>Grant/Technical Cooperation</t>
  </si>
  <si>
    <t>Contributions to International Org.</t>
  </si>
  <si>
    <t>Loans</t>
  </si>
  <si>
    <t>Total (Thai Baht)</t>
  </si>
  <si>
    <t>Ministry of Transport</t>
  </si>
  <si>
    <t>Ministry of Education</t>
  </si>
  <si>
    <t>Ministry of Industry</t>
  </si>
  <si>
    <t>Ministry of Energy</t>
  </si>
  <si>
    <t>Ministry of Natural Resources and Environment</t>
  </si>
  <si>
    <t>Ministry of Justice</t>
  </si>
  <si>
    <t>Bank of Thailand</t>
  </si>
  <si>
    <t>Ministry of Commerce</t>
  </si>
  <si>
    <t>Office of the Prime Minister</t>
  </si>
  <si>
    <t>Ministry of Labour</t>
  </si>
  <si>
    <t>Ministry of Foreign Affairs (excl. TICA)</t>
  </si>
  <si>
    <t>Ministry of Public Health</t>
  </si>
  <si>
    <t>Ministry of Interior</t>
  </si>
  <si>
    <t>Ministry of Culture</t>
  </si>
  <si>
    <t>เงินบำรุง/เงินบริจาค องค์การระหว่างประเทศ</t>
  </si>
  <si>
    <t>Ministry of Finance</t>
  </si>
  <si>
    <t xml:space="preserve">Total </t>
  </si>
  <si>
    <t xml:space="preserve">Thailand Official Development Assistance </t>
  </si>
  <si>
    <t>Ministry/ Sector</t>
  </si>
  <si>
    <t>Recipient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</si>
  <si>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</si>
  <si>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</si>
  <si>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</si>
  <si>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</si>
  <si>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</si>
  <si>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</si>
  <si>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</si>
  <si>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- Education</t>
  </si>
  <si>
    <t>- Agriculture</t>
  </si>
  <si>
    <t>Ministry of Natural Resources &amp; Environment</t>
  </si>
  <si>
    <t>- Banking and Financial Services</t>
  </si>
  <si>
    <t xml:space="preserve">  TICA*</t>
  </si>
  <si>
    <t xml:space="preserve">- Multisector/Cross-Cutting </t>
  </si>
  <si>
    <t>contributions to International Org.</t>
  </si>
  <si>
    <t>Total</t>
  </si>
  <si>
    <t xml:space="preserve">   กระทรวงแรงงาน</t>
  </si>
  <si>
    <t>ตามพันธกรณี</t>
  </si>
  <si>
    <t>- Public Health</t>
  </si>
  <si>
    <t>รวมทั้งสิ้น</t>
  </si>
  <si>
    <t>ยาเสพติด</t>
  </si>
  <si>
    <t>เงินบำรุง/เงินบริจาคองค์การระหว่างประเทศ</t>
  </si>
  <si>
    <t xml:space="preserve">   กระทรวงสาธารณสุข</t>
  </si>
  <si>
    <t xml:space="preserve"> ตามความสมัครใจ</t>
  </si>
  <si>
    <t xml:space="preserve">- ความร่วมมือทางวิชาการ </t>
  </si>
  <si>
    <t>- เงินบำรุง/เงินบริจาค องค์การระหว่างประเทศ</t>
  </si>
  <si>
    <t>ทุนศึกษา ฝึกอบรม ผชช. โครงการ วัสดุอุปกรณ์ อื่นๆ</t>
  </si>
  <si>
    <r>
      <t>-</t>
    </r>
    <r>
      <rPr>
        <sz val="14"/>
        <rFont val="Cordia New"/>
        <family val="2"/>
      </rPr>
      <t xml:space="preserve"> Multisector/Cross-Cutting</t>
    </r>
  </si>
  <si>
    <t xml:space="preserve">เมียนมาร์ </t>
  </si>
  <si>
    <t>ทุนศึกษา 6 ทุน</t>
  </si>
  <si>
    <t xml:space="preserve">   มูลค่ารวม    (บาท)</t>
  </si>
  <si>
    <t xml:space="preserve">   กระทรวงคมนาคม</t>
  </si>
  <si>
    <t>- Water Supply and Sanitation</t>
  </si>
  <si>
    <t xml:space="preserve">    มหาวิทยาลัยเกษตรศาสตร์</t>
  </si>
  <si>
    <t>- Justice</t>
  </si>
  <si>
    <t xml:space="preserve">       สนง. นโยบายและแผนทรัพยากรธรรมชาติและสิ่งแวดล้อม</t>
  </si>
  <si>
    <t xml:space="preserve"> สิ่งแวดล้อมทางชีวภาพ</t>
  </si>
  <si>
    <t>พัฒนามนุษย์</t>
  </si>
  <si>
    <t xml:space="preserve">       -  องค์การอนามัยโลก (World Health Organization : WHO)</t>
  </si>
  <si>
    <t xml:space="preserve">       -   กองทุนโครงการวิจัยด้านการวางแผนครอบครัวขององค์การอนามัยโลก  (UNDP/UNFPA/WHO/HRP)</t>
  </si>
  <si>
    <t xml:space="preserve">       -   สมาพันธ์วางแผนครอบครัวระหว่างประเทศ (International Planned Perenthood Federation : (IPPF)</t>
  </si>
  <si>
    <t xml:space="preserve">       -  โครงการโรคเอดส์แห่งสหประชาชาติ (Joint United Nations Programme on HIV/AIDS : UNAIDS)</t>
  </si>
  <si>
    <t xml:space="preserve">ฝึกอบรม </t>
  </si>
  <si>
    <r>
      <t>Exim Bank  ได้รับคืนเงินกู้ (โครงการให้กู้เงินในการซื้อเครื่องจักรและพัฒนาประเทศแก่รัฐบาลเมียนมาร์ ปี 2547 จำนวน 4,000 ล้านบาท ยอดเบิกถอน 3,946 ล้านบาท) รวมยอดเงินต้นที่รับคืนตั้งแต่ปี 2553-2556 เป็นเงินทั้งสิ้น</t>
    </r>
    <r>
      <rPr>
        <sz val="16"/>
        <color indexed="10"/>
        <rFont val="Cordia New"/>
        <family val="2"/>
      </rPr>
      <t xml:space="preserve"> 2,254.94</t>
    </r>
    <r>
      <rPr>
        <sz val="16"/>
        <color indexed="12"/>
        <rFont val="Cordia New"/>
        <family val="2"/>
      </rPr>
      <t xml:space="preserve"> ล้าน</t>
    </r>
    <r>
      <rPr>
        <sz val="16"/>
        <rFont val="Cordia New"/>
        <family val="2"/>
      </rPr>
      <t>บาท ยอดคงเหลือ 1,691 ล้านบาท</t>
    </r>
  </si>
  <si>
    <t xml:space="preserve">       -   กองทุนระหว่างประเทศสำหรับเด็กแห่งสหประชาชาติ (United Nations Children's Fund : UNICEF)</t>
  </si>
  <si>
    <t xml:space="preserve">       -   กองทุนประชากรแห่งสหประชาชาติ (United Nations Population Fund : UNFPA)</t>
  </si>
  <si>
    <t>- Social /Welfare Services</t>
  </si>
  <si>
    <t xml:space="preserve">   - TICA</t>
  </si>
  <si>
    <t>ค่าสมาชิก</t>
  </si>
  <si>
    <t xml:space="preserve"> training</t>
  </si>
  <si>
    <t xml:space="preserve"> training, study visit, experts </t>
  </si>
  <si>
    <t xml:space="preserve"> concessionary loan </t>
  </si>
  <si>
    <t xml:space="preserve"> training, study visit </t>
  </si>
  <si>
    <t xml:space="preserve"> fellowship,research, training</t>
  </si>
  <si>
    <t xml:space="preserve"> training, study visit, research</t>
  </si>
  <si>
    <t xml:space="preserve">     กรมทางหลวง</t>
  </si>
  <si>
    <t xml:space="preserve"> โครงการ</t>
  </si>
  <si>
    <t xml:space="preserve">     สนง.คณะกรรมการอาชีวศึกษา</t>
  </si>
  <si>
    <t xml:space="preserve">  มูลค่ารวม  (บาท)</t>
  </si>
  <si>
    <r>
      <rPr>
        <sz val="14"/>
        <rFont val="Cordia New"/>
        <family val="2"/>
      </rPr>
      <t>Natural Resources &amp; Environment</t>
    </r>
  </si>
  <si>
    <t>เงินกู้/เงินให้เปล่า</t>
  </si>
  <si>
    <t xml:space="preserve"> fellowship, training, studu visit</t>
  </si>
  <si>
    <r>
      <t xml:space="preserve">- </t>
    </r>
    <r>
      <rPr>
        <sz val="14"/>
        <rFont val="Cordia New"/>
        <family val="2"/>
      </rPr>
      <t xml:space="preserve"> Multisector/Cross-Cutting</t>
    </r>
  </si>
  <si>
    <t xml:space="preserve">        -  เงินอุดหนุนหน่วยสันติภาพสหรัฐ (Peace Corps)</t>
  </si>
  <si>
    <t>กรมความร่วมมือระหว่างประเทศ</t>
  </si>
  <si>
    <t xml:space="preserve">        -  เงินค่าบำรุงรายปีองค์การแรงงานระหว่างประเทศ (ILO)</t>
  </si>
  <si>
    <t xml:space="preserve">      สำนักนโยบายและแผนฯ</t>
  </si>
  <si>
    <t>มนุษยธรรม</t>
  </si>
  <si>
    <t>ตามสมัครใจ</t>
  </si>
  <si>
    <t xml:space="preserve">       กรมป่าไม้</t>
  </si>
  <si>
    <t xml:space="preserve">       กรมทรัพยากรทางทะเลและชายฝั่ง</t>
  </si>
  <si>
    <t xml:space="preserve">    -  UNEP/COBSEA Coodinating Body on the Seas of East Asia (COBSEA)</t>
  </si>
  <si>
    <t xml:space="preserve">    -  UNEP/IOSEA Marine TurTle MoU</t>
  </si>
  <si>
    <t xml:space="preserve">    -  คณะอนุกรรมการสมุทรศาสตร์ระหว่างรัฐบาลประจำภูมิภาคแปซิฟิกตะวันออก (Intergoverment al Oceangraphic Commmisson: IOC) IOC/WESTPAC</t>
  </si>
  <si>
    <t>อุตสาหกรรม/เกษตร</t>
  </si>
  <si>
    <t xml:space="preserve">   กระทรวงการคลัง</t>
  </si>
  <si>
    <t xml:space="preserve">     สำนักงานเศรษฐกิจการคลัง</t>
  </si>
  <si>
    <t>การบริจาคเงิน</t>
  </si>
  <si>
    <t>ตามความสมัครใจ</t>
  </si>
  <si>
    <t xml:space="preserve">       -  กองทุนโลกเพื่อการต่อสู้โรคเอดส์ วัณโรค และมาลาเรีย</t>
  </si>
  <si>
    <t xml:space="preserve">       - โครงการ  Asia Pacific Observatory on Systems and Policies</t>
  </si>
  <si>
    <t xml:space="preserve">       -   โครงการพิเศษขององค์การอนามัยโลกในด้านการวิจัยและฝึกอบรมเกี่ยวกับโรคเมืองร้อน (WHO Special Programme for Research and Training in Tropical Disease : TDR)</t>
  </si>
  <si>
    <t>การเกษตร</t>
  </si>
  <si>
    <t>วัฒนธรรม</t>
  </si>
  <si>
    <t xml:space="preserve">      - สนับสนุนกองทุนโครงการควบคุมยาเสพติดระหว่างประเทศ แห่งสหประชาชาติ   สำนักงานยาเสพติดและอาชญากรรมแห่งสหประชาชาติ (UNODC) </t>
  </si>
  <si>
    <t xml:space="preserve"> training, meeting</t>
  </si>
  <si>
    <t xml:space="preserve">-  Multisector/Cross-Cutting </t>
  </si>
  <si>
    <t>- Humanitarian Aid</t>
  </si>
  <si>
    <t>เมียนมา</t>
  </si>
  <si>
    <t xml:space="preserve">        -  เงินอุดหนุนแผนโคลัมโบ (Colombo Plan)</t>
  </si>
  <si>
    <t xml:space="preserve">        -  เงินอุดหนุน International Atomic Agency (IAEA)</t>
  </si>
  <si>
    <t xml:space="preserve">        -  เงินอุดหนุนโครงการอาสาสมัคร United Nations Volunteers (UNV)</t>
  </si>
  <si>
    <t>project</t>
  </si>
  <si>
    <t>เงินกู้</t>
  </si>
  <si>
    <t>เงินให้เปล่า / ความร่วมมือทางวิชาการ</t>
  </si>
  <si>
    <t>สปป. ลาว</t>
  </si>
  <si>
    <t xml:space="preserve">     สนง.ปลัดกระทรวง</t>
  </si>
  <si>
    <t xml:space="preserve">   กระทรวงวัฒนธรรม</t>
  </si>
  <si>
    <t>หน่วยงาน</t>
  </si>
  <si>
    <t>กระทรวงอุตสาหกรรม</t>
  </si>
  <si>
    <t>ด้านการค้าและการพัฒนา   สถาบันฯ  การค้าและการพัฒนา</t>
  </si>
  <si>
    <t xml:space="preserve">เมียนมา </t>
  </si>
  <si>
    <t>ฝึกอบรม 5 คน</t>
  </si>
  <si>
    <t>ฝึกอบรม 3 คน</t>
  </si>
  <si>
    <t xml:space="preserve">     สนง.กศน.</t>
  </si>
  <si>
    <t xml:space="preserve">     -  การบริจาคเงินในการเพิ่มทุนของสมาคมพัฒนาการระหว่างประเทศ (International Development Association : IDA)  ภายใต้ (International Bank for Reconstruction and Development : IBRD)</t>
  </si>
  <si>
    <t>- Banking &amp; Finacial Services</t>
  </si>
  <si>
    <t xml:space="preserve"> contributions to International Org.</t>
  </si>
  <si>
    <t xml:space="preserve"> project, training, meeting</t>
  </si>
  <si>
    <t xml:space="preserve"> training, study visit, fellowship, project, experts,Equipment,orthers</t>
  </si>
  <si>
    <t>- Transport and Storage</t>
  </si>
  <si>
    <t>Transport and Storage</t>
  </si>
  <si>
    <t xml:space="preserve">  training/meeting</t>
  </si>
  <si>
    <t xml:space="preserve">    - เงินอุดหนุนอนุสัญญาว่าด้วยพื้นที่ชุ่มน้ำ (Ramsar)</t>
  </si>
  <si>
    <t>grant</t>
  </si>
  <si>
    <t xml:space="preserve">     กรมทรัพย์สินทางปัญญา</t>
  </si>
  <si>
    <t xml:space="preserve">    - ค่าสมาชิกองค์การทรัพย์สินทางปัญญาโลก (WIPO)</t>
  </si>
  <si>
    <t xml:space="preserve">      กรมเศรษฐกิจระหว่างประเทศ</t>
  </si>
  <si>
    <t xml:space="preserve">        -  ค่าบำรุงรักษาและปรับปรุง Website ของสมาคมการประกันสังคมอาเซียน (ASEAN Social Security Association (ASSA))</t>
  </si>
  <si>
    <t xml:space="preserve">        -  เงินสมทบประจำปีของสมาชิกสามัญของสมาคมการประกันสังคมระหว่างประทศ (ISSA)</t>
  </si>
  <si>
    <t xml:space="preserve">        สนง. ปลัดกระทรวงแรงงาน</t>
  </si>
  <si>
    <t xml:space="preserve">        -  ค่าสมาชิกองค์กรระหว่างประเทศ (สมาคมการศึกษาพื้นฐานและการศึกษาผู้ใหญ่แห่งภาคพื้นเอเซียและแปซิกใต้)</t>
  </si>
  <si>
    <t xml:space="preserve">        -  ค่าสมาชิกองค์กรระหว่างประเทศ (สภาการศึกษาผู้ใหญ่ระหว่างประเทศ)</t>
  </si>
  <si>
    <t>ทุนศึกษา/ฝึกอบรม</t>
  </si>
  <si>
    <t>เงินสนับสนุนกองทุน</t>
  </si>
  <si>
    <t>ป่าไม้</t>
  </si>
  <si>
    <t>บริหารจัดการน้ำ</t>
  </si>
  <si>
    <t>ธรณีวิทยาและทรัพยากรธรณี</t>
  </si>
  <si>
    <t xml:space="preserve">    - เงินบริจาค องค์การแผนที่ธรณีวิทยาโลก (CGMR)</t>
  </si>
  <si>
    <t xml:space="preserve">      สนง.ปลัดกระทรวงทรัพยากรธรรมชาติและสิ่งแวดล้อม</t>
  </si>
  <si>
    <t xml:space="preserve">    - เงินอุดหนนุกองทุนสิ่งแวดล้อมของโครงการสิ่งแวดล้อมแห่งสหประชาชาติ (UNEP)</t>
  </si>
  <si>
    <t xml:space="preserve">   กระทรวงพลังงาน</t>
  </si>
  <si>
    <t xml:space="preserve">     กรมพัฒนาพลังงานทดแทนและอนุรักษ์พลังงาน</t>
  </si>
  <si>
    <t xml:space="preserve">     -  Contribution to Consell International des Grands Reseaux Electriques : CIGRE</t>
  </si>
  <si>
    <t>ตามพันธกิจ</t>
  </si>
  <si>
    <t xml:space="preserve">     การไฟฟ้าฝ่ายผลิตแห่งประเทศ</t>
  </si>
  <si>
    <t>พลังงาน</t>
  </si>
  <si>
    <t xml:space="preserve">     สนง.ปลัดกระทรวงฯ</t>
  </si>
  <si>
    <t xml:space="preserve">   กระทรวงมหาดไทย</t>
  </si>
  <si>
    <t xml:space="preserve">     กรมโยธาธิการ</t>
  </si>
  <si>
    <t xml:space="preserve">     -  ศูนย์ลดภัยพิบัติแห่งเอเซีย หรือ ADPC ประเทศญี่ปุ่น</t>
  </si>
  <si>
    <t>พันธกิจ</t>
  </si>
  <si>
    <t>การจัดการภัยพิบัติ</t>
  </si>
  <si>
    <t xml:space="preserve">      กรมราชภัณฑ์</t>
  </si>
  <si>
    <t xml:space="preserve">    -  เงินสมทบทุนกองทุนอนุกรรมการการจัดประชุมผู้บริหารงานราชภัณฑ์ ภาคพื้นเอเซียและแปซิฟิก ประจำปี 2560                                                                 </t>
  </si>
  <si>
    <t xml:space="preserve">       กรมประชาสัมพันธ์</t>
  </si>
  <si>
    <t xml:space="preserve">    - ค่าสมาชิกสหภาพการวิทยุและโทรทัศน์แห่งเอเซียแปซิฟิก (Asia-Pacicfic Broadcasting Union : ABU)</t>
  </si>
  <si>
    <t xml:space="preserve">    - ค่าสมาชิกสถาบันพัฒนากิจการวิทยุ-โทรทัศน์แห่งเอเซียแปซิฟิก (Asia-Pacific institute for Broadcasting Development :AIBD)</t>
  </si>
  <si>
    <t xml:space="preserve">    - ค่าสมาชิกสมาชิกอนุรักษ์สื่อโสตทัศน์แห่งภาคพื้นเอเซียตะวันออกเฉียงใต้และแปซิฟิก (South East Asia-Pacicfic Audio Visual Archive Association: SEAPAVAA)</t>
  </si>
  <si>
    <t xml:space="preserve">    - ค่าสมาชิกสมาคมจดหมายเหตุเสียงและโสตทัศน์ระหว่างชาติ (International Association of Sound and Audiovisual Archives:IASA)</t>
  </si>
  <si>
    <t>Ministry of Digital Economy and Society</t>
  </si>
  <si>
    <t xml:space="preserve">   กระทรวงดิจิทัลเพื่อเศรษฐกิจและสังคม</t>
  </si>
  <si>
    <t>ฝึกอบรม/ดูงาน</t>
  </si>
  <si>
    <t>ทุนศึกษา 28 ทุน</t>
  </si>
  <si>
    <t>ทุนการศึกษา 1 ทุน</t>
  </si>
  <si>
    <t>ทุนการศึกษา 4 ทุน</t>
  </si>
  <si>
    <t>ทุนศึกษา 8 ทุน</t>
  </si>
  <si>
    <t>- Energy Generation and Supply</t>
  </si>
  <si>
    <t xml:space="preserve">       กรมทรัพยากรธรณี</t>
  </si>
  <si>
    <t xml:space="preserve">     -  การบริจาคเงินในการเพิ่มทุนของกองทุนพัฒนาเอเซีย (Asian Development Fund : ADF) </t>
  </si>
  <si>
    <t>ฝึกอบรม 40 คน</t>
  </si>
  <si>
    <t xml:space="preserve">       กรมทรัพยากรน้ำบาดาล</t>
  </si>
  <si>
    <t xml:space="preserve">    -  เงินอุดหนุนการดำเนินการของความตกลงระหว่างอาเซียนและสาธารณรัฐเกาหลีว่าด้วยความร่วมมือด้านป่าไม้ (ASEAN-Korea Forest Cooperation - AFoCo)</t>
  </si>
  <si>
    <t xml:space="preserve">    -  เงินอุดหนุนสำหรับค่าบำรุงสมาชิกองค์การไม้เขตร้อนระหว่างประเทศ (International Tropical Timber Organization - ITTO)  </t>
  </si>
  <si>
    <t xml:space="preserve">    -  ค่าบำรุงสมาชิกองค์การความร่วมมือด้านไม้ไผ่และหวายระหว่างประเทศ      (INBAR : International Network for Bamboo and Rattan)</t>
  </si>
  <si>
    <t xml:space="preserve">    - เงินอุดหนุนกองทุนอนุสัญญาสหประชาชาติว่าด้วยการเปลี่ยนแปลงสภาพภูมิอากาศ (UNFCCC) และพิธีสารเกียวโต (KP)</t>
  </si>
  <si>
    <t xml:space="preserve">     -  สมาคมพัฒนาเมืองระหว่างประเทศ (International Urban Development  Association - INTA)</t>
  </si>
  <si>
    <t>Bankimg</t>
  </si>
  <si>
    <t>Grant</t>
  </si>
  <si>
    <t>Value (Baht)</t>
  </si>
  <si>
    <t xml:space="preserve">       -  คณะกรรมการกาชาดระหว่างประเทศ ( International Committee 
of the Red Cross : ICRC)</t>
  </si>
  <si>
    <r>
      <t xml:space="preserve">     -     ค่าสมาชิกองค์การมหกรรมวัฒนธรรมพื้นบ้านนานาชาติ (CIOFF)</t>
    </r>
    <r>
      <rPr>
        <vertAlign val="superscript"/>
        <sz val="14"/>
        <rFont val="Cordia New"/>
        <family val="2"/>
      </rPr>
      <t>R</t>
    </r>
  </si>
  <si>
    <t xml:space="preserve">     -  ศูนย์ประสานงานอาเซียนในการให้ความช่วยเหลือด้านมนุษยธรรม (AHA Centre)</t>
  </si>
  <si>
    <t xml:space="preserve">        -  เงินอุดหนุน United Nations  Development Programme (UNDP)</t>
  </si>
  <si>
    <t>%</t>
  </si>
  <si>
    <t>Neighbouring Countries Economic Development 
Cooperation Agency (Public Organization)</t>
  </si>
  <si>
    <t>มกราคม - ธันวาคม 2563</t>
  </si>
  <si>
    <t xml:space="preserve"> January - December 2020</t>
  </si>
  <si>
    <t>มกราคม - ธันวาคม  2563</t>
  </si>
  <si>
    <t xml:space="preserve">      กรมอเมริกาและแปซิฟิกใต้</t>
  </si>
  <si>
    <t xml:space="preserve">     -  Thailand's health and medical cooperation with Latin American and the Caribbean countries</t>
  </si>
  <si>
    <t xml:space="preserve"> - ค่าบำรุงสมาชิกวิทยลัยช่างเทคนิคแผนโคลัมโบ</t>
  </si>
  <si>
    <t xml:space="preserve">     -    ค่าสมาชิกสภาการจดหมkยเหตุสากลประจำภาคพื้นเอเซียตะวันออกเฉียงใต้ (southeast Asia Regional Branch International Council on Archives : SARBICA)</t>
  </si>
  <si>
    <t xml:space="preserve">     -     ค่าสมาชิกสภาการจดหมายเหตุระหว่างประเทศ (Interational Council on Archives : ICA)</t>
  </si>
  <si>
    <t xml:space="preserve">     -     ค่าสมาชิกสมาคมอรักษ์โสตทัศนัปกรณ์แห่งภาคพื้นเอเซียตะวันออกเผแยงใต้และแปซิฟิก (Southeast  Asia - Pacific Audiovisual Archives Association : SEAPAVAA)</t>
  </si>
  <si>
    <t xml:space="preserve">     กรมเจรจาการค้าระหว่างประเทศ</t>
  </si>
  <si>
    <t xml:space="preserve">    - ค่าสมาชิกองค์การองค์การการค้าโลก</t>
  </si>
  <si>
    <t xml:space="preserve">     กรมการค้าต่างประเทศ</t>
  </si>
  <si>
    <t xml:space="preserve">    - ค่าสมาชิกองค์การกาแฟระหว่างประเทศ (International Coffee Organization</t>
  </si>
  <si>
    <t xml:space="preserve">        -  เงินอุดหนุนค่าบำรุงรายปีกรอบความร่วมมือ (Colombo Process)</t>
  </si>
  <si>
    <t xml:space="preserve">    สำนักงานประกันสังคม</t>
  </si>
  <si>
    <t xml:space="preserve">     กรมพัฒนาฝีมือแรงงาน</t>
  </si>
  <si>
    <t>GMS, IMT-GT</t>
  </si>
  <si>
    <t xml:space="preserve">      - CLMVT Bankers' Leadership Program  Webinar 2020</t>
  </si>
  <si>
    <t xml:space="preserve"> ฝึกอบรม 100 คน </t>
  </si>
  <si>
    <t xml:space="preserve">      -  Scholarship Students (NBC)</t>
  </si>
  <si>
    <t xml:space="preserve">      -  Scholarship Students (BOL)</t>
  </si>
  <si>
    <t>ฝึกอบรม 75 คน</t>
  </si>
  <si>
    <t>-   โครงการก่อสร้างทางรถไฟไทย - ลาว ระยะที่ 2 (ท่านาแล้ง-เวียงจันทน์) (ส่วนที่ 2 )</t>
  </si>
  <si>
    <t xml:space="preserve"> ACMECS,GMS</t>
  </si>
  <si>
    <t>-   งานศึกษาความเป็นไปได้และออกแบบรายละเอียดโครงการปรับปรุงถนนหมายเลข 67 (NR67)</t>
  </si>
  <si>
    <t xml:space="preserve"> -   โครงการก่อสร้างถนนจากเมืองหงสา-บ้านเชียงแมน (เมืองจอมเพชร 
แขวงหลวงพระบาง) (เมืองแบ่ง เมืองคอบ เมืองห้วยทราย เมืองไชยบุรี
และเมืองโขง (เงินให้เปล่ามูลค่า 395.4 ล้านบาท  และเงินให้กู้ 
1,581.6  ล้านบาท)</t>
  </si>
  <si>
    <t>ASEAN/AEC</t>
  </si>
  <si>
    <t>การอำนวยความสะดวกด้านการค้า</t>
  </si>
  <si>
    <t>-   โครงการพัฒนาและปรับปรุงระบบสารสนเทศของสปป.ลาว เพื่อเชื่อมโยงกับระบบศุลกากรอิเล็กทรอนิกส์ ณ จุดเดียวของอาเซียน (ASEAN Single Window : ระบบ  ASW) (งบประมาณ 18.35 ล้านบาทเริ่ม 22 ธ.ค. 2563)</t>
  </si>
  <si>
    <t>N//A</t>
  </si>
  <si>
    <t xml:space="preserve">     สนง.ศิลปวัฒนธรรมร่วมสมัย</t>
  </si>
  <si>
    <t xml:space="preserve">     -    โครงการพัฒนาศักยภาพศิลปินรุ่นใหม่</t>
  </si>
  <si>
    <t>Workshop</t>
  </si>
  <si>
    <t xml:space="preserve">     กรมศิลปากร</t>
  </si>
  <si>
    <t xml:space="preserve">     -     Contribution to the Fund for the Safeguarding of the Intangible Cultural Heritage  (UNESCO)</t>
  </si>
  <si>
    <t xml:space="preserve">      กรมเอเซียตะวันออก</t>
  </si>
  <si>
    <t xml:space="preserve">       - การประชุมภาคีสมาชิกใหญ่กรอบอนุสัญญาว่าด้วยการควบคุมยาสูบ</t>
  </si>
  <si>
    <r>
      <t xml:space="preserve">       </t>
    </r>
    <r>
      <rPr>
        <b/>
        <sz val="14"/>
        <rFont val="Cordia New"/>
        <family val="2"/>
      </rPr>
      <t xml:space="preserve">  สถาบันพระบรมราชชนก</t>
    </r>
  </si>
  <si>
    <t xml:space="preserve">       - โครงการพระราชทานความช่วยเหลือแก่ราชณาจักรกัมพูชาตามพระราชดำริ สมเด็จพระกนิษฐาธิราชเจ้า กรมสมเด็จพระเทพรัตนราชสุดาฯ สยามบรมราชกุมารี</t>
  </si>
  <si>
    <r>
      <t xml:space="preserve">       </t>
    </r>
    <r>
      <rPr>
        <b/>
        <sz val="14"/>
        <rFont val="Cordia New"/>
        <family val="2"/>
      </rPr>
      <t xml:space="preserve">  กรมวิทยาศาสตร์การแพทย์</t>
    </r>
  </si>
  <si>
    <t xml:space="preserve">       - ความช่วยเหลือเพื่อบรรเทาสถานการณ์ COVID -  19</t>
  </si>
  <si>
    <t>ตรวจวินิจฉัย</t>
  </si>
  <si>
    <t xml:space="preserve">     สนง.ปลัดกระทรวงพลังงาน</t>
  </si>
  <si>
    <t xml:space="preserve">     -  ค่าบำรุงองค์การพลังงานโลก (world Energy Council)</t>
  </si>
  <si>
    <t xml:space="preserve">     -  ค่าบำรุงองค์การพลังงานหมุนเวียนระหว่างประเทศ (International Renewable Energy Agency : IRENA)</t>
  </si>
  <si>
    <t xml:space="preserve">      -  สนับสนุนช่วยเหลือการโยกย้ายถิ่นฐานอย่างเป็นระบบ (องค์การระหว่างประเทศเพื่อการโยกย้ายถิ่นฐาน : International organization for Migration : IMO)</t>
  </si>
  <si>
    <t xml:space="preserve">     กรมป้องกันและบรรเทาสาธารณภัย</t>
  </si>
  <si>
    <t xml:space="preserve">     -  โครงการการฝึกซ้อมแผนเผชิญเหตุระดับภูมิภาคเอเซีย - แปซิฟิก </t>
  </si>
  <si>
    <t xml:space="preserve">    -  ค่าสมาชิกสมาคมราชทัณฑ์แห่งสหรัฐอเมริกา</t>
  </si>
  <si>
    <t xml:space="preserve">    -  กองทุน  "แผนปฏิบัติการว่าด้วยความร่วมมือด้านยาเสพติดระหว่างอาเซียนและจีน"   สำนักเลขาธิการอาเซียน                                                     </t>
  </si>
  <si>
    <t xml:space="preserve"> -  โครงการเสริมสร้างและยกระดับความร่วมมือกับประเทศเพื่อนบ้าน ในการยุติแหล่งผลิตยาเสพติดและทำลายเครือข่ายการค้ายาเสพติดระหว่างประเทศ ปี 2563</t>
  </si>
  <si>
    <t>Letter of Agreement-LOA</t>
  </si>
  <si>
    <t xml:space="preserve">   กระทรวงการพัฒนาสังคมและความมั่นคงของมนุษย์</t>
  </si>
  <si>
    <t xml:space="preserve">     กรมส่งเสริมและพัฒนาคุณภาพชีวิตคนพิการ</t>
  </si>
  <si>
    <t xml:space="preserve">     -     มูลนิธิศูนย์พัฒนาและฝึกอบรมแห่งเอเซียและแปซิฟิก  (Asia-Pacific Development Center on Disability : APCD)</t>
  </si>
  <si>
    <t xml:space="preserve">     กรมกิจการสตรีและสถาบันครอบครัว</t>
  </si>
  <si>
    <t xml:space="preserve">     -     เงินอุดหนุนสำหรับค่าสมาชิกและสมทบองค์กรระหว่างประเทศ กองทุนสหประชาชาติเพื่อการพัฒนาสตรี (UN Women)</t>
  </si>
  <si>
    <t>Ministry of Social Development and Human Security</t>
  </si>
  <si>
    <t>ทวิภาคี ไทย - ลาว</t>
  </si>
  <si>
    <t xml:space="preserve">     -  โครงการก่อสร้างสะพานมิตรภาพไทย - ลาว  แห่งที่ 52 
(บึงกาฬ-บอลิค่าไซ) ฝั่งไทย</t>
  </si>
  <si>
    <t xml:space="preserve">     กรมเจ้าท่า</t>
  </si>
  <si>
    <t xml:space="preserve"> -  ค่าบำรุงสมาชิกองค์การทางทะเลระหว่างประเทศ (IMO)</t>
  </si>
  <si>
    <t xml:space="preserve"> -  ค่าบำรุงสมาชิกนำร่องสากล (IMPA)</t>
  </si>
  <si>
    <t xml:space="preserve"> -  ค่าบำรุงสมาชิกบันทึกความเข้าใจโตเกียวว่าด้วยการตรวจควบคุมเรือในเมืองท่า (Tokyo MOU)</t>
  </si>
  <si>
    <t xml:space="preserve">     - ทุนการศึกษา MERIT/HVD Scholarship (High Vocational Diploma) รุ่น 5,6,7,8</t>
  </si>
  <si>
    <t>ทุนการศึกษา</t>
  </si>
  <si>
    <t xml:space="preserve">     บริษัท ปตท. จำกัก มหาชน</t>
  </si>
  <si>
    <t xml:space="preserve">     - ค่าธรรมเนียมสมาชิก ASEAN </t>
  </si>
  <si>
    <t>ตารพันธกรณี</t>
  </si>
  <si>
    <t>ความสมัครใจ</t>
  </si>
  <si>
    <t xml:space="preserve">     - ค่าธรรมเนียมสมาชิก International Gas Union (IGU)</t>
  </si>
  <si>
    <t xml:space="preserve">     - ค่าธรรมเนียมสมาชิก  ASEAN Council Petroleum</t>
  </si>
  <si>
    <t xml:space="preserve">     - ค่าธรรมเนียมรายปีสำหรับการดำเนินงานของ HAPUA Secretary-in-Charge </t>
  </si>
  <si>
    <t xml:space="preserve">     -  เงินสนับสนุนทบวงการพลังงานระหว่างประเทศ (Onternational Energy Agency : IEA) ในการศึกษา ASEAN - IEA Cooling Partnership &amp; Regional Power System</t>
  </si>
  <si>
    <t xml:space="preserve">     -  ค่าธรรมเนียมสมาชิกสมาพันธ์อุตสาหกรรมไฟฟ้าแห่งเอเซียตะวันออกและแปซิฟิกตะวันตก (Association of the Electricity Supply Industry of East  Asia and the Western Pacific AESIEAP)</t>
  </si>
  <si>
    <t xml:space="preserve">     - ค่าสมาชิก CIGRE แบบองค์กรลายบุคคล (1,820 EUR) 
       ค่าลงทะเบียนการประชุม CIGRE E-Session ปี 2563 
(2,400 EUR)</t>
  </si>
  <si>
    <t xml:space="preserve">    -  เงินอุดหนุนอนุสัญญาว่าด้วยความหลากหลายทางชีวภาพ  โครงการสิ่งแวดล้อมแห่งสหประชาชาติ (UNEP)</t>
  </si>
  <si>
    <t xml:space="preserve">    -  เงินอุดหนุนพิธีสารคาร์ตาเฮนา ว่าด้วยความปลอดภัยทางชีวภาพ โครงการสิ่งแวดล้อมแห่งสหประชาชาติ (UNEP)</t>
  </si>
  <si>
    <t xml:space="preserve">    - โครงการความร่วมมือกรมทรัพยากรน้ำบาดาลและกรมทรัพยากรน้ำ สปป.ลาว ด้านการพัฒนาบุคลากรในการบริหารจัดการน้ำบาดาลให้แก่เจ้าหน้าที่ สปป.ลาว ณ แขวงสะหวันนะเขต</t>
  </si>
  <si>
    <t xml:space="preserve">      องค์การสวนสัตว์แห่งประเทศไทยในพระบรมราชูปถัมภ์</t>
  </si>
  <si>
    <t xml:space="preserve">    -  Madagascar Fauna and Flora Group's conservation programs</t>
  </si>
  <si>
    <t xml:space="preserve">      กรมควบคุมมลพิษ</t>
  </si>
  <si>
    <t xml:space="preserve">    - เงินบำรุงสมาชิกสมาคมธรณีวิทยาสากล (International Union of Geological Sciences : IUGS)</t>
  </si>
  <si>
    <t xml:space="preserve">    - ค่าบำรุงองค์กรพื้นดินท้องทะเลระหว่างประเทศ  (ISA)</t>
  </si>
  <si>
    <t xml:space="preserve">       กรมอุทยานแห่งชาติ สัตว์ป่า และพันธุ์พืช</t>
  </si>
  <si>
    <t xml:space="preserve">    -  ค่าสมาชิกอนุสัญญา CITES</t>
  </si>
  <si>
    <t xml:space="preserve">    -  ค่าบำรุงสมาชิก องค์การระห่างประเทศเพื่อการอนุรักษ์ธรรมชา9b  : IUCN</t>
  </si>
  <si>
    <t>Crossref ตัวแทนเครือข่ายสมาคมสิ่งพิมพ์สากล</t>
  </si>
  <si>
    <t xml:space="preserve">    -  ค่าบำรุงสมาชิกหน่วยงานออกเลขรหัสวัตถุดิจิทัลและค่าธรรมเนียม
ออกเลขระบุวัตถุดิทัล (Crossref)</t>
  </si>
  <si>
    <t xml:space="preserve">     -  โครงการส่งเสริมศักยภาพสาธารณสุขชายแดนลาว</t>
  </si>
  <si>
    <t>เงินบริจาค</t>
  </si>
  <si>
    <t xml:space="preserve">    -  เงินค่าธรรมเนียมสมาชิกสำหรับกรอบความร่วมมือทางเศรษฐกิจ
ในเอเซีย - แปซิฟิก (APEC)</t>
  </si>
  <si>
    <t xml:space="preserve"> -  ค่าบำรุงประจำปีการเจรจาระบบสิทธิพิเศษทางการค้าระหว่างประเทศกำลังพัฒนา (GSTP)</t>
  </si>
  <si>
    <t xml:space="preserve"> -  ค่าบำรุงประจำปีเลขาธิการ (BIMSTEC)</t>
  </si>
  <si>
    <t xml:space="preserve"> -  ค่าธรรมเนียมสมาชิก (IORA) ประจำปี</t>
  </si>
  <si>
    <t xml:space="preserve">      กรมยุโรป</t>
  </si>
  <si>
    <t xml:space="preserve">     -  เงินบริจาคให้แก่มูลนิธิเอเซีย-ยุโรป (ASEF)</t>
  </si>
  <si>
    <t xml:space="preserve">      รวม</t>
  </si>
  <si>
    <t xml:space="preserve">     กรมอาเซียน</t>
  </si>
  <si>
    <t>ลักษณะ
ความร่วมมือ</t>
  </si>
  <si>
    <t>หมายเหตุ/
กรอบความร่วมมือ</t>
  </si>
  <si>
    <t>Contribution</t>
  </si>
  <si>
    <t xml:space="preserve">     -  เงินอุดหนุนการดำเนินงานของสำนักเลขาธิการอาเซียน</t>
  </si>
  <si>
    <t xml:space="preserve">     -  เงินอุดหนุนการดำเนินงานและภารกิจของมูลนิธิอาเซียน</t>
  </si>
  <si>
    <t xml:space="preserve">     -  เงินอุดหนุนเพื่อสนับสนุนกิจกรรมฝโครงการความร่วมมือของ CSCAP</t>
  </si>
  <si>
    <t xml:space="preserve">     -  เงินอุดหนุนเพื่อสนับสนุนการดำเนินงานของศูนย์อาเซียน-จีน</t>
  </si>
  <si>
    <t xml:space="preserve">     -  เงินอุดหนุนเพื่อสนับสนุนการดำเนินงานของศูนย์อาเซียน-เกาหลี</t>
  </si>
  <si>
    <t xml:space="preserve">     -  เงินอุดหนุนเพื่อสนับสนุนการดำเนินงานของทุ่นระเบิดภูมิภาคอาเซียน 
(สำนักเลขาธิการถาวรของศูนย์ ARMAC)</t>
  </si>
  <si>
    <t xml:space="preserve">        -  โครงการการจัดส่งชุดตรวจ COVID-19 แบบ RT-PCR ให้แก่ประเทศสมาชิกอาเซียน</t>
  </si>
  <si>
    <t>ภัยพิบัติ</t>
  </si>
  <si>
    <t xml:space="preserve">        -  โครงการพัฒนาคุณภาพชีวิตเยาวชน สตรี และคนพิการ สปป.ลาว</t>
  </si>
  <si>
    <t>พัฒนาสังคม</t>
  </si>
  <si>
    <t xml:space="preserve">        -  โครงการสนับสนุนความช่วยเหลือผู้พลัดถิ่นผ่าน World Food Program (เมียนมา)</t>
  </si>
  <si>
    <t xml:space="preserve">        -  การให้เงินช่วยเหลือกัมพูชา กรณีอุทกภัยในประเทศ</t>
  </si>
  <si>
    <t xml:space="preserve">        -  โครงการมอบเงินบริจาคให้แก่ศูนย์ Roshini Helpline Centre (ปากีสถาน)</t>
  </si>
  <si>
    <t xml:space="preserve">        -  โครงการบริจาคเงินให้แก่ศูนย์มูลนิธิ Edhi Foundation (ปากีสถาน)</t>
  </si>
  <si>
    <t xml:space="preserve">        - การให้เงินช่วยเหลือแก่ซูดาน ในการรับมือกับการแพร่ระบาดของ CODIV-19</t>
  </si>
  <si>
    <t xml:space="preserve">        - โครงการบูรณะสถานศึกษาในเซเนกัล</t>
  </si>
  <si>
    <t xml:space="preserve">        - โครงการแพทย์เคลื่อนที่และการให้บริการด้านสาธารณสุขในเซเนกัล</t>
  </si>
  <si>
    <t xml:space="preserve">        - โครงการให้ความช่วยเหลือทางวิชาการด้านการพัฒนาตามแนวปรัชญาเศรษฐกิจพอเพียง (เซเนกัล)</t>
  </si>
  <si>
    <t xml:space="preserve">        - การมอบเงินช่วยเหลือรัฐบาลเซเนกัล เพื่อสมทบกองทุน FORCE CODIV - 19 เพื่อรับมือกับสถานการณ์การแพร่ระบาดของโรคติดเชื้อไวรัส CODIV-19</t>
  </si>
  <si>
    <t xml:space="preserve">        - การให้ความช่วยเหลือแก่กัวเตมาลา กรณีประสบภัยพิบัติวาตภัยพายุครั้งร้ายแรง</t>
  </si>
  <si>
    <t xml:space="preserve">        - โครงการสนับสนุนความร่วมมือในกรอบองค์การอาวุธเคมี ในการจัดตั้งศูนย์ปฏิบัติการเพื่อรองรับความท้าทายจากการใช้อาวุธเคมี (PCW)</t>
  </si>
  <si>
    <t xml:space="preserve">        -  โครงการสนับสุนการก่อสร้างถนนภายในบ้านหัวเมืองเหนือ 
นครไกสอนพมวิหาน แขวงสะหวันนะเขต สปป. ลาว</t>
  </si>
  <si>
    <t xml:space="preserve">        -  โครงการอบรมด้านการเกษตรแก่แรงงานเมียนมา ที่กลับจากต่างประเทศ (Reskill, Upskill, New Skill - RUN)</t>
  </si>
  <si>
    <t xml:space="preserve">        -  โครงการสนับสนุนการดำเนินงานของ Yangon City Development Committee (YCDC) เพื่อบรรเทาการแพร่ระบาดของเชื้อไวรัสโควิด -19 
ในชุมชนเขตกรุงย่างกุ้ง เมียนมา</t>
  </si>
  <si>
    <t xml:space="preserve">        - การให้ความช่วยเหลือแก่ฮอนดูรัส กรณีประสบภัยพิบัติวาตภัยพายุครั้งร้ายแรง</t>
  </si>
  <si>
    <t>Ministry of Higher Education, Science, Research and Innovation</t>
  </si>
  <si>
    <t xml:space="preserve"> -   โครงการก่อสร้างถนนจากเมืองหงสา-บ้านเชียงแมน (เมืองจอมเพชร แขวงหลวงพระบาง) (เมืองแบ่ง เมืองคอบ เมืองห้วยทราย เมืองไชยบุรี และเมืองโขง   (เงินให้เปล่ามูลค่า 395.4 ล้านบาท   และมูลค่า
เงินกู้ 1,112 ล้านบาท)</t>
  </si>
  <si>
    <t xml:space="preserve">        -  เงินอุดหนุนสถาบันความร่วมมือเพื่อพัฒนาเศรษฐกิจลุ่มน้ำโขง (MI)</t>
  </si>
  <si>
    <t xml:space="preserve">   -  โครงการทูลเกล้าฯ ถวายทุนพระราชทานในโครงการพระราชทานความช่วยเหลือแก่ราชอาณาจักรกัมพูชา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กรมสมเด็จพระเทพรัตนราชสุดาฯ สยามบรมราชกุมารี ปี 2563
  ทุนปริญญาโท สาขาวิทยาการคอมพิวเตอร์
   ทุนปริญญาโท สาขาวิจัยและพัฒนาการเกษตร</t>
  </si>
  <si>
    <t xml:space="preserve">ทุนศึกษาป.โท 3 ทุน </t>
  </si>
  <si>
    <t xml:space="preserve"> -  โครงการพระราชทานความช่วยเหลือแก่ราชอาณาจักรกัมพูชาตามพระราชดำริสมเด็จพระกนิษฐาธิราชเจ้า กรมสมเด็จพระเทพรัตนราชสุดาฯสยามบรมราชกุมารี</t>
  </si>
  <si>
    <t xml:space="preserve">ทุนศึกษาป.โท 2 ทุน </t>
  </si>
  <si>
    <t xml:space="preserve"> -  โครงการทุนสนับสนุนการศึกษาและทุนผู้ช่วยวิจัยระดับบัณฑิตศึกษาขั้นสูง</t>
  </si>
  <si>
    <t>ทุนศึกษา 1 ทุน</t>
  </si>
  <si>
    <t xml:space="preserve"> -  การให้ทุนการศึกษาระดับบัณฑิตศึกษาแก่นิสิตต่างชาติ</t>
  </si>
  <si>
    <t xml:space="preserve"> -  Contribution to Southeast  Asian Regional Center for Graduate Study and Research in Agriculture (SEARCA)</t>
  </si>
  <si>
    <t xml:space="preserve"> -  Contribution to The Academic Consoetium for the 21St Century (AC21)</t>
  </si>
  <si>
    <t xml:space="preserve"> -  Contribution to  ASEAN-European Academic University Network (ASEAN-UNNET)</t>
  </si>
  <si>
    <t xml:space="preserve"> -  Contribution to Franco-thai Chamber to Commerce (FTCC)</t>
  </si>
  <si>
    <t xml:space="preserve"> -  Contribution to The Association of Sountheast Asian Institutions of Higher Learning (AAACU)</t>
  </si>
  <si>
    <t xml:space="preserve"> -  Contribution to The Association of Universities of Asia and the Pacific (AUAP)</t>
  </si>
  <si>
    <t xml:space="preserve"> -  Contribution to The Asian Pacific Student Services Association (APSSA)</t>
  </si>
  <si>
    <t xml:space="preserve"> -  Contribution to Tha Asia Pacific Student Services Association</t>
  </si>
  <si>
    <t xml:space="preserve"> -  Contribution to FameLab Thailand 2020-British Council</t>
  </si>
  <si>
    <t xml:space="preserve">    มหาวิทยาลัยขอนแก่น</t>
  </si>
  <si>
    <t xml:space="preserve">     - The KKU Scholarship for ASEAN and GMS Countries Personnel</t>
  </si>
  <si>
    <t xml:space="preserve">     -  โครงการพระราชทานความช่วยเหลือแก่ราชอาณาจักรกัมพูชา ด้านการศึกษา ในสมเด็จพระเทพรัตนราชสุดา สยามบรมราชกุมารี (Scholarship)</t>
  </si>
  <si>
    <t>ทุนศึกษา 3 ทุน</t>
  </si>
  <si>
    <t>ทุนศึกษา 51 ทุน</t>
  </si>
  <si>
    <t xml:space="preserve">     -  Scholarship for Electricite Du Laos (EDL) staff who is granted a scholarship</t>
  </si>
  <si>
    <t>ผู้เชี่ยวชาญ 2 8o</t>
  </si>
  <si>
    <t xml:space="preserve">     -  โครงการพัฒนาศักยภาพด้านการบริหารจัดการสิ่งแวดล้อมของเขตเศรษฐกิพิเศษสะหวัน-เซโน</t>
  </si>
  <si>
    <t>ฝึกอบรม 36 คน</t>
  </si>
  <si>
    <t xml:space="preserve">     -  ทุนสนับสนุนนักศึกษาระดับบัณฑิตศึกษาที่มีสัญชาติและภูมิลำเนาในประเทศกลุ่ม CLMV</t>
  </si>
  <si>
    <t>ทุนศึกษา 11 ทุน</t>
  </si>
  <si>
    <t xml:space="preserve">    มหาวิทยาลัยนเรศวร</t>
  </si>
  <si>
    <t xml:space="preserve">     -  ค่าสมาชิก ASAIHL</t>
  </si>
  <si>
    <t xml:space="preserve">     -  The Royal Scholarship Under Her Royal Hihness Princess  Mahacharisiridhorn Education Project to the Kingdom of Cambodia</t>
  </si>
  <si>
    <t xml:space="preserve">     -  Scholarship for International Students-Master Degree</t>
  </si>
  <si>
    <t xml:space="preserve">     -  Neresuan University Scholarhip for International Students</t>
  </si>
  <si>
    <t xml:space="preserve">     -  Neresuan University Scholarhip under the cooperation with Youth Welfare and Educational Office.</t>
  </si>
  <si>
    <t>ทุนศึกษาป.ตรี โท เอก</t>
  </si>
  <si>
    <t xml:space="preserve">    มหาวิทยาลัยพะเยา</t>
  </si>
  <si>
    <t>ทุนศึกษา 33 ทุน</t>
  </si>
  <si>
    <t xml:space="preserve">     -  โครงการพระราชทานความช่วยเหลือแก่ราชอาณาจักรกัมพูชา (ด้านการศึกษา)</t>
  </si>
  <si>
    <t xml:space="preserve">ทุนศึกษา </t>
  </si>
  <si>
    <t xml:space="preserve">    มหาวิทยาลัยศรีสะเกษ</t>
  </si>
  <si>
    <t xml:space="preserve">    มหาวิทยาลัยมหิดล</t>
  </si>
  <si>
    <t xml:space="preserve">     -  หลักสูตรฝึกอบรมโรคเมืองร้อน (Training course on Tropical Medicine)</t>
  </si>
  <si>
    <t xml:space="preserve">     -  โครงการทุนพระราชทานความช่วยเหลือแก่ราชอาณาจักรกัมพูชา 
ในกรมสมเด็จพระเทพรัตนราชสุดาฯ สยามบรมราชกุมารี </t>
  </si>
  <si>
    <t>ทุนการศึกษา 7 ทุน</t>
  </si>
  <si>
    <t xml:space="preserve">     -  ทุนสนับสนุนนักวิชาการหรืออาคันตุกะชาวต่างประเทศ  ณ คณะสังคมศาสตร์และมนุษย์ศาสตร์</t>
  </si>
  <si>
    <t xml:space="preserve">    มหาวิทยาลัยเทคโนโลยีราชมงคลพระนคร</t>
  </si>
  <si>
    <t>บริหารธุรกิจ</t>
  </si>
  <si>
    <t xml:space="preserve">ทุนการศึกษา 
ป.ตรี 40 ทุน </t>
  </si>
  <si>
    <t xml:space="preserve">    มหาวิทยาลัยเทคโนโลยีราชมงคลศรีวิชัย</t>
  </si>
  <si>
    <t xml:space="preserve">     -  International Soft Skills &amp; Leadership Camp 2019</t>
  </si>
  <si>
    <t>ฝึกอบรม 50 คน</t>
  </si>
  <si>
    <t xml:space="preserve">     -  Exchange Student Program (Teaching Trainee)</t>
  </si>
  <si>
    <t xml:space="preserve">    จุฬาลงกรณ์มหาวิทยาลัย</t>
  </si>
  <si>
    <t xml:space="preserve">     -  ค่าสมาชิกเครือข่าย  APRU</t>
  </si>
  <si>
    <t xml:space="preserve">     -  ค่าสมาชิกเครือข่าย  AUA</t>
  </si>
  <si>
    <t xml:space="preserve">     -  ค่าสมาชิกเครือข่าย  ASAIHL</t>
  </si>
  <si>
    <t xml:space="preserve">     -  ค่าสมาชิกเครือข่าย  ASEA-UNINET</t>
  </si>
  <si>
    <t xml:space="preserve">     -  ค่าสมาชิกเครือข่าย  ISCN-GULF</t>
  </si>
  <si>
    <t xml:space="preserve">      -  โครงการทุนพระราชทานสมเด็จพระกนิษฐาธิราชเจ้า กรมสมเด็จพระเทพรัตนราชสุดาฯ สยามบรมราชกุมารี โครงการพระราชทานความช่วยเหลือแก่ราชอาณาจักรกัมพูชา (ด้านการศึกษา) ระดับมัธยมศึกษาตอทปลาย และระดับปริญญาตรี ปีการศึกษา 2559-2562</t>
  </si>
  <si>
    <t xml:space="preserve">   มหาวิทยาลัยแม่โจ้</t>
  </si>
  <si>
    <t>ประชุม 14 ประเทศ</t>
  </si>
  <si>
    <t xml:space="preserve">     -  โครงการงานประชุมวิชาการประมงระดับนานาชาติ ประจำปี 2563 
(The 2nd international Mahseer Conference)</t>
  </si>
  <si>
    <t xml:space="preserve">   มหาวิทยาลัยสงขลานครินทร์</t>
  </si>
  <si>
    <t xml:space="preserve">     -  ทุนบัณฑิตวิทยาลัยอุดหนุนการวิจัยเพื่อวิทยานิพนธ์ สำหรับนักศึกษาต่างชาติ</t>
  </si>
  <si>
    <t>ทุนวิจัย 67 ทุน</t>
  </si>
  <si>
    <t xml:space="preserve">     -  ทุนผู้ช่วยสอนสำหรับนักศึกษาต่างชาติ </t>
  </si>
  <si>
    <t>ทุนฝึกอบรม</t>
  </si>
  <si>
    <t>ทุนศึกษา 64 ทุน</t>
  </si>
  <si>
    <t xml:space="preserve">     -  ทุนสนับสนุนการทำวิจัย ประเภทโครงการนักศึกษาระดับปริญญาตรี สำหรับนักศึกษาแลกเปลี่ยน คณะอุตสาหกรรมเกษตร</t>
  </si>
  <si>
    <t>ทุนวิจัย 14 ทุน</t>
  </si>
  <si>
    <t xml:space="preserve">     -  ทุนการศึกษาของคณะเภสัชศาสตร์เพื่อศึกษาระดับปริญญาโท/ปริญญาเอก</t>
  </si>
  <si>
    <t>ทุนศึกษา 4 ทุน</t>
  </si>
  <si>
    <t>ทุนวิจัย 2 ทุน</t>
  </si>
  <si>
    <t xml:space="preserve">     -  ทุนผู้ช่วยวิจัย คณะเภสัชศาสตร์</t>
  </si>
  <si>
    <t xml:space="preserve">     -  ทุนผู้ช่วยวิจัยระดับปริญญาเอก คณะเภสัชศาสตร์</t>
  </si>
  <si>
    <t>ทุนวิจัย 1 ทุน</t>
  </si>
  <si>
    <t xml:space="preserve">     -  ทุนสนับสนุนค่าใช้จ่ายเพื่อไปเสนอผลงานวิชาการในประเทศสำหรับนักศึกษาบัณฑิตศึกษา คณะเภสัชศาสตร์</t>
  </si>
  <si>
    <t>แสดงผลงาน 3 ทุน</t>
  </si>
  <si>
    <t xml:space="preserve">     -  ค่าสมาชิก ASEA-UNINET</t>
  </si>
  <si>
    <t xml:space="preserve">     -  ค่าสมาชิก AUAP</t>
  </si>
  <si>
    <t xml:space="preserve">   มหาวิทยาลัยราชภัฏเลย</t>
  </si>
  <si>
    <t xml:space="preserve">     -  โครงการพัฒนาศักยภาพบุคลากรทางการศึกษาในเครือข่ายประเทศเพื่อนบ้านอนุภูมิภาคลุ่มแม่น้ำโขง </t>
  </si>
  <si>
    <t>ทุนศึกษาป.โท 1 ทุน</t>
  </si>
  <si>
    <t xml:space="preserve">   มหาวิทยาลัยเทคโนโลยีราชมงคลล้านนา</t>
  </si>
  <si>
    <t xml:space="preserve">     -  Royal Scholarship Her Royal Highness Princess Maha ChaKri Sirindhorn Education Project to the Kingdom of Cambodia</t>
  </si>
  <si>
    <t>ทุนศึกษา 10 ทุน</t>
  </si>
  <si>
    <t xml:space="preserve">   มหาวิทยาลัยหัวเฉียวเฉลิมพระเกียรติ</t>
  </si>
  <si>
    <t>ทุนศึกษาป.โท</t>
  </si>
  <si>
    <t xml:space="preserve">     -  ทุนการศึกษาให้กับนักศึกษาในกลุ่มอาเซียน ระดับปริญญาโท 2 ปี ตั้งแต่ปีการศึกษา 2563 - 2565</t>
  </si>
  <si>
    <t xml:space="preserve">   มหาวิทยาลัยแม่ฟ้าหลวง</t>
  </si>
  <si>
    <t xml:space="preserve">     -  MFU International Student Scholarship</t>
  </si>
  <si>
    <t>ทุนศึกษา 71 ทุน</t>
  </si>
  <si>
    <t xml:space="preserve">   มหาวิทยาลัยธรรมศาสตร์</t>
  </si>
  <si>
    <t xml:space="preserve">     - Thammasat University's Scholarship for Foreign Studying Towards a Degree
</t>
  </si>
  <si>
    <t xml:space="preserve">     -  ทุนปริญญาตรี</t>
  </si>
  <si>
    <t xml:space="preserve">     -  ทุนปริญญาตรี หลากสาขา</t>
  </si>
  <si>
    <t>วิทยาศาสตร์</t>
  </si>
  <si>
    <t>ทุนศึกษา 2 ทุน</t>
  </si>
  <si>
    <t xml:space="preserve">     -  ทุนปริญญาตรี สาธารณสุข</t>
  </si>
  <si>
    <t xml:space="preserve">     -  ทุนปริญญาตรี การศึกษา</t>
  </si>
  <si>
    <t>พัฒนาสังคมฯ</t>
  </si>
  <si>
    <t xml:space="preserve">   สถาบันเทคโนโลยีจิตรลดา</t>
  </si>
  <si>
    <t xml:space="preserve">     -  โครงการพระราชทานความช่วยเหลือแก่นักเรียนนักศึกษาจากประเทศเพื่อนบ้าน</t>
  </si>
  <si>
    <t xml:space="preserve">   มหาวิทยาลัยอุบลราชธานี</t>
  </si>
  <si>
    <t>ทุนศึกษา</t>
  </si>
  <si>
    <t xml:space="preserve">     -  โครงการสนับสนุนการดำเนินการบริหารจัดการผู้รับทุนจากราชอาณาจักรภูฎาน</t>
  </si>
  <si>
    <t xml:space="preserve">   มหาวิทยาลัยราชภัฏเทพสตรี</t>
  </si>
  <si>
    <t xml:space="preserve">     -  การแลกเปลี่ยนนักศึกษาเพื่อฝึกประสบการณ์วิชาชีพที่เป็นนักศึกษาครูและนักศึกษาที่ไม่ใช่สาขาครู ที่อินโดนีเซีย</t>
  </si>
  <si>
    <t xml:space="preserve">   มหาวิทยาลัยเทคโนโลยีพระจอมเกล้าธนบุรี</t>
  </si>
  <si>
    <t xml:space="preserve">     -  ทุนการศึกษา</t>
  </si>
  <si>
    <t>ทุนศึกษา 23 ทุน</t>
  </si>
  <si>
    <t xml:space="preserve">     -  ค่าสมาชิก WTUN</t>
  </si>
  <si>
    <t xml:space="preserve">     -  ค่าสมาชิก  ATU-Net</t>
  </si>
  <si>
    <t xml:space="preserve">     -  ค่าสมาชิก  ISCN</t>
  </si>
  <si>
    <t xml:space="preserve">     -  ค่าสมาชิก  ASAIHL</t>
  </si>
  <si>
    <t xml:space="preserve">   มหาวิทยาลัยกาฬสินธุ์</t>
  </si>
  <si>
    <t xml:space="preserve">     -  ฝึกงานและเรียนรู้ทักษะจากโรงพยาบาลสัตว์เพื่อชุมชน</t>
  </si>
  <si>
    <t xml:space="preserve">   มหาวิทยาลัยราชภัฏนครราชสีมา</t>
  </si>
  <si>
    <t xml:space="preserve">     -  โครงการพระราชทานความช่วยเหลือแก่ราชอาณาจักรกัมพูชา</t>
  </si>
  <si>
    <t xml:space="preserve">     -  ทุนสนับสนุนโครงการวิจัยของนักวิจัยที่มีคุณวุฒิปริญญาเอก </t>
  </si>
  <si>
    <t xml:space="preserve">   มหาวิทยาลัยเทคโนโลยีสุรนารี</t>
  </si>
  <si>
    <t xml:space="preserve">     -  ค่าสมาชิก   ASAIHL</t>
  </si>
  <si>
    <t xml:space="preserve">     -  ค่าสมาชิก  AUAP</t>
  </si>
  <si>
    <t xml:space="preserve">     -  ค่าสมาชิก  WACE</t>
  </si>
  <si>
    <t xml:space="preserve">     -  ค่าสมาชิก  IAU</t>
  </si>
  <si>
    <t xml:space="preserve">   มหาวิทยาลัยทักษิณ</t>
  </si>
  <si>
    <t xml:space="preserve">     -  ค่าสมาชิก ASEAN Learning Network</t>
  </si>
  <si>
    <t xml:space="preserve">   มหาวิทยาลัยศิลปากร</t>
  </si>
  <si>
    <t xml:space="preserve">     -  โครงการทูลเกล้าฯ ถวายทุนพระราชทาน 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กรมสมเด็จพระเทพรัตนราชสุดาฯ สยามบรมราชกุมารี </t>
  </si>
  <si>
    <t xml:space="preserve">     -  โครงการทุน Thailand Scholarship ประจำปี 2563</t>
  </si>
  <si>
    <t>ทุนศึกษา 5 ทุน</t>
  </si>
  <si>
    <t xml:space="preserve">     -  ค่าสมาชิกรายปี ASEA-UNINET</t>
  </si>
  <si>
    <t xml:space="preserve">     -  พระราชทานความช่วยเหลือแก่ราชอาณาจักรกัมพูชา</t>
  </si>
  <si>
    <t xml:space="preserve">   สถาบันการจัดการปัญญาภิวัฒน์</t>
  </si>
  <si>
    <t xml:space="preserve">     -   โครงการพระราชทานความช่วยเหลือแก่ราชอาณาจักรกัมพูชา ด้านการศึกษา ตามพระราชดำริสมเด็จพระกนิษฐาธิราชเจ้า กรมสมเด็จพระเทพรัตนราชสุดาฯ สยามบรมราชกุมารี </t>
  </si>
  <si>
    <t xml:space="preserve">     -  โครงการทุนการศึกษาบริษัทซีพีออลล์ จำกัด (มหาชน) เพื่อสาธารณรัฐแห่งสหภาพเมียนมา</t>
  </si>
  <si>
    <t xml:space="preserve">     -  โครงการทุนการศึกษาบริษัทซีพีออลล์ จำกัด (มหาชน) เพื่อสาธารณรัฐประชาธิไตยประชาชนลาว</t>
  </si>
  <si>
    <t xml:space="preserve">     -  โครงการทุนการศึกษาบริษัทซีพีออลล์ จำกัด (มหาชน) เพื่อราชอาณาจักรกัมพูชา</t>
  </si>
  <si>
    <t xml:space="preserve">   สถาบันบัณฑิตพั?นบริหารศาสตร์</t>
  </si>
  <si>
    <t xml:space="preserve">     -  ทุนส่งเสริมความสัมพันธ์ระหว่างประเทศ</t>
  </si>
  <si>
    <t xml:space="preserve">   มหาวิทยาลัยราชภัฎอุดรธานี</t>
  </si>
  <si>
    <t xml:space="preserve">     -  กิจกรรมช่วยเหลือ (อนุเคราะห์ห้องพัก) นักศึกษาชาวเวียดนามที่เดินทางกลับประเทศไม่ได้เนื่องจากสถานการณ์โควิค</t>
  </si>
  <si>
    <t xml:space="preserve">     -  ลดค่าธรรมเนียมการศึกษา 15 % มาตรการช่วยเหลือนักศึกษาช่วงโควิด</t>
  </si>
  <si>
    <t xml:space="preserve">     -  ลดค่าธรรมเนียมการศึกษา 50 % มาตรการช่วยเหลือนักศึกษาช่วงโควิด</t>
  </si>
  <si>
    <t xml:space="preserve">     -  ค่าห้องพักผู้มาเยือนที่มีความร่วมมือ (MOU)</t>
  </si>
  <si>
    <t xml:space="preserve">   วิทยาลัยเซนต์หลุยส์</t>
  </si>
  <si>
    <t xml:space="preserve">     -  โครงการแลกเปลี่ยนนักศึกษาเพื่อพัฒนาทักษะภาษาอังกฤษ</t>
  </si>
  <si>
    <t xml:space="preserve">   มหาวิทยาลัยอัสสัมชัญ</t>
  </si>
  <si>
    <t xml:space="preserve">     -  ค่าสมาชิก   ACUCA</t>
  </si>
  <si>
    <t xml:space="preserve">   มหาวิทยาลัยสุโขทัยธรรมาธิราช</t>
  </si>
  <si>
    <t xml:space="preserve">     -  ค่าบำรุงสมาชิก  ICET</t>
  </si>
  <si>
    <t xml:space="preserve">     -  ค่าบำรุงสมาชิก iSchools</t>
  </si>
  <si>
    <t xml:space="preserve">     -  ค่าบำรุงสมาชิก  APACPH</t>
  </si>
  <si>
    <t xml:space="preserve">     -  ค่าบำรุงสมาชิกสมาคมกฏหมายอาเซียน</t>
  </si>
  <si>
    <t xml:space="preserve">     -  ค่าบำรุงสมาชิก  APSA</t>
  </si>
  <si>
    <t xml:space="preserve">     -  ค่าบำรุงสมาชิก  AIB</t>
  </si>
  <si>
    <t xml:space="preserve">     -  ค่าบำรุงสมาชิก  IFHE</t>
  </si>
  <si>
    <t xml:space="preserve">     -  ค่าบำรุงสมาชิก  IARIGAI</t>
  </si>
  <si>
    <t xml:space="preserve">     -  ค่าบำรุงสมาชิก  ICDE</t>
  </si>
  <si>
    <t xml:space="preserve">     -  ค่าบำรุงสมาชิก  AAOU</t>
  </si>
  <si>
    <t xml:space="preserve">     -  ค่าบำรุงสมาชิก  ASAIHL</t>
  </si>
  <si>
    <t xml:space="preserve">     -  ค่าบำรุงสมาชิก  Advance HE</t>
  </si>
  <si>
    <t xml:space="preserve">     -  ค่าบำรุงสมาชิก  IAPRI</t>
  </si>
  <si>
    <t xml:space="preserve">     -  ค่าบำรุงสมาชิก  The Society of American  Archivists </t>
  </si>
  <si>
    <t xml:space="preserve">     -  ค่าบำรุงสมาชิก  ACRL</t>
  </si>
  <si>
    <t xml:space="preserve">     -  ค่าบำรุงสมาชิก  LITA</t>
  </si>
  <si>
    <t xml:space="preserve">     -  ค่าบำรุงสมาชิก  ALCTS</t>
  </si>
  <si>
    <t xml:space="preserve">     -  ค่าบำรุงสมาชิก  RUSA</t>
  </si>
  <si>
    <t xml:space="preserve">     -  ค่าบำรุงสมาชิก  Printing Industries of America</t>
  </si>
  <si>
    <t xml:space="preserve">     -  ค่าบำรุงสมาชิก  ACM</t>
  </si>
  <si>
    <t xml:space="preserve">     -  ค่าบำรุงสมาชิก  IFLA</t>
  </si>
  <si>
    <t xml:space="preserve">     -  ค่าบำรุงสมาชิก  ARMA International</t>
  </si>
  <si>
    <t xml:space="preserve">     -  ค่าบำรุงสมาชิก   ALA</t>
  </si>
  <si>
    <t xml:space="preserve">     -  ค่าบำรุงสมาชิก AMIC</t>
  </si>
  <si>
    <t xml:space="preserve">   มหาวิทยาลัยเชียงใหม่</t>
  </si>
  <si>
    <t xml:space="preserve">     -  CMU Presidential Scholarship</t>
  </si>
  <si>
    <t xml:space="preserve">     -  การสนับสนุนทุนการศึกษาแก่นักศึกษาคณะพยาบาลศาสตร์</t>
  </si>
  <si>
    <t xml:space="preserve">     -  Scholarship for Cambodian students</t>
  </si>
  <si>
    <t>ทุนศึกษา ป.ตรี 1 ทุน</t>
  </si>
  <si>
    <t xml:space="preserve">ทุนศึกษา ป.โท 31 ทุน, ป.เอก 39 ทุน </t>
  </si>
  <si>
    <t>ทุนศึกษา ป.โท 1 ทุน
ป.เอก 4 ทุน ค่าที่พัก</t>
  </si>
  <si>
    <t xml:space="preserve">     -  ทุนศึกษาสำหรับนักศึกษาระดับบัณฑิตศึกษาชาวต่างชาติ</t>
  </si>
  <si>
    <t xml:space="preserve">ทุนศึกษา ป.โท 3 ทุน, ป.เอก 15 ทุน </t>
  </si>
  <si>
    <t xml:space="preserve">     -  Matching Scholarship of the Second Strengthening Higher Education Project (SSHEP)</t>
  </si>
  <si>
    <t xml:space="preserve">     -  โครงการ CMU Corner @ University of  Mandalay</t>
  </si>
  <si>
    <t>หนังสือห้องสมุด</t>
  </si>
  <si>
    <t xml:space="preserve">     -  ค่าสมัครสมาชิก  ASEA-UNINET</t>
  </si>
  <si>
    <t xml:space="preserve">     -  ค่าสมัครสมาชิก  ASAIHL</t>
  </si>
  <si>
    <t xml:space="preserve">     -  ค่าสมัครสมาชิกสำนักงานเลขานุการและสถาบันการศึกษาขั้นอุดมศึกษาแห่งภูมิภาคเอเซีย (สออ.)</t>
  </si>
  <si>
    <t xml:space="preserve">     -  Scholarship</t>
  </si>
  <si>
    <t>ทุนศึกษา 162 ทุน</t>
  </si>
  <si>
    <t xml:space="preserve">   มหาวิทยาลัยกรุงเทพ</t>
  </si>
  <si>
    <t xml:space="preserve">   มหาวิทยาลัยราชภัฎเชียงใหม่</t>
  </si>
  <si>
    <t xml:space="preserve">     -  โครงการพระราชทานความช่วยเหลือแก่ราชอาณาจักรภูฎาน ด้านการศึกษา</t>
  </si>
  <si>
    <t xml:space="preserve">ทุนศึกษา ป.ตรี 3 ทุน </t>
  </si>
  <si>
    <t>ทุนศึกษา 17 ทุน</t>
  </si>
  <si>
    <t>ทุนศึกษา 16 ทุน</t>
  </si>
  <si>
    <t>ทุนศึกษา 13 ทุน</t>
  </si>
  <si>
    <t>'-   โครงการพัฒนจุดผ่านแดนถาวรสตึงบทและถนนเชี่อมโยงไปยังถนนหมายเลข 5 ในกัมพูชา</t>
  </si>
  <si>
    <t xml:space="preserve">   Neighbouring Countries Economic Development Cooperation Agency (Public Organization)</t>
  </si>
  <si>
    <t>-  Culture</t>
  </si>
  <si>
    <t xml:space="preserve">    -  โครงการ Acid Deposition Monitoring Metwork in East  Asia (EANET) 
ในส่วนของ Network Center ภายใต้การดำเนินโครงการ EANET</t>
  </si>
  <si>
    <t xml:space="preserve">    -  โครงการ Acid Deposition Monitoring Metwork in East  Asia (EANET) 
ในส่วนของ Secretariat  ภายใต้การดำเนินโครงการ EANET</t>
  </si>
  <si>
    <t>scholarship</t>
  </si>
  <si>
    <t>โครงการวิจัย</t>
  </si>
  <si>
    <t xml:space="preserve">     -   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กรมสมเด็จพระเทพรัตนราชสุดาฯ สยามบรมราชกุมารี </t>
  </si>
  <si>
    <t>ทุนศึกษา 14 ทุน</t>
  </si>
  <si>
    <t xml:space="preserve">   สถาบันวิทยาลัยชุมชน</t>
  </si>
  <si>
    <t xml:space="preserve">     -  ค่าสมาชิก Community College for international Development, Inc.</t>
  </si>
  <si>
    <t>วัสดุอุปกรณ์</t>
  </si>
  <si>
    <t>ธุรกิจและการค้า</t>
  </si>
  <si>
    <t>โครงสร้างพื้นฐานฯ</t>
  </si>
  <si>
    <t xml:space="preserve"> training, study visit, fellowship</t>
  </si>
  <si>
    <t>project, training, study visit, fellowship</t>
  </si>
  <si>
    <t xml:space="preserve">        - โครงการ Brighter  Visions for Nepal 2019 (เนปาล)</t>
  </si>
  <si>
    <t>- Science &amp; Technology</t>
  </si>
  <si>
    <t>- Businees &amp; Economics</t>
  </si>
  <si>
    <t xml:space="preserve"> emergency Response</t>
  </si>
  <si>
    <t>คมนาคม</t>
  </si>
  <si>
    <t>- Transportation</t>
  </si>
  <si>
    <t>- Technical Cooperation  (Multisector/Cross-Cutting)</t>
  </si>
  <si>
    <t xml:space="preserve">     -  ค่าสมาชิก  Catholic University</t>
  </si>
  <si>
    <t>'-   โครงการพัฒาจุดผ่านแดนถาวรสตึงบทและถนนเชี่อมโยงไปยังถนนหมายเลข 5 ในกัมพูชา</t>
  </si>
  <si>
    <t xml:space="preserve">     -  TA/RA Scholarship ทุนอุดหนุนการศึกษาแก่นักศึกษาระดับในหลักสูตรปกติและหลักสูตรนานาชาติ</t>
  </si>
  <si>
    <t>ประชุม</t>
  </si>
  <si>
    <r>
      <t xml:space="preserve">- </t>
    </r>
    <r>
      <rPr>
        <sz val="14"/>
        <rFont val="Cordia New"/>
        <family val="2"/>
      </rPr>
      <t>Natural Resources &amp; Environment</t>
    </r>
  </si>
  <si>
    <t xml:space="preserve">        -  โครงการพัฒนาโรงเรียนมัธยมสมบูรณ์เมืองเวียงไซ แขวงหัวพัน 
สปป. ลาว        </t>
  </si>
  <si>
    <t xml:space="preserve">        -  โครงการสนับสนุนทุนการศึกษาแก่นักศึกษาเวียดนาม ที่ศึกษาวิชาเอกภาษาไทยและกิจกรรมส่งเสริมการเรียนการสอนภาษาไทย
ในเวียดนาม</t>
  </si>
  <si>
    <t xml:space="preserve">        -  การให้เงินเพื่อช่วยเหลือในเบื้องต้นและมอบสิ่งของแก่สาธารณรัฐประชาชนจีน กรณีระบาดของโรคปอดอักเสบจากเชื้องไวรัสโคโรนา
สายพันธ์ใหม่ 2019</t>
  </si>
  <si>
    <t xml:space="preserve">        -  โครงการส่งเสริมบริการทางการแพทย์ (บริจาคเตียงและ
เครื่องช่วยหายใจ) ในรัฐพิหาร ประจำปี 2563 (อินเดีย)</t>
  </si>
  <si>
    <t xml:space="preserve">    - เงินอุดหนุนเงินสมทบเพื่อดำเนินงานของคณะกรรมการประสานงานเกี่ยวกับการสำรวจทรัพยากรธรณีในภูมิภาคเอเซียตะวันออกและตะวันออกเฉียงใต้ (Conrdination Committee for Geoscience Programmes in East and Southeast Aisa : CCOP)</t>
  </si>
  <si>
    <t xml:space="preserve">     -  ยกเว้นค่าธรรมเนียมการสมัครเรียน
ป.ตรีให้กับนักศึกษาที่มีความร่วมมือ (MOU)</t>
  </si>
  <si>
    <t xml:space="preserve">        -  โครงการการดำเนินความสัมพันธ์กับประเทศเพื่อนบ้านลุ่มน้ำโขง
ในระดับท้องถิ่น (Local to Local)
          1.  โครงการสนับสนุนเครื่องอุปโภคบริโภคแก่สถานกักตัวผู้เฝ้า
ระวังการติดเชื่อโควิค COVID-19 ในเมืองเมียวดี รัฐกะเหรี่ยง เมียนมา</t>
  </si>
  <si>
    <t xml:space="preserve">          3. โครงการการจัดทำ "โคก หนอง นา โมเดล" ที่ศูนย์พัฒนาและ
บริการด้านการเกษตรห้วยขอน-ห้วยขั้ว (หลัก 22) ณ นครเวียงจันทน์ 
สปป.ลาว</t>
  </si>
  <si>
    <t xml:space="preserve">          4. โครงการแลกเปลี่ยนประสบการณ์และความรู้ด้านอาชีวศึกษา
ของประเทศไทย ให้สปป.ลาว</t>
  </si>
  <si>
    <t xml:space="preserve">        -  การให้ความช่วยเหลือแก่รัฐบาลเพื่อนบ้าน ในการแก้ไขปัญหา
การแพร่ระบาดของโรคติดเชื้อโควิค-19</t>
  </si>
  <si>
    <t xml:space="preserve">        -  การให้เงินช่วยเหลือ สปป.ลาว กรณีอุทกภัยในพื้นที่แขวง
ตอนกลางและตอนใต้ของประเทศ</t>
  </si>
  <si>
    <t xml:space="preserve">        -  โครงการอันเนื่องมาจากพระราชดำริ ใน สปป.ลาว (เพิ่มเติม) 
ในการพัฒนาศูนย์พัฒนาและบริการด้านเกษตรห้วยขอน - ห้วยขั้ว 
(หลัก 22) 
นครหลวงเวียงจันทน์</t>
  </si>
  <si>
    <t xml:space="preserve">        -  โครงการจัดให้หน่วยทันตกรรมพระราชทานมาให้บริการ
ประชาชนในเขตอาณา สกญ. ณ แขวงสะหัวนนะเขต สปป.ลาว</t>
  </si>
  <si>
    <t xml:space="preserve">        -  โครงการเผยแพร่แนวคิดและผลสำเร็จของโครงการ อันเนื่อง
มาจากพระราชดำริใน สปป. ลาว และในจังหวัดชายแดนของไทย</t>
  </si>
  <si>
    <t xml:space="preserve">        -  โครงการสนับสนุนการบรรเทาทุกข์ผู้ประสบภัยพิบัติของ
แขวงสวันนะเขต สปป. ลาว</t>
  </si>
  <si>
    <t xml:space="preserve">        -  โครงการสนับสนุนการพัฒนาระบบสาธารณสุขของเมือง
เกาะสอง ภาคตะนาวศรี ในช่วงสถานการณ์ COVID-19 (เมียนมา)</t>
  </si>
  <si>
    <t xml:space="preserve">        -  โครงการส่งเสริมกระบวนการสันติภาพของเมียนมา ผ่านกลไก 
The Joint Ceasefire Monitoring Committee (JMC)</t>
  </si>
  <si>
    <t xml:space="preserve">        -  การให้เงินช่วยเหลือเวียดนาม กรณีอุทกภัยและเหตุดินถล่ม
จากพายุ Linfa และ Nangka</t>
  </si>
  <si>
    <t xml:space="preserve">        -  โครวการให้ทุนการศึกษาและฝึกงานแก่นักศึกษาวิชาเอก
ภาษาไทย มหาวิทยาลัยภาษาและการค้าต่างประเทศ (จีน)</t>
  </si>
  <si>
    <t xml:space="preserve">        -  โครงการมอบเงินสนับสนุนภาควิชาภาษาไทยเพื่อส่งเสริม
การเรียนการสอน (เกาหลีใต้)</t>
  </si>
  <si>
    <t xml:space="preserve">        -  การบริจาคเงินสำหรับการฝึกอบรมการประกอบอาชีพแก่
สตรีติมอร์ฯ ที่ประสบภัยจากการใช้ความรุ่นแรงในครอบครัว     </t>
  </si>
  <si>
    <t xml:space="preserve">        -  โครการพัฒนาคุณภาพชีวิตเด็กและเยาวชนใน ติมอร์ฯ 
ตามแนวพระราชดำริสมเด็จพระกนิษฐาธิราชเจ้า 
กรมสมเด็จพระเทพรัตนราชสุดาฯ สยามบรมราชกุมารี</t>
  </si>
  <si>
    <t xml:space="preserve">        -  โครงการบริจาคเงินเป็นกรณีพิเศษแก่สำนักงานบรรเทาทุกข์
และจัดหางานของสหประชาชาติ สำหรับผู้ลี้ภัยปาเลสไตน์
ตะวันออกใกล้ (UNRWA)</t>
  </si>
  <si>
    <t xml:space="preserve">        -  การมอบเงินช่วยเหลือแก่เลบานอน เนื่องจากเหตุระเบิดที่
กรุงเบรุต (เลบานอน)</t>
  </si>
  <si>
    <t xml:space="preserve">     -  เงินอุดหนุนเพื่อสนับสนุนประเทศสามชิกอาเซียนในการรับมือ
กับโควิด-19การดำเนินงานของศูนย์อาเซียน-เกาหลี</t>
  </si>
  <si>
    <t xml:space="preserve">     -  เงินอุดหนุนเพื่อเสริมสร้างองค์ความรู้/ความเข้าใจเกี่ยวกับสิทธิ
มนุษยชนในกรอบอาเซียน (คณะกรรมธิการระหว่างรัฐบาลอาเซียน
ว่าด้วยสิทธิมนุษยชน</t>
  </si>
  <si>
    <t xml:space="preserve">     -  ค่าบำรุงสมทบในฐานะผู้สังเกตการณ์องค์การระหว่างประเทศ
ของกลุ่มที่ใช้ภาษาฝรั่งเศส (OIF) ประจำปี 2563</t>
  </si>
  <si>
    <t xml:space="preserve"> -  ค่าบำรุงสมาชิกคณะกรรมการความร่วมมือทางเศรษฐกิจแปซิฟิก
แห่งประเทศไทย (PECC)</t>
  </si>
  <si>
    <t xml:space="preserve">        -  การให้เงินช่วยเหลือเพื่อป้องกันการแพร่ระบาดของโรคติดเชื้อ
ไวรัส COVID -19 ในค่ายผู้พลัดถิ่นชาวโรฮินจา ในบังคลาเทศ</t>
  </si>
  <si>
    <t xml:space="preserve">        -  การให้เงินเพื่อช่วยเหลือแก่อิหร่านเนื่องจากสถานการณ์
การโรคระบาดของไวรัส COVID - 19 ในอิหร่าน</t>
  </si>
  <si>
    <t xml:space="preserve">        -  เงินอุดหนุนทุนการศึกษาไทย - อเมริกัน Thailand - US 
Educational Foundation (TUSEF)</t>
  </si>
  <si>
    <t xml:space="preserve"> -  ค่าบำรุงสมาชิกภาพของศูนย์การพัฒนาขององค์การเพื่อความร่วมมือ
ทางเศรษฐกิจและการพัฒนา</t>
  </si>
  <si>
    <t xml:space="preserve">  -  เงินสนับสนุนการดำเนินงานของกลุ่ม 77 ผ่านกองทุนความร่วมมือ
ทางเศรษฐกิจระหว่างประเทศกำลังพัฒนา (Economic Cooperation 
among Development Countries-ECDC)</t>
  </si>
  <si>
    <t xml:space="preserve">          2. โครงการมอบเงินสนับสนุนการพัฒนา  MSMEs และผู้ประกอบ
การรุ่นเยาว์ในรัฐกะเหรี่ยง เมียนมา</t>
  </si>
  <si>
    <t xml:space="preserve">        5. โครงการความร่วมมิอ-สปป.ลาว เพื่อเสริมสร้างความเข้มแข็ง
ด้านสาธารณสุขในระดับประชาชน</t>
  </si>
  <si>
    <t>- Disaster Prevention</t>
  </si>
  <si>
    <t xml:space="preserve">   สำนักงานเศรษฐกิจอุตสาหกรรม</t>
  </si>
  <si>
    <t xml:space="preserve">   สถาบันเพิ่มผลผลิตแห่งชาติ</t>
  </si>
  <si>
    <t xml:space="preserve">   กรมส่งเสริมอุตสาหกรรม</t>
  </si>
  <si>
    <t xml:space="preserve">   สำนักงานคณะกรรมการอ้อยและน้ำตาล</t>
  </si>
  <si>
    <t xml:space="preserve">   สำนักงานมาตรฐานผลิตภัณฑ์อุตสาหกรรม</t>
  </si>
  <si>
    <t xml:space="preserve">    สำนักงานปลัดกระทรวงฯ</t>
  </si>
  <si>
    <t xml:space="preserve">     - เงินอุดหนุนค่าบำรุงองค์การโทรคมนาคมแห่งเอเชียและแปซิฟิก (APT)</t>
  </si>
  <si>
    <t xml:space="preserve">     - ค่าสนับสนุนกองทุนเทคโนโลยีสารสนเทศและการสื่อสารแห่งอาเซียน (ASEAN ICT Fund)</t>
  </si>
  <si>
    <t xml:space="preserve">    - ค่าบำรุงสหภาพสากลไปรษณีย์และค่าบำรุงกลุ่มภาษาอังกฤษ</t>
  </si>
  <si>
    <t xml:space="preserve">    - ค่าบำรุงสหภาพไปรษณีย์แห่งเอเชียและแปซิฟิก</t>
  </si>
  <si>
    <t xml:space="preserve">    - ค่าบำรุงวิทยาลัยการไปรษณีย์แห่งเอเชียและแปซิฟิก</t>
  </si>
  <si>
    <t xml:space="preserve">   กรมอุตุนิยมวิทยา</t>
  </si>
  <si>
    <t xml:space="preserve">     - ค่าบำรุงสมาชิกศูนย์พยากรณ์อากาศโลก Exeter ระบบ SADIS</t>
  </si>
  <si>
    <t xml:space="preserve">     - ค่าบำรุงสมาชิกองค์การอุตุนิยมวิทยาโลก (World Meteorological Organization :  WMO)</t>
  </si>
  <si>
    <t xml:space="preserve">     - ค่าบำรุงสมาชิกคณะกรรมการไต้ฝุ่น (ESCAP/WMO Typhoon Committee Trust Fund)</t>
  </si>
  <si>
    <t xml:space="preserve">    - ค่าบำรุงสมาชิกคณะกรรมการพายุไซโคลนเขตร้อน (WMO/ESCAP Panel on Tropical Cyclones Trust Fund)</t>
  </si>
  <si>
    <t xml:space="preserve">    สำนักงานสถิติแห่งชาติ</t>
  </si>
  <si>
    <t xml:space="preserve">     - เงินอุดหนุนค่าสมาชิก  (International Statistical Institute : ISI)</t>
  </si>
  <si>
    <t xml:space="preserve">     - เงินอุดหนุนค่าสมาชิก (Statistical Institute for Asia and the Pacific : SIAP) </t>
  </si>
  <si>
    <t xml:space="preserve">    สำนักงานคณะกรรมการดิจิทัลเพื่อเศรษฐกิจและสังคมแห่งชาติ</t>
  </si>
  <si>
    <t xml:space="preserve">     - เงินค่าสมาชิกองค์การความร่วมมือด้านอวกาศแห่งเอเชียแปซิฟิก (APSCO)</t>
  </si>
  <si>
    <t xml:space="preserve">     - ค่าบำรุงสมาชิกคณะกรรมการด้านนโยบายเศรษฐกิจดิจิทัล (Committee on Digital Economy Policy - CDEP) ภายใต้องค์การเพื่อความร่วมมือทางเศรษฐกิจและการพัฒนา (Organisation for Economic Co-operation and Development - OECD)</t>
  </si>
  <si>
    <t xml:space="preserve">    สำนักงานพัฒนาธุรกรรมทางอิเล็กทรอนิกส์</t>
  </si>
  <si>
    <t xml:space="preserve">     - ค่าบำรุงสมาชิก Forum of Incident Response and Security Teams </t>
  </si>
  <si>
    <t xml:space="preserve">     - ค่าบำรุงสมาชิก Trusted Introducer</t>
  </si>
  <si>
    <t xml:space="preserve">     - ค่าบำรุงสมาชิก Asia PKI Consortium (APKIC)</t>
  </si>
  <si>
    <t xml:space="preserve">     - ค่าบำรุงสมาชิก Asia-Pacific Network Information Centre </t>
  </si>
  <si>
    <t xml:space="preserve">   - ค่าบำรุงสมาชิก FIDO Alliance</t>
  </si>
  <si>
    <t xml:space="preserve">    บริษัท โทรคมนาคมแห่งชาติ จำกัด (มหาชน)  </t>
  </si>
  <si>
    <t xml:space="preserve">     - ค่าบำรุงสมาชิกในเครือ (ขณะเป็นบริษัท ทีโอที จำกัด (มหาชน))</t>
  </si>
  <si>
    <t xml:space="preserve">     - ค่าบำรุงสมาชิกในเครือ (ขณะเป็นบริษัท กสท โทรคมนาคม จำกัด (มหาชน))</t>
  </si>
  <si>
    <t xml:space="preserve">    บริษัท ไปรษณีย์ไทย จำกัด</t>
  </si>
  <si>
    <t xml:space="preserve">     - เงินค่าบำรุงการเป็นสมาชิก APP Cooperative (Asia Pacific Post Cooperative)</t>
  </si>
  <si>
    <t xml:space="preserve">     - เงินอุดหนุนกิจกรรมของ RTCAP (Regional Technical Centre for Asia Pacific)</t>
  </si>
  <si>
    <t xml:space="preserve">     - เงินค่าบำรุงการเป็นสมาชิก UPU Telematics Cooperative</t>
  </si>
  <si>
    <t xml:space="preserve">     - เงินค่าบำรุงการเป็นสมาชิก EMS Cooperative</t>
  </si>
  <si>
    <t xml:space="preserve">     - ค่าบำรุงการใช้ระบบสอบสวนทางอินเทอร์เน็ตสำหรับบริการพัสดุไปรษณีย์ระหว่างประเทศ (IBIS)</t>
  </si>
  <si>
    <t xml:space="preserve">     - เงินค่าบำรุงการเข้าร่วมระบบ PRIME</t>
  </si>
  <si>
    <t xml:space="preserve">     - เงินค่าบำรุงสมาชิก .post user group</t>
  </si>
  <si>
    <t xml:space="preserve">    - ค่าสมาชิกองค์การเพิ่มผลผลิตแห่งเอเชีย ค.ศ. 2019</t>
  </si>
  <si>
    <t xml:space="preserve">    - ค่าสมาชิกสภาการช่างศิลป์โลก ภูมิภาคเอเชีย-แปซิฟิค</t>
  </si>
  <si>
    <t xml:space="preserve">    - ค่าสมาชิกสภาการช่างศิลป์โลกระหว่างประเทศ</t>
  </si>
  <si>
    <t xml:space="preserve">    - ค่าสมาชิกสหพันธ์การบรรจุภัณฑ์แห่งเอเชีย</t>
  </si>
  <si>
    <t xml:space="preserve">   กรมโรงงานอุตสาหกรรม</t>
  </si>
  <si>
    <t xml:space="preserve">     - ค่าบำรุงกองทุนพิธีสารมอนทรีออล (Trust Fund for the Montreal Protocol on Substances that Deplete 
the Ozone Layer United National Environment Program (UNEP)</t>
  </si>
  <si>
    <t xml:space="preserve">     - ค่าบำรุงกองทุนอนุสัญญเวียนนา (Trust Fuund for the Vienna Convention for the Protection of Ozone Layer)</t>
  </si>
  <si>
    <t xml:space="preserve">    - ค่าบำรุงสมาชิกองค์การห้ามอาวุธเคมี (Organization for 
the Prohibition of Chemical Weapons, OPCW)</t>
  </si>
  <si>
    <t xml:space="preserve">    - ค่าบำรุงสมาชิกองค์การน้ำตาลระหว่างประเทศ International Sugar Organization : ISO</t>
  </si>
  <si>
    <t xml:space="preserve">    - ค่าบำรุงสมาชิกองค์การวิจัยน้ำตาลโลก (World Sugar Research Organization : WSRO)</t>
  </si>
  <si>
    <t xml:space="preserve">    - ค่าบำรุงสมาชิกองค์การระหว่างประเทศว่าด้วยการมาตรฐาน International Organization for Standardization (ISO)</t>
  </si>
  <si>
    <t xml:space="preserve">   - ค่าบำรุงสมาชิกคณะกรรมการธิการระหว่างประเทศว่าด้วยมาตรฐานสาขาอิเล็กทรอนิกส์ (International Electrotechnical Commission - IEC)</t>
  </si>
  <si>
    <t xml:space="preserve">    - ค่าบำรุงสมาชิกองค์การระหว่างประเทศว่าด้วยการรับรองระบบงาน (Internation Laboratory Accreditation Cooperation - ILAC)</t>
  </si>
  <si>
    <t xml:space="preserve">    - ค่าบำรุงสมาชิกระบบการตรวจสอบและรับรองบริภัณฑ์เทคนิคทางไฟฟ้าและชิ้นส่วนฯ (IEC System for Conformity Testing and Certification of Electrical Equipment - IECEE)</t>
  </si>
  <si>
    <t xml:space="preserve">   - ค่าบำรุงสมาชิกองค์การระหว่างประเทศว่าด้วยการรับรองระบบงาน (International Accreditation Forum - IAF)</t>
  </si>
  <si>
    <t xml:space="preserve">     - ค่าบำรุงสมาชิกองค์การภูมิภาคแปซิฟิกว่าด้วยการรับรองระบบงาน (Asia Pacific Accreditation Cooperation - APAC)</t>
  </si>
  <si>
    <t xml:space="preserve">    - ทุนการศึกษาระดับปริญญาโท/ปริญญาเอกภายใต้โครงการ PSU President Scholarship</t>
  </si>
  <si>
    <t xml:space="preserve">     -  โครงการมอบทุนการศึกษาแก่นักศึกษา
ชาวภูฏาน</t>
  </si>
  <si>
    <t xml:space="preserve">    - ทุนการศึกษาระดับปริญญาโท/ปริญญาโท
ภายใต้โครงการพระราชทานความช่วยเหลือแก่ราชอาณาจักรกัมพูชา</t>
  </si>
  <si>
    <t xml:space="preserve">     -  โครงการพระราชทานความช่วยเหลือแก่ราชอาณาจักรกัมพูชา ตามพระราชดำริ
สมเด็จพระเทพรัตนราชสุดาฯ สยามบรมราชกุมารี </t>
  </si>
  <si>
    <t xml:space="preserve">ทุนศึกษาป.ตรี 5 ทุน </t>
  </si>
  <si>
    <t xml:space="preserve">ทุนศึกษาป.ตรี 1 ทุน </t>
  </si>
  <si>
    <t>การฝึกอบรม 14 คน</t>
  </si>
  <si>
    <t xml:space="preserve"> %</t>
  </si>
  <si>
    <t xml:space="preserve">     กรมส่งเสริมวัฒนธรรม</t>
  </si>
  <si>
    <t>Thailand Official Development Assistance in January - December 2020 (2563)</t>
  </si>
  <si>
    <t xml:space="preserve">Ministry of Finance  </t>
  </si>
  <si>
    <t>- Communication</t>
  </si>
  <si>
    <t>- Economics</t>
  </si>
  <si>
    <t xml:space="preserve">- Energy </t>
  </si>
  <si>
    <t>- Information Technology</t>
  </si>
  <si>
    <t>- Infrastructure &amp; Public Utilities</t>
  </si>
  <si>
    <t>- Labour &amp; Employment</t>
  </si>
  <si>
    <t>- Natural Resources and Environment</t>
  </si>
  <si>
    <t>- Public Administration</t>
  </si>
  <si>
    <t>- Social Development &amp; Welfare</t>
  </si>
  <si>
    <t>- Tourism</t>
  </si>
  <si>
    <t>- SDGs</t>
  </si>
  <si>
    <t>-  Others</t>
  </si>
  <si>
    <t xml:space="preserve"> training, study visit, fellowship, project, experts, equipment,
orthers</t>
  </si>
  <si>
    <t>"                    "</t>
  </si>
  <si>
    <t>11 November 2021</t>
  </si>
  <si>
    <t xml:space="preserve">        - โครงการพัฒนาฝีมือแรงงานนานาชาติเพื่อการพัฒนาความร่วมมือทางเศาษฐกิจในอนุภูมิภาคลุ่มน้ำโขงและภูมิภาค</t>
  </si>
  <si>
    <t>โครงการพัฒนาการจัดการอาชีวศึกษาในโครงการพระราชทาน
ความช่วยเหลือแก่ราชอาณาจักรกัมพูชาด้านการศึกษา</t>
  </si>
  <si>
    <t xml:space="preserve">      -  Establishment of Credit Guarantee Corporation (CGC) and Financing for  MSMEs</t>
  </si>
  <si>
    <t xml:space="preserve">    - ค่าสมาชิกองค์การพัฒนาอุตสาหกรรมแห่งสหประชาชาติ 
(United Nations Industrial Development Organization : UNIDO)</t>
  </si>
  <si>
    <t xml:space="preserve">     -  เงินอุดหนุนค่าบำรุงสมาชิกโปรแกรมข้อตกลงความร่วมมือด้านระบบผลิตไฟฟ้าจากเซลล์แสงอาทิตย์ขององค์กรพลังงานระหว่างประเทศ (International Energy Agency, Photovoltaic Power System Programme)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</si>
</sst>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0_-;\-* #,##0.0000_-;_-* &quot;-&quot;??_-;_-@_-"/>
    <numFmt numFmtId="183" formatCode="[$-409]d\-mmm\-yy;@"/>
    <numFmt numFmtId="184" formatCode="[$-409]dd\-mmm\-yy;@"/>
    <numFmt numFmtId="185" formatCode="[$-409]d\-mmm\-yyyy;@"/>
    <numFmt numFmtId="186" formatCode="_-* #,##0.000_-;\-* #,##0.000_-;_-* &quot;-&quot;??_-;_-@_-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.00000_-;\-* #,##0.00000_-;_-* &quot;-&quot;??_-;_-@_-"/>
    <numFmt numFmtId="194" formatCode="_(* #,##0_);_(* \(#,##0\);_(* &quot;-&quot;??_);_(@_)"/>
    <numFmt numFmtId="195" formatCode="[$-409]dddd\,\ mmmm\ dd\,\ yyyy"/>
    <numFmt numFmtId="196" formatCode="[$-107041E]d\ mmmm\ yyyy;@"/>
    <numFmt numFmtId="197" formatCode="[$-1870000]d/m/yy;@"/>
    <numFmt numFmtId="198" formatCode="mmm\-yyyy"/>
    <numFmt numFmtId="199" formatCode="[$-D07041E]d\ mmmm\ yyyy;@"/>
    <numFmt numFmtId="200" formatCode="[$-D87041E]d\ mmmm\ yyyy;@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00000_-;\-* #,##0.000000_-;_-* &quot;-&quot;??_-;_-@_-"/>
  </numFmts>
  <fonts count="63">
    <font>
      <sz val="14"/>
      <name val="Cordia New"/>
      <family val="0"/>
    </font>
    <font>
      <sz val="11"/>
      <color indexed="8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b/>
      <sz val="20"/>
      <color indexed="10"/>
      <name val="Cordia New"/>
      <family val="2"/>
    </font>
    <font>
      <sz val="8"/>
      <name val="Arial"/>
      <family val="2"/>
    </font>
    <font>
      <sz val="16"/>
      <color indexed="12"/>
      <name val="Cordia New"/>
      <family val="2"/>
    </font>
    <font>
      <b/>
      <sz val="16"/>
      <color indexed="10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color indexed="8"/>
      <name val="MS Sans Serif"/>
      <family val="2"/>
    </font>
    <font>
      <vertAlign val="superscript"/>
      <sz val="14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8"/>
      <name val="Cordia New"/>
      <family val="2"/>
    </font>
    <font>
      <sz val="11"/>
      <name val="Cordia New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14"/>
      <color indexed="8"/>
      <name val="Cordia New"/>
      <family val="2"/>
    </font>
    <font>
      <b/>
      <sz val="14"/>
      <color indexed="10"/>
      <name val="Cordia New"/>
      <family val="2"/>
    </font>
    <font>
      <b/>
      <sz val="18"/>
      <color indexed="10"/>
      <name val="Cordia New"/>
      <family val="2"/>
    </font>
    <font>
      <sz val="16"/>
      <color indexed="8"/>
      <name val="TH SarabunPSK"/>
      <family val="2"/>
    </font>
    <font>
      <sz val="16"/>
      <color indexed="8"/>
      <name val="Cordia New"/>
      <family val="2"/>
    </font>
    <font>
      <b/>
      <sz val="14"/>
      <color indexed="8"/>
      <name val="Cordia New"/>
      <family val="2"/>
    </font>
    <font>
      <sz val="14"/>
      <color indexed="56"/>
      <name val="Cordia New"/>
      <family val="2"/>
    </font>
    <font>
      <sz val="16"/>
      <color indexed="63"/>
      <name val="Cordia New"/>
      <family val="2"/>
    </font>
    <font>
      <b/>
      <sz val="16"/>
      <color indexed="8"/>
      <name val="Cordia New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sz val="14"/>
      <color theme="1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b/>
      <sz val="18"/>
      <color rgb="FFFF0000"/>
      <name val="Cordia New"/>
      <family val="2"/>
    </font>
    <font>
      <sz val="16"/>
      <color theme="1"/>
      <name val="TH SarabunPSK"/>
      <family val="2"/>
    </font>
    <font>
      <sz val="16"/>
      <color theme="1"/>
      <name val="Cordia New"/>
      <family val="2"/>
    </font>
    <font>
      <b/>
      <sz val="14"/>
      <color theme="1"/>
      <name val="Cordia New"/>
      <family val="2"/>
    </font>
    <font>
      <sz val="16"/>
      <color rgb="FFFF0000"/>
      <name val="Cordia New"/>
      <family val="2"/>
    </font>
    <font>
      <sz val="14"/>
      <color rgb="FF002060"/>
      <name val="Cordia New"/>
      <family val="2"/>
    </font>
    <font>
      <sz val="16"/>
      <color rgb="FF333333"/>
      <name val="Cordia New"/>
      <family val="2"/>
    </font>
    <font>
      <b/>
      <sz val="16"/>
      <color rgb="FFFF0000"/>
      <name val="Cordia New"/>
      <family val="2"/>
    </font>
    <font>
      <b/>
      <sz val="16"/>
      <color theme="1"/>
      <name val="Cordia New"/>
      <family val="2"/>
    </font>
    <font>
      <b/>
      <sz val="8"/>
      <name val="Cordia Ne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double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>
      <alignment/>
      <protection/>
    </xf>
  </cellStyleXfs>
  <cellXfs count="820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0" xfId="42" applyAlignment="1">
      <alignment/>
    </xf>
    <xf numFmtId="0" fontId="3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 quotePrefix="1">
      <alignment horizontal="left" vertical="top"/>
    </xf>
    <xf numFmtId="181" fontId="0" fillId="0" borderId="10" xfId="42" applyNumberFormat="1" applyFont="1" applyBorder="1" applyAlignment="1">
      <alignment vertical="top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left" vertical="top"/>
    </xf>
    <xf numFmtId="181" fontId="0" fillId="0" borderId="11" xfId="42" applyNumberFormat="1" applyFont="1" applyBorder="1" applyAlignment="1">
      <alignment vertical="top"/>
    </xf>
    <xf numFmtId="0" fontId="0" fillId="0" borderId="11" xfId="0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71" fontId="0" fillId="0" borderId="11" xfId="42" applyFont="1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center"/>
    </xf>
    <xf numFmtId="171" fontId="2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 quotePrefix="1">
      <alignment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0" fillId="0" borderId="11" xfId="0" applyBorder="1" applyAlignment="1">
      <alignment wrapText="1"/>
    </xf>
    <xf numFmtId="0" fontId="22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171" fontId="0" fillId="0" borderId="12" xfId="42" applyNumberFormat="1" applyBorder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 quotePrefix="1">
      <alignment horizontal="left" vertical="top"/>
    </xf>
    <xf numFmtId="181" fontId="2" fillId="0" borderId="10" xfId="42" applyNumberFormat="1" applyFont="1" applyBorder="1" applyAlignment="1">
      <alignment vertical="top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 quotePrefix="1">
      <alignment horizontal="center" vertical="top"/>
    </xf>
    <xf numFmtId="0" fontId="0" fillId="0" borderId="12" xfId="0" applyBorder="1" applyAlignment="1">
      <alignment wrapText="1"/>
    </xf>
    <xf numFmtId="171" fontId="0" fillId="0" borderId="11" xfId="42" applyNumberFormat="1" applyFont="1" applyBorder="1" applyAlignment="1">
      <alignment/>
    </xf>
    <xf numFmtId="0" fontId="0" fillId="0" borderId="11" xfId="0" applyBorder="1" applyAlignment="1">
      <alignment horizontal="left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181" fontId="24" fillId="0" borderId="16" xfId="42" applyNumberFormat="1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 wrapText="1"/>
    </xf>
    <xf numFmtId="171" fontId="0" fillId="0" borderId="0" xfId="0" applyNumberFormat="1" applyBorder="1" applyAlignment="1" quotePrefix="1">
      <alignment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/>
    </xf>
    <xf numFmtId="171" fontId="0" fillId="0" borderId="10" xfId="42" applyNumberFormat="1" applyFont="1" applyBorder="1" applyAlignment="1">
      <alignment vertical="top"/>
    </xf>
    <xf numFmtId="171" fontId="0" fillId="0" borderId="11" xfId="42" applyNumberFormat="1" applyFont="1" applyBorder="1" applyAlignment="1">
      <alignment vertical="top"/>
    </xf>
    <xf numFmtId="0" fontId="0" fillId="0" borderId="12" xfId="0" applyBorder="1" applyAlignment="1">
      <alignment vertical="top" wrapText="1"/>
    </xf>
    <xf numFmtId="171" fontId="21" fillId="0" borderId="14" xfId="42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 quotePrefix="1">
      <alignment/>
    </xf>
    <xf numFmtId="171" fontId="0" fillId="0" borderId="11" xfId="42" applyNumberFormat="1" applyBorder="1" applyAlignment="1">
      <alignment/>
    </xf>
    <xf numFmtId="0" fontId="0" fillId="0" borderId="11" xfId="0" applyBorder="1" applyAlignment="1">
      <alignment/>
    </xf>
    <xf numFmtId="171" fontId="0" fillId="0" borderId="12" xfId="42" applyFont="1" applyBorder="1" applyAlignment="1">
      <alignment/>
    </xf>
    <xf numFmtId="0" fontId="21" fillId="0" borderId="11" xfId="0" applyFont="1" applyBorder="1" applyAlignment="1">
      <alignment wrapText="1"/>
    </xf>
    <xf numFmtId="0" fontId="0" fillId="24" borderId="0" xfId="0" applyFill="1" applyAlignment="1">
      <alignment/>
    </xf>
    <xf numFmtId="0" fontId="0" fillId="24" borderId="0" xfId="0" applyFill="1" applyAlignment="1">
      <alignment vertical="top" wrapText="1"/>
    </xf>
    <xf numFmtId="171" fontId="0" fillId="24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0" fontId="21" fillId="0" borderId="10" xfId="0" applyFont="1" applyBorder="1" applyAlignment="1" quotePrefix="1">
      <alignment horizontal="left" vertical="top" wrapText="1"/>
    </xf>
    <xf numFmtId="181" fontId="0" fillId="0" borderId="10" xfId="42" applyNumberFormat="1" applyFont="1" applyBorder="1" applyAlignment="1">
      <alignment vertical="top" wrapText="1"/>
    </xf>
    <xf numFmtId="0" fontId="0" fillId="0" borderId="10" xfId="0" applyBorder="1" applyAlignment="1" quotePrefix="1">
      <alignment vertical="top" wrapText="1"/>
    </xf>
    <xf numFmtId="181" fontId="0" fillId="0" borderId="11" xfId="42" applyNumberFormat="1" applyFont="1" applyBorder="1" applyAlignment="1">
      <alignment wrapText="1"/>
    </xf>
    <xf numFmtId="171" fontId="0" fillId="0" borderId="11" xfId="42" applyNumberFormat="1" applyFont="1" applyBorder="1" applyAlignment="1">
      <alignment wrapText="1"/>
    </xf>
    <xf numFmtId="0" fontId="21" fillId="0" borderId="11" xfId="0" applyFont="1" applyBorder="1" applyAlignment="1">
      <alignment vertical="top" wrapText="1"/>
    </xf>
    <xf numFmtId="171" fontId="0" fillId="0" borderId="12" xfId="42" applyFont="1" applyBorder="1" applyAlignment="1">
      <alignment wrapText="1"/>
    </xf>
    <xf numFmtId="171" fontId="0" fillId="0" borderId="11" xfId="42" applyFont="1" applyBorder="1" applyAlignment="1">
      <alignment wrapText="1"/>
    </xf>
    <xf numFmtId="0" fontId="2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14" fontId="0" fillId="0" borderId="0" xfId="0" applyNumberFormat="1" applyAlignment="1" quotePrefix="1">
      <alignment vertical="top" wrapText="1"/>
    </xf>
    <xf numFmtId="171" fontId="0" fillId="0" borderId="12" xfId="42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wrapText="1"/>
    </xf>
    <xf numFmtId="171" fontId="0" fillId="0" borderId="0" xfId="0" applyNumberFormat="1" applyAlignment="1">
      <alignment vertical="top" wrapText="1"/>
    </xf>
    <xf numFmtId="0" fontId="0" fillId="0" borderId="15" xfId="0" applyBorder="1" applyAlignment="1">
      <alignment/>
    </xf>
    <xf numFmtId="43" fontId="0" fillId="0" borderId="0" xfId="0" applyNumberFormat="1" applyAlignment="1">
      <alignment vertical="top" wrapText="1"/>
    </xf>
    <xf numFmtId="43" fontId="16" fillId="0" borderId="0" xfId="48" applyFont="1" applyAlignment="1">
      <alignment vertical="center" wrapText="1"/>
    </xf>
    <xf numFmtId="0" fontId="16" fillId="0" borderId="0" xfId="68">
      <alignment/>
      <protection/>
    </xf>
    <xf numFmtId="0" fontId="2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25" borderId="0" xfId="0" applyFill="1" applyAlignment="1">
      <alignment/>
    </xf>
    <xf numFmtId="171" fontId="21" fillId="0" borderId="14" xfId="42" applyFont="1" applyBorder="1" applyAlignment="1">
      <alignment/>
    </xf>
    <xf numFmtId="171" fontId="21" fillId="0" borderId="14" xfId="42" applyFont="1" applyBorder="1" applyAlignment="1">
      <alignment vertical="top" wrapText="1"/>
    </xf>
    <xf numFmtId="0" fontId="16" fillId="0" borderId="0" xfId="69">
      <alignment/>
      <protection/>
    </xf>
    <xf numFmtId="0" fontId="2" fillId="0" borderId="0" xfId="69" applyFont="1">
      <alignment/>
      <protection/>
    </xf>
    <xf numFmtId="43" fontId="16" fillId="0" borderId="0" xfId="69" applyNumberFormat="1">
      <alignment/>
      <protection/>
    </xf>
    <xf numFmtId="171" fontId="16" fillId="0" borderId="0" xfId="69" applyNumberFormat="1">
      <alignment/>
      <protection/>
    </xf>
    <xf numFmtId="0" fontId="0" fillId="0" borderId="13" xfId="0" applyBorder="1" applyAlignment="1" quotePrefix="1">
      <alignment vertical="justify"/>
    </xf>
    <xf numFmtId="0" fontId="21" fillId="0" borderId="15" xfId="0" applyFont="1" applyFill="1" applyBorder="1" applyAlignment="1">
      <alignment horizontal="center" wrapText="1"/>
    </xf>
    <xf numFmtId="43" fontId="0" fillId="24" borderId="0" xfId="0" applyNumberFormat="1" applyFill="1" applyAlignment="1">
      <alignment vertical="top" wrapText="1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2" fontId="16" fillId="0" borderId="0" xfId="69" applyNumberFormat="1">
      <alignment/>
      <protection/>
    </xf>
    <xf numFmtId="171" fontId="0" fillId="0" borderId="12" xfId="42" applyFont="1" applyFill="1" applyBorder="1" applyAlignment="1">
      <alignment/>
    </xf>
    <xf numFmtId="0" fontId="21" fillId="0" borderId="15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171" fontId="0" fillId="0" borderId="0" xfId="42" applyFont="1" applyAlignment="1">
      <alignment/>
    </xf>
    <xf numFmtId="0" fontId="21" fillId="0" borderId="10" xfId="0" applyFont="1" applyFill="1" applyBorder="1" applyAlignment="1" quotePrefix="1">
      <alignment horizontal="left" vertical="top"/>
    </xf>
    <xf numFmtId="181" fontId="0" fillId="0" borderId="10" xfId="42" applyNumberFormat="1" applyFont="1" applyFill="1" applyBorder="1" applyAlignment="1">
      <alignment vertical="top"/>
    </xf>
    <xf numFmtId="0" fontId="0" fillId="0" borderId="10" xfId="0" applyFill="1" applyBorder="1" applyAlignment="1" quotePrefix="1">
      <alignment vertical="center"/>
    </xf>
    <xf numFmtId="0" fontId="21" fillId="0" borderId="14" xfId="0" applyFont="1" applyFill="1" applyBorder="1" applyAlignment="1">
      <alignment horizontal="center"/>
    </xf>
    <xf numFmtId="171" fontId="0" fillId="0" borderId="12" xfId="42" applyFont="1" applyBorder="1" applyAlignment="1">
      <alignment/>
    </xf>
    <xf numFmtId="171" fontId="0" fillId="0" borderId="11" xfId="42" applyFont="1" applyBorder="1" applyAlignment="1">
      <alignment/>
    </xf>
    <xf numFmtId="0" fontId="22" fillId="0" borderId="11" xfId="0" applyFont="1" applyBorder="1" applyAlignment="1">
      <alignment/>
    </xf>
    <xf numFmtId="171" fontId="0" fillId="0" borderId="11" xfId="42" applyNumberFormat="1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14" xfId="42" applyNumberFormat="1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0" fillId="0" borderId="12" xfId="69" applyFont="1" applyFill="1" applyBorder="1" applyAlignment="1" quotePrefix="1">
      <alignment vertical="center"/>
      <protection/>
    </xf>
    <xf numFmtId="171" fontId="0" fillId="0" borderId="11" xfId="42" applyNumberFormat="1" applyFont="1" applyBorder="1" applyAlignment="1">
      <alignment wrapText="1"/>
    </xf>
    <xf numFmtId="171" fontId="0" fillId="0" borderId="13" xfId="42" applyNumberFormat="1" applyFont="1" applyBorder="1" applyAlignment="1">
      <alignment wrapText="1"/>
    </xf>
    <xf numFmtId="171" fontId="0" fillId="0" borderId="15" xfId="42" applyNumberFormat="1" applyFont="1" applyBorder="1" applyAlignment="1">
      <alignment wrapText="1"/>
    </xf>
    <xf numFmtId="0" fontId="21" fillId="0" borderId="18" xfId="0" applyFont="1" applyBorder="1" applyAlignment="1">
      <alignment wrapText="1"/>
    </xf>
    <xf numFmtId="43" fontId="2" fillId="0" borderId="0" xfId="48" applyFont="1" applyAlignment="1">
      <alignment horizontal="center" vertical="center" wrapText="1"/>
    </xf>
    <xf numFmtId="43" fontId="2" fillId="0" borderId="0" xfId="48" applyFont="1" applyAlignment="1">
      <alignment horizontal="right" vertical="center" wrapText="1"/>
    </xf>
    <xf numFmtId="0" fontId="16" fillId="0" borderId="0" xfId="69" applyFont="1">
      <alignment/>
      <protection/>
    </xf>
    <xf numFmtId="171" fontId="0" fillId="0" borderId="11" xfId="42" applyFont="1" applyBorder="1" applyAlignment="1">
      <alignment/>
    </xf>
    <xf numFmtId="171" fontId="0" fillId="0" borderId="12" xfId="42" applyFont="1" applyFill="1" applyBorder="1" applyAlignment="1">
      <alignment/>
    </xf>
    <xf numFmtId="0" fontId="0" fillId="0" borderId="12" xfId="0" applyFont="1" applyBorder="1" applyAlignment="1">
      <alignment/>
    </xf>
    <xf numFmtId="182" fontId="21" fillId="0" borderId="14" xfId="42" applyNumberFormat="1" applyFont="1" applyBorder="1" applyAlignment="1">
      <alignment horizontal="center"/>
    </xf>
    <xf numFmtId="0" fontId="16" fillId="0" borderId="0" xfId="69" applyFill="1">
      <alignment/>
      <protection/>
    </xf>
    <xf numFmtId="0" fontId="0" fillId="0" borderId="12" xfId="0" applyFont="1" applyFill="1" applyBorder="1" applyAlignment="1">
      <alignment wrapText="1"/>
    </xf>
    <xf numFmtId="0" fontId="21" fillId="0" borderId="11" xfId="0" applyFont="1" applyBorder="1" applyAlignment="1" quotePrefix="1">
      <alignment horizontal="left" vertical="top"/>
    </xf>
    <xf numFmtId="0" fontId="0" fillId="0" borderId="11" xfId="0" applyFont="1" applyBorder="1" applyAlignment="1" quotePrefix="1">
      <alignment vertical="center"/>
    </xf>
    <xf numFmtId="0" fontId="0" fillId="0" borderId="12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 vertical="justify" wrapText="1"/>
    </xf>
    <xf numFmtId="0" fontId="0" fillId="0" borderId="11" xfId="0" applyFont="1" applyBorder="1" applyAlignment="1" quotePrefix="1">
      <alignment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0" fillId="0" borderId="11" xfId="0" applyFont="1" applyBorder="1" applyAlignment="1" quotePrefix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23" xfId="0" applyFont="1" applyBorder="1" applyAlignment="1">
      <alignment horizontal="center"/>
    </xf>
    <xf numFmtId="181" fontId="0" fillId="26" borderId="11" xfId="42" applyNumberFormat="1" applyFont="1" applyFill="1" applyBorder="1" applyAlignment="1">
      <alignment vertical="top"/>
    </xf>
    <xf numFmtId="171" fontId="0" fillId="26" borderId="11" xfId="42" applyNumberFormat="1" applyFont="1" applyFill="1" applyBorder="1" applyAlignment="1">
      <alignment/>
    </xf>
    <xf numFmtId="181" fontId="0" fillId="26" borderId="11" xfId="42" applyNumberFormat="1" applyFont="1" applyFill="1" applyBorder="1" applyAlignment="1">
      <alignment/>
    </xf>
    <xf numFmtId="0" fontId="0" fillId="26" borderId="11" xfId="0" applyFill="1" applyBorder="1" applyAlignment="1">
      <alignment wrapText="1"/>
    </xf>
    <xf numFmtId="171" fontId="0" fillId="26" borderId="12" xfId="42" applyNumberFormat="1" applyFill="1" applyBorder="1" applyAlignment="1">
      <alignment/>
    </xf>
    <xf numFmtId="0" fontId="0" fillId="26" borderId="11" xfId="0" applyFont="1" applyFill="1" applyBorder="1" applyAlignment="1">
      <alignment wrapText="1"/>
    </xf>
    <xf numFmtId="0" fontId="0" fillId="26" borderId="12" xfId="70" applyFont="1" applyFill="1" applyBorder="1" applyAlignment="1">
      <alignment horizontal="left" wrapText="1"/>
      <protection/>
    </xf>
    <xf numFmtId="0" fontId="0" fillId="26" borderId="12" xfId="0" applyFill="1" applyBorder="1" applyAlignment="1">
      <alignment wrapText="1"/>
    </xf>
    <xf numFmtId="0" fontId="21" fillId="26" borderId="14" xfId="0" applyFont="1" applyFill="1" applyBorder="1" applyAlignment="1">
      <alignment horizontal="center"/>
    </xf>
    <xf numFmtId="171" fontId="21" fillId="26" borderId="14" xfId="0" applyNumberFormat="1" applyFont="1" applyFill="1" applyBorder="1" applyAlignment="1">
      <alignment/>
    </xf>
    <xf numFmtId="0" fontId="0" fillId="26" borderId="14" xfId="0" applyFill="1" applyBorder="1" applyAlignment="1">
      <alignment/>
    </xf>
    <xf numFmtId="0" fontId="0" fillId="26" borderId="0" xfId="0" applyFill="1" applyAlignment="1">
      <alignment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vertical="top" wrapText="1"/>
    </xf>
    <xf numFmtId="171" fontId="0" fillId="26" borderId="11" xfId="0" applyNumberFormat="1" applyFont="1" applyFill="1" applyBorder="1" applyAlignment="1">
      <alignment wrapText="1"/>
    </xf>
    <xf numFmtId="0" fontId="0" fillId="26" borderId="12" xfId="0" applyFont="1" applyFill="1" applyBorder="1" applyAlignment="1">
      <alignment horizontal="left" vertical="top" wrapText="1"/>
    </xf>
    <xf numFmtId="171" fontId="0" fillId="26" borderId="12" xfId="42" applyFont="1" applyFill="1" applyBorder="1" applyAlignment="1">
      <alignment wrapText="1"/>
    </xf>
    <xf numFmtId="0" fontId="21" fillId="26" borderId="12" xfId="0" applyFont="1" applyFill="1" applyBorder="1" applyAlignment="1">
      <alignment wrapText="1"/>
    </xf>
    <xf numFmtId="171" fontId="2" fillId="26" borderId="12" xfId="42" applyFont="1" applyFill="1" applyBorder="1" applyAlignment="1">
      <alignment wrapText="1"/>
    </xf>
    <xf numFmtId="0" fontId="0" fillId="26" borderId="12" xfId="0" applyFont="1" applyFill="1" applyBorder="1" applyAlignment="1">
      <alignment wrapText="1"/>
    </xf>
    <xf numFmtId="0" fontId="0" fillId="26" borderId="12" xfId="0" applyFont="1" applyFill="1" applyBorder="1" applyAlignment="1" quotePrefix="1">
      <alignment wrapText="1"/>
    </xf>
    <xf numFmtId="0" fontId="21" fillId="26" borderId="14" xfId="0" applyFont="1" applyFill="1" applyBorder="1" applyAlignment="1">
      <alignment horizontal="center" vertical="top" wrapText="1"/>
    </xf>
    <xf numFmtId="171" fontId="21" fillId="26" borderId="14" xfId="0" applyNumberFormat="1" applyFont="1" applyFill="1" applyBorder="1" applyAlignment="1">
      <alignment vertical="top" wrapText="1"/>
    </xf>
    <xf numFmtId="0" fontId="0" fillId="26" borderId="14" xfId="0" applyFill="1" applyBorder="1" applyAlignment="1">
      <alignment vertical="top" wrapText="1"/>
    </xf>
    <xf numFmtId="43" fontId="2" fillId="26" borderId="12" xfId="48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171" fontId="0" fillId="26" borderId="11" xfId="42" applyNumberFormat="1" applyFont="1" applyFill="1" applyBorder="1" applyAlignment="1">
      <alignment wrapText="1"/>
    </xf>
    <xf numFmtId="0" fontId="0" fillId="26" borderId="11" xfId="0" applyFont="1" applyFill="1" applyBorder="1" applyAlignment="1" quotePrefix="1">
      <alignment/>
    </xf>
    <xf numFmtId="0" fontId="0" fillId="26" borderId="12" xfId="0" applyFill="1" applyBorder="1" applyAlignment="1">
      <alignment/>
    </xf>
    <xf numFmtId="171" fontId="0" fillId="0" borderId="12" xfId="42" applyNumberFormat="1" applyFont="1" applyBorder="1" applyAlignment="1">
      <alignment wrapText="1"/>
    </xf>
    <xf numFmtId="0" fontId="0" fillId="26" borderId="12" xfId="0" applyFill="1" applyBorder="1" applyAlignment="1">
      <alignment vertical="top"/>
    </xf>
    <xf numFmtId="171" fontId="0" fillId="26" borderId="12" xfId="42" applyFill="1" applyBorder="1" applyAlignment="1">
      <alignment/>
    </xf>
    <xf numFmtId="171" fontId="0" fillId="26" borderId="12" xfId="42" applyFont="1" applyFill="1" applyBorder="1" applyAlignment="1">
      <alignment/>
    </xf>
    <xf numFmtId="0" fontId="0" fillId="26" borderId="11" xfId="0" applyFont="1" applyFill="1" applyBorder="1" applyAlignment="1" quotePrefix="1">
      <alignment vertical="top" wrapText="1"/>
    </xf>
    <xf numFmtId="171" fontId="0" fillId="26" borderId="11" xfId="42" applyFont="1" applyFill="1" applyBorder="1" applyAlignment="1">
      <alignment/>
    </xf>
    <xf numFmtId="0" fontId="0" fillId="26" borderId="12" xfId="0" applyFont="1" applyFill="1" applyBorder="1" applyAlignment="1">
      <alignment/>
    </xf>
    <xf numFmtId="0" fontId="0" fillId="26" borderId="17" xfId="0" applyFill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43" fontId="2" fillId="26" borderId="12" xfId="48" applyFont="1" applyFill="1" applyBorder="1" applyAlignment="1">
      <alignment wrapText="1"/>
    </xf>
    <xf numFmtId="171" fontId="2" fillId="26" borderId="12" xfId="42" applyNumberFormat="1" applyFont="1" applyFill="1" applyBorder="1" applyAlignment="1">
      <alignment wrapText="1"/>
    </xf>
    <xf numFmtId="43" fontId="3" fillId="0" borderId="21" xfId="48" applyFont="1" applyBorder="1" applyAlignment="1">
      <alignment vertical="center" wrapText="1"/>
    </xf>
    <xf numFmtId="43" fontId="3" fillId="0" borderId="21" xfId="48" applyFont="1" applyBorder="1" applyAlignment="1">
      <alignment horizontal="center" vertical="center" wrapText="1"/>
    </xf>
    <xf numFmtId="0" fontId="0" fillId="26" borderId="12" xfId="0" applyFont="1" applyFill="1" applyBorder="1" applyAlignment="1">
      <alignment/>
    </xf>
    <xf numFmtId="181" fontId="16" fillId="0" borderId="0" xfId="42" applyNumberFormat="1" applyFont="1" applyAlignment="1">
      <alignment/>
    </xf>
    <xf numFmtId="187" fontId="2" fillId="0" borderId="0" xfId="48" applyNumberFormat="1" applyFont="1" applyFill="1" applyBorder="1" applyAlignment="1">
      <alignment wrapText="1"/>
    </xf>
    <xf numFmtId="0" fontId="2" fillId="0" borderId="0" xfId="0" applyFont="1" applyAlignment="1" quotePrefix="1">
      <alignment/>
    </xf>
    <xf numFmtId="171" fontId="0" fillId="26" borderId="11" xfId="42" applyFont="1" applyFill="1" applyBorder="1" applyAlignment="1">
      <alignment/>
    </xf>
    <xf numFmtId="171" fontId="0" fillId="26" borderId="12" xfId="42" applyFont="1" applyFill="1" applyBorder="1" applyAlignment="1">
      <alignment/>
    </xf>
    <xf numFmtId="43" fontId="0" fillId="26" borderId="12" xfId="50" applyFont="1" applyFill="1" applyBorder="1" applyAlignment="1">
      <alignment/>
    </xf>
    <xf numFmtId="171" fontId="0" fillId="26" borderId="13" xfId="42" applyFont="1" applyFill="1" applyBorder="1" applyAlignment="1">
      <alignment/>
    </xf>
    <xf numFmtId="0" fontId="0" fillId="26" borderId="12" xfId="69" applyFont="1" applyFill="1" applyBorder="1">
      <alignment/>
      <protection/>
    </xf>
    <xf numFmtId="0" fontId="0" fillId="26" borderId="12" xfId="0" applyFont="1" applyFill="1" applyBorder="1" applyAlignment="1" quotePrefix="1">
      <alignment vertical="center"/>
    </xf>
    <xf numFmtId="0" fontId="0" fillId="26" borderId="12" xfId="69" applyFont="1" applyFill="1" applyBorder="1">
      <alignment/>
      <protection/>
    </xf>
    <xf numFmtId="171" fontId="0" fillId="26" borderId="12" xfId="42" applyFont="1" applyFill="1" applyBorder="1" applyAlignment="1">
      <alignment/>
    </xf>
    <xf numFmtId="43" fontId="0" fillId="26" borderId="12" xfId="48" applyFont="1" applyFill="1" applyBorder="1" applyAlignment="1">
      <alignment horizontal="left" vertical="center"/>
    </xf>
    <xf numFmtId="0" fontId="21" fillId="26" borderId="12" xfId="69" applyFont="1" applyFill="1" applyBorder="1">
      <alignment/>
      <protection/>
    </xf>
    <xf numFmtId="171" fontId="0" fillId="26" borderId="12" xfId="0" applyNumberFormat="1" applyFont="1" applyFill="1" applyBorder="1" applyAlignment="1">
      <alignment/>
    </xf>
    <xf numFmtId="0" fontId="0" fillId="26" borderId="12" xfId="69" applyFont="1" applyFill="1" applyBorder="1" quotePrefix="1">
      <alignment/>
      <protection/>
    </xf>
    <xf numFmtId="43" fontId="21" fillId="26" borderId="11" xfId="48" applyFont="1" applyFill="1" applyBorder="1" applyAlignment="1">
      <alignment vertical="center" wrapText="1"/>
    </xf>
    <xf numFmtId="0" fontId="0" fillId="26" borderId="13" xfId="69" applyFont="1" applyFill="1" applyBorder="1" applyAlignment="1" quotePrefix="1">
      <alignment vertical="center"/>
      <protection/>
    </xf>
    <xf numFmtId="0" fontId="21" fillId="26" borderId="14" xfId="69" applyFont="1" applyFill="1" applyBorder="1" applyAlignment="1">
      <alignment horizontal="center"/>
      <protection/>
    </xf>
    <xf numFmtId="0" fontId="21" fillId="26" borderId="14" xfId="69" applyFont="1" applyFill="1" applyBorder="1">
      <alignment/>
      <protection/>
    </xf>
    <xf numFmtId="43" fontId="2" fillId="26" borderId="12" xfId="48" applyFont="1" applyFill="1" applyBorder="1" applyAlignment="1">
      <alignment horizontal="center" vertical="center" wrapText="1"/>
    </xf>
    <xf numFmtId="43" fontId="3" fillId="0" borderId="21" xfId="48" applyFont="1" applyBorder="1" applyAlignment="1">
      <alignment horizontal="center" wrapText="1"/>
    </xf>
    <xf numFmtId="43" fontId="3" fillId="0" borderId="21" xfId="48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26" borderId="12" xfId="0" applyFill="1" applyBorder="1" applyAlignment="1">
      <alignment vertical="center" wrapText="1"/>
    </xf>
    <xf numFmtId="43" fontId="3" fillId="0" borderId="14" xfId="48" applyFont="1" applyBorder="1" applyAlignment="1">
      <alignment horizontal="center" vertical="center" wrapText="1"/>
    </xf>
    <xf numFmtId="171" fontId="16" fillId="0" borderId="0" xfId="42" applyFont="1" applyAlignment="1">
      <alignment/>
    </xf>
    <xf numFmtId="0" fontId="22" fillId="0" borderId="11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21" fillId="0" borderId="12" xfId="0" applyFont="1" applyBorder="1" applyAlignment="1" quotePrefix="1">
      <alignment horizontal="left" vertical="top" wrapText="1"/>
    </xf>
    <xf numFmtId="0" fontId="0" fillId="0" borderId="12" xfId="0" applyFont="1" applyBorder="1" applyAlignment="1" quotePrefix="1">
      <alignment wrapText="1"/>
    </xf>
    <xf numFmtId="171" fontId="0" fillId="26" borderId="11" xfId="42" applyFont="1" applyFill="1" applyBorder="1" applyAlignment="1">
      <alignment/>
    </xf>
    <xf numFmtId="171" fontId="0" fillId="0" borderId="15" xfId="42" applyNumberFormat="1" applyFont="1" applyBorder="1" applyAlignment="1">
      <alignment/>
    </xf>
    <xf numFmtId="0" fontId="0" fillId="0" borderId="15" xfId="0" applyFont="1" applyBorder="1" applyAlignment="1" quotePrefix="1">
      <alignment/>
    </xf>
    <xf numFmtId="181" fontId="0" fillId="0" borderId="12" xfId="42" applyNumberFormat="1" applyFont="1" applyBorder="1" applyAlignment="1">
      <alignment vertical="top"/>
    </xf>
    <xf numFmtId="171" fontId="0" fillId="0" borderId="12" xfId="42" applyNumberFormat="1" applyFont="1" applyBorder="1" applyAlignment="1">
      <alignment vertical="top"/>
    </xf>
    <xf numFmtId="171" fontId="0" fillId="0" borderId="12" xfId="42" applyNumberFormat="1" applyFont="1" applyBorder="1" applyAlignment="1">
      <alignment/>
    </xf>
    <xf numFmtId="0" fontId="0" fillId="0" borderId="12" xfId="0" applyFont="1" applyBorder="1" applyAlignment="1" quotePrefix="1">
      <alignment/>
    </xf>
    <xf numFmtId="0" fontId="21" fillId="0" borderId="2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171" fontId="0" fillId="26" borderId="0" xfId="42" applyNumberFormat="1" applyFill="1" applyBorder="1" applyAlignment="1">
      <alignment/>
    </xf>
    <xf numFmtId="43" fontId="2" fillId="26" borderId="12" xfId="48" applyFont="1" applyFill="1" applyBorder="1" applyAlignment="1" quotePrefix="1">
      <alignment vertical="center" wrapText="1"/>
    </xf>
    <xf numFmtId="43" fontId="2" fillId="26" borderId="12" xfId="48" applyFont="1" applyFill="1" applyBorder="1" applyAlignment="1">
      <alignment horizontal="left" vertical="center" wrapText="1"/>
    </xf>
    <xf numFmtId="43" fontId="2" fillId="26" borderId="11" xfId="48" applyFont="1" applyFill="1" applyBorder="1" applyAlignment="1">
      <alignment wrapText="1"/>
    </xf>
    <xf numFmtId="0" fontId="0" fillId="0" borderId="11" xfId="0" applyFont="1" applyBorder="1" applyAlignment="1" quotePrefix="1">
      <alignment vertical="top" wrapText="1"/>
    </xf>
    <xf numFmtId="0" fontId="0" fillId="0" borderId="15" xfId="0" applyFont="1" applyBorder="1" applyAlignment="1" quotePrefix="1">
      <alignment vertical="top" wrapText="1"/>
    </xf>
    <xf numFmtId="181" fontId="0" fillId="26" borderId="10" xfId="42" applyNumberFormat="1" applyFont="1" applyFill="1" applyBorder="1" applyAlignment="1">
      <alignment vertical="top"/>
    </xf>
    <xf numFmtId="0" fontId="0" fillId="26" borderId="12" xfId="69" applyFont="1" applyFill="1" applyBorder="1" applyAlignment="1">
      <alignment horizontal="left"/>
      <protection/>
    </xf>
    <xf numFmtId="0" fontId="0" fillId="26" borderId="12" xfId="0" applyFont="1" applyFill="1" applyBorder="1" applyAlignment="1" quotePrefix="1">
      <alignment vertical="center"/>
    </xf>
    <xf numFmtId="171" fontId="21" fillId="26" borderId="14" xfId="69" applyNumberFormat="1" applyFont="1" applyFill="1" applyBorder="1" applyAlignment="1">
      <alignment horizontal="center"/>
      <protection/>
    </xf>
    <xf numFmtId="0" fontId="16" fillId="0" borderId="0" xfId="69" applyFont="1">
      <alignment/>
      <protection/>
    </xf>
    <xf numFmtId="0" fontId="21" fillId="26" borderId="12" xfId="69" applyFont="1" applyFill="1" applyBorder="1" applyAlignment="1" quotePrefix="1">
      <alignment wrapText="1"/>
      <protection/>
    </xf>
    <xf numFmtId="0" fontId="0" fillId="0" borderId="15" xfId="69" applyFont="1" applyFill="1" applyBorder="1" applyAlignment="1" quotePrefix="1">
      <alignment vertical="center"/>
      <protection/>
    </xf>
    <xf numFmtId="0" fontId="21" fillId="0" borderId="13" xfId="0" applyFont="1" applyBorder="1" applyAlignment="1" quotePrefix="1">
      <alignment wrapText="1"/>
    </xf>
    <xf numFmtId="0" fontId="21" fillId="0" borderId="12" xfId="69" applyFont="1" applyFill="1" applyBorder="1" applyAlignment="1" quotePrefix="1">
      <alignment/>
      <protection/>
    </xf>
    <xf numFmtId="171" fontId="0" fillId="0" borderId="13" xfId="42" applyFont="1" applyFill="1" applyBorder="1" applyAlignment="1">
      <alignment/>
    </xf>
    <xf numFmtId="0" fontId="0" fillId="0" borderId="13" xfId="69" applyFont="1" applyFill="1" applyBorder="1" applyAlignment="1" quotePrefix="1">
      <alignment vertical="center"/>
      <protection/>
    </xf>
    <xf numFmtId="0" fontId="0" fillId="0" borderId="24" xfId="0" applyFont="1" applyBorder="1" applyAlignment="1">
      <alignment wrapText="1"/>
    </xf>
    <xf numFmtId="171" fontId="21" fillId="0" borderId="14" xfId="42" applyNumberFormat="1" applyFont="1" applyBorder="1" applyAlignment="1">
      <alignment wrapText="1"/>
    </xf>
    <xf numFmtId="43" fontId="16" fillId="0" borderId="0" xfId="69" applyNumberFormat="1" applyFont="1">
      <alignment/>
      <protection/>
    </xf>
    <xf numFmtId="0" fontId="21" fillId="26" borderId="15" xfId="0" applyFont="1" applyFill="1" applyBorder="1" applyAlignment="1">
      <alignment horizontal="center"/>
    </xf>
    <xf numFmtId="0" fontId="0" fillId="26" borderId="24" xfId="0" applyFont="1" applyFill="1" applyBorder="1" applyAlignment="1">
      <alignment/>
    </xf>
    <xf numFmtId="171" fontId="0" fillId="0" borderId="12" xfId="42" applyFont="1" applyBorder="1" applyAlignment="1">
      <alignment/>
    </xf>
    <xf numFmtId="0" fontId="0" fillId="26" borderId="15" xfId="69" applyFont="1" applyFill="1" applyBorder="1">
      <alignment/>
      <protection/>
    </xf>
    <xf numFmtId="171" fontId="0" fillId="26" borderId="15" xfId="42" applyFont="1" applyFill="1" applyBorder="1" applyAlignment="1">
      <alignment/>
    </xf>
    <xf numFmtId="0" fontId="0" fillId="0" borderId="11" xfId="0" applyFont="1" applyBorder="1" applyAlignment="1">
      <alignment wrapText="1"/>
    </xf>
    <xf numFmtId="171" fontId="0" fillId="26" borderId="25" xfId="42" applyFont="1" applyFill="1" applyBorder="1" applyAlignment="1">
      <alignment/>
    </xf>
    <xf numFmtId="43" fontId="2" fillId="0" borderId="23" xfId="48" applyFont="1" applyFill="1" applyBorder="1" applyAlignment="1">
      <alignment vertical="center" wrapText="1"/>
    </xf>
    <xf numFmtId="43" fontId="2" fillId="0" borderId="26" xfId="48" applyFont="1" applyFill="1" applyBorder="1" applyAlignment="1">
      <alignment vertical="center" wrapText="1"/>
    </xf>
    <xf numFmtId="0" fontId="0" fillId="0" borderId="26" xfId="42" applyNumberFormat="1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left" vertical="top"/>
    </xf>
    <xf numFmtId="0" fontId="0" fillId="0" borderId="14" xfId="0" applyFont="1" applyBorder="1" applyAlignment="1" quotePrefix="1">
      <alignment wrapText="1"/>
    </xf>
    <xf numFmtId="0" fontId="0" fillId="0" borderId="12" xfId="0" applyFont="1" applyBorder="1" applyAlignment="1">
      <alignment horizontal="center"/>
    </xf>
    <xf numFmtId="0" fontId="0" fillId="26" borderId="11" xfId="0" applyFont="1" applyFill="1" applyBorder="1" applyAlignment="1">
      <alignment horizontal="left"/>
    </xf>
    <xf numFmtId="171" fontId="0" fillId="26" borderId="11" xfId="42" applyFont="1" applyFill="1" applyBorder="1" applyAlignment="1">
      <alignment vertical="top" wrapText="1"/>
    </xf>
    <xf numFmtId="0" fontId="0" fillId="26" borderId="11" xfId="0" applyFill="1" applyBorder="1" applyAlignment="1">
      <alignment vertical="top" wrapText="1"/>
    </xf>
    <xf numFmtId="43" fontId="0" fillId="26" borderId="0" xfId="0" applyNumberFormat="1" applyFill="1" applyAlignment="1">
      <alignment/>
    </xf>
    <xf numFmtId="171" fontId="0" fillId="26" borderId="11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171" fontId="0" fillId="26" borderId="12" xfId="42" applyNumberFormat="1" applyFont="1" applyFill="1" applyBorder="1" applyAlignment="1">
      <alignment/>
    </xf>
    <xf numFmtId="43" fontId="2" fillId="0" borderId="12" xfId="48" applyFont="1" applyFill="1" applyBorder="1" applyAlignment="1">
      <alignment horizontal="left" vertical="center" wrapText="1"/>
    </xf>
    <xf numFmtId="171" fontId="2" fillId="0" borderId="12" xfId="0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43" fontId="2" fillId="0" borderId="12" xfId="48" applyFont="1" applyFill="1" applyBorder="1" applyAlignment="1">
      <alignment wrapText="1"/>
    </xf>
    <xf numFmtId="43" fontId="3" fillId="0" borderId="11" xfId="48" applyFont="1" applyFill="1" applyBorder="1" applyAlignment="1">
      <alignment wrapText="1"/>
    </xf>
    <xf numFmtId="43" fontId="3" fillId="0" borderId="12" xfId="48" applyFont="1" applyFill="1" applyBorder="1" applyAlignment="1">
      <alignment wrapText="1"/>
    </xf>
    <xf numFmtId="43" fontId="2" fillId="0" borderId="12" xfId="48" applyFont="1" applyFill="1" applyBorder="1" applyAlignment="1">
      <alignment vertical="center" wrapText="1"/>
    </xf>
    <xf numFmtId="43" fontId="2" fillId="0" borderId="11" xfId="48" applyFont="1" applyFill="1" applyBorder="1" applyAlignment="1">
      <alignment vertical="center" wrapText="1"/>
    </xf>
    <xf numFmtId="171" fontId="2" fillId="0" borderId="0" xfId="0" applyNumberFormat="1" applyFont="1" applyFill="1" applyAlignment="1">
      <alignment vertical="top" wrapText="1"/>
    </xf>
    <xf numFmtId="43" fontId="2" fillId="0" borderId="15" xfId="48" applyFont="1" applyFill="1" applyBorder="1" applyAlignment="1">
      <alignment wrapText="1"/>
    </xf>
    <xf numFmtId="43" fontId="2" fillId="0" borderId="13" xfId="48" applyFont="1" applyFill="1" applyBorder="1" applyAlignment="1">
      <alignment wrapText="1"/>
    </xf>
    <xf numFmtId="171" fontId="2" fillId="0" borderId="12" xfId="0" applyNumberFormat="1" applyFont="1" applyFill="1" applyBorder="1" applyAlignment="1">
      <alignment vertical="top"/>
    </xf>
    <xf numFmtId="171" fontId="2" fillId="0" borderId="27" xfId="42" applyFont="1" applyFill="1" applyBorder="1" applyAlignment="1">
      <alignment/>
    </xf>
    <xf numFmtId="171" fontId="2" fillId="0" borderId="28" xfId="42" applyFont="1" applyFill="1" applyBorder="1" applyAlignment="1">
      <alignment/>
    </xf>
    <xf numFmtId="43" fontId="2" fillId="0" borderId="28" xfId="48" applyFont="1" applyFill="1" applyBorder="1" applyAlignment="1">
      <alignment wrapText="1"/>
    </xf>
    <xf numFmtId="43" fontId="2" fillId="0" borderId="11" xfId="48" applyFont="1" applyFill="1" applyBorder="1" applyAlignment="1">
      <alignment wrapText="1"/>
    </xf>
    <xf numFmtId="43" fontId="3" fillId="26" borderId="12" xfId="48" applyFont="1" applyFill="1" applyBorder="1" applyAlignment="1">
      <alignment wrapText="1"/>
    </xf>
    <xf numFmtId="0" fontId="0" fillId="26" borderId="11" xfId="0" applyFont="1" applyFill="1" applyBorder="1" applyAlignment="1" quotePrefix="1">
      <alignment wrapText="1"/>
    </xf>
    <xf numFmtId="171" fontId="0" fillId="26" borderId="12" xfId="42" applyNumberFormat="1" applyFont="1" applyFill="1" applyBorder="1" applyAlignment="1" quotePrefix="1">
      <alignment horizontal="left" vertical="top" wrapText="1"/>
    </xf>
    <xf numFmtId="43" fontId="0" fillId="26" borderId="12" xfId="50" applyFont="1" applyFill="1" applyBorder="1" applyAlignment="1">
      <alignment/>
    </xf>
    <xf numFmtId="171" fontId="0" fillId="26" borderId="11" xfId="42" applyFont="1" applyFill="1" applyBorder="1" applyAlignment="1">
      <alignment wrapText="1"/>
    </xf>
    <xf numFmtId="171" fontId="50" fillId="26" borderId="12" xfId="42" applyFont="1" applyFill="1" applyBorder="1" applyAlignment="1">
      <alignment/>
    </xf>
    <xf numFmtId="171" fontId="0" fillId="0" borderId="11" xfId="42" applyFont="1" applyFill="1" applyBorder="1" applyAlignment="1">
      <alignment/>
    </xf>
    <xf numFmtId="171" fontId="21" fillId="0" borderId="14" xfId="42" applyFont="1" applyBorder="1" applyAlignment="1" quotePrefix="1">
      <alignment wrapText="1"/>
    </xf>
    <xf numFmtId="43" fontId="0" fillId="0" borderId="0" xfId="0" applyNumberFormat="1" applyBorder="1" applyAlignment="1">
      <alignment/>
    </xf>
    <xf numFmtId="0" fontId="21" fillId="0" borderId="22" xfId="0" applyFont="1" applyBorder="1" applyAlignment="1">
      <alignment horizontal="center" vertical="center"/>
    </xf>
    <xf numFmtId="171" fontId="0" fillId="0" borderId="0" xfId="0" applyNumberFormat="1" applyFont="1" applyAlignment="1">
      <alignment vertical="top" wrapText="1"/>
    </xf>
    <xf numFmtId="0" fontId="0" fillId="26" borderId="17" xfId="0" applyFill="1" applyBorder="1" applyAlignment="1">
      <alignment horizontal="left" wrapText="1"/>
    </xf>
    <xf numFmtId="171" fontId="0" fillId="26" borderId="12" xfId="42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171" fontId="0" fillId="26" borderId="12" xfId="42" applyNumberFormat="1" applyFont="1" applyFill="1" applyBorder="1" applyAlignment="1">
      <alignment/>
    </xf>
    <xf numFmtId="171" fontId="0" fillId="0" borderId="0" xfId="42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left" vertical="top"/>
    </xf>
    <xf numFmtId="0" fontId="0" fillId="26" borderId="12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26" borderId="12" xfId="0" applyFont="1" applyFill="1" applyBorder="1" applyAlignment="1" quotePrefix="1">
      <alignment vertical="top" wrapText="1"/>
    </xf>
    <xf numFmtId="171" fontId="0" fillId="0" borderId="29" xfId="42" applyFont="1" applyBorder="1" applyAlignment="1">
      <alignment/>
    </xf>
    <xf numFmtId="171" fontId="0" fillId="0" borderId="30" xfId="42" applyFont="1" applyBorder="1" applyAlignment="1">
      <alignment/>
    </xf>
    <xf numFmtId="171" fontId="0" fillId="0" borderId="31" xfId="42" applyFont="1" applyBorder="1" applyAlignment="1">
      <alignment/>
    </xf>
    <xf numFmtId="171" fontId="0" fillId="0" borderId="32" xfId="42" applyFont="1" applyBorder="1" applyAlignment="1">
      <alignment/>
    </xf>
    <xf numFmtId="171" fontId="0" fillId="0" borderId="33" xfId="0" applyNumberFormat="1" applyBorder="1" applyAlignment="1">
      <alignment/>
    </xf>
    <xf numFmtId="0" fontId="0" fillId="0" borderId="0" xfId="66">
      <alignment/>
      <protection/>
    </xf>
    <xf numFmtId="0" fontId="21" fillId="0" borderId="10" xfId="66" applyFont="1" applyBorder="1" applyAlignment="1" quotePrefix="1">
      <alignment horizontal="left" vertical="top"/>
      <protection/>
    </xf>
    <xf numFmtId="0" fontId="0" fillId="0" borderId="10" xfId="66" applyBorder="1" applyAlignment="1" quotePrefix="1">
      <alignment vertical="center"/>
      <protection/>
    </xf>
    <xf numFmtId="0" fontId="0" fillId="0" borderId="10" xfId="66" applyBorder="1">
      <alignment/>
      <protection/>
    </xf>
    <xf numFmtId="0" fontId="0" fillId="26" borderId="11" xfId="66" applyFont="1" applyFill="1" applyBorder="1" applyAlignment="1">
      <alignment wrapText="1"/>
      <protection/>
    </xf>
    <xf numFmtId="0" fontId="0" fillId="26" borderId="12" xfId="66" applyFont="1" applyFill="1" applyBorder="1" applyAlignment="1">
      <alignment wrapText="1"/>
      <protection/>
    </xf>
    <xf numFmtId="0" fontId="21" fillId="26" borderId="12" xfId="66" applyFont="1" applyFill="1" applyBorder="1">
      <alignment/>
      <protection/>
    </xf>
    <xf numFmtId="171" fontId="22" fillId="26" borderId="11" xfId="66" applyNumberFormat="1" applyFont="1" applyFill="1" applyBorder="1" applyAlignment="1">
      <alignment/>
      <protection/>
    </xf>
    <xf numFmtId="0" fontId="0" fillId="26" borderId="12" xfId="66" applyFill="1" applyBorder="1" applyAlignment="1">
      <alignment/>
      <protection/>
    </xf>
    <xf numFmtId="0" fontId="0" fillId="0" borderId="12" xfId="66" applyBorder="1" applyAlignment="1">
      <alignment/>
      <protection/>
    </xf>
    <xf numFmtId="0" fontId="0" fillId="26" borderId="12" xfId="66" applyFont="1" applyFill="1" applyBorder="1" applyAlignment="1">
      <alignment/>
      <protection/>
    </xf>
    <xf numFmtId="0" fontId="21" fillId="0" borderId="14" xfId="66" applyFont="1" applyBorder="1" applyAlignment="1">
      <alignment horizontal="center" vertical="top"/>
      <protection/>
    </xf>
    <xf numFmtId="0" fontId="0" fillId="0" borderId="14" xfId="66" applyBorder="1">
      <alignment/>
      <protection/>
    </xf>
    <xf numFmtId="171" fontId="0" fillId="0" borderId="0" xfId="66" applyNumberFormat="1">
      <alignment/>
      <protection/>
    </xf>
    <xf numFmtId="43" fontId="0" fillId="0" borderId="0" xfId="66" applyNumberFormat="1">
      <alignment/>
      <protection/>
    </xf>
    <xf numFmtId="14" fontId="0" fillId="0" borderId="0" xfId="66" applyNumberFormat="1" quotePrefix="1">
      <alignment/>
      <protection/>
    </xf>
    <xf numFmtId="0" fontId="0" fillId="0" borderId="0" xfId="66" applyFill="1">
      <alignment/>
      <protection/>
    </xf>
    <xf numFmtId="0" fontId="0" fillId="0" borderId="10" xfId="0" applyFont="1" applyBorder="1" applyAlignment="1" quotePrefix="1">
      <alignment wrapText="1"/>
    </xf>
    <xf numFmtId="0" fontId="0" fillId="0" borderId="10" xfId="0" applyFont="1" applyBorder="1" applyAlignment="1" quotePrefix="1">
      <alignment vertical="center"/>
    </xf>
    <xf numFmtId="181" fontId="0" fillId="0" borderId="11" xfId="42" applyNumberFormat="1" applyFont="1" applyBorder="1" applyAlignment="1">
      <alignment/>
    </xf>
    <xf numFmtId="171" fontId="0" fillId="0" borderId="12" xfId="42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6" borderId="15" xfId="0" applyFont="1" applyFill="1" applyBorder="1" applyAlignment="1" quotePrefix="1">
      <alignment vertical="top" wrapText="1"/>
    </xf>
    <xf numFmtId="171" fontId="0" fillId="26" borderId="15" xfId="42" applyFont="1" applyFill="1" applyBorder="1" applyAlignment="1">
      <alignment/>
    </xf>
    <xf numFmtId="0" fontId="0" fillId="26" borderId="15" xfId="0" applyFont="1" applyFill="1" applyBorder="1" applyAlignment="1">
      <alignment/>
    </xf>
    <xf numFmtId="171" fontId="0" fillId="26" borderId="15" xfId="42" applyFont="1" applyFill="1" applyBorder="1" applyAlignment="1">
      <alignment/>
    </xf>
    <xf numFmtId="171" fontId="0" fillId="26" borderId="15" xfId="42" applyNumberFormat="1" applyFont="1" applyFill="1" applyBorder="1" applyAlignment="1">
      <alignment/>
    </xf>
    <xf numFmtId="0" fontId="0" fillId="26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Border="1" applyAlignment="1" quotePrefix="1">
      <alignment vertical="center" wrapText="1"/>
    </xf>
    <xf numFmtId="43" fontId="0" fillId="0" borderId="11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171" fontId="0" fillId="26" borderId="12" xfId="42" applyNumberFormat="1" applyFont="1" applyFill="1" applyBorder="1" applyAlignment="1">
      <alignment/>
    </xf>
    <xf numFmtId="0" fontId="0" fillId="26" borderId="12" xfId="0" applyFont="1" applyFill="1" applyBorder="1" applyAlignment="1">
      <alignment horizontal="left"/>
    </xf>
    <xf numFmtId="43" fontId="0" fillId="0" borderId="0" xfId="0" applyNumberFormat="1" applyAlignment="1">
      <alignment vertical="top"/>
    </xf>
    <xf numFmtId="0" fontId="0" fillId="26" borderId="11" xfId="0" applyFont="1" applyFill="1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Font="1" applyFill="1" applyBorder="1" applyAlignment="1">
      <alignment vertical="center" wrapText="1"/>
    </xf>
    <xf numFmtId="171" fontId="0" fillId="0" borderId="15" xfId="42" applyNumberFormat="1" applyFont="1" applyBorder="1" applyAlignment="1">
      <alignment wrapText="1"/>
    </xf>
    <xf numFmtId="171" fontId="0" fillId="0" borderId="12" xfId="42" applyNumberFormat="1" applyFont="1" applyBorder="1" applyAlignment="1" quotePrefix="1">
      <alignment wrapText="1"/>
    </xf>
    <xf numFmtId="171" fontId="0" fillId="26" borderId="12" xfId="42" applyFont="1" applyFill="1" applyBorder="1" applyAlignment="1">
      <alignment vertical="top" wrapText="1"/>
    </xf>
    <xf numFmtId="0" fontId="0" fillId="26" borderId="12" xfId="0" applyFill="1" applyBorder="1" applyAlignment="1">
      <alignment vertical="top" wrapText="1"/>
    </xf>
    <xf numFmtId="0" fontId="0" fillId="26" borderId="11" xfId="0" applyFont="1" applyFill="1" applyBorder="1" applyAlignment="1">
      <alignment vertical="top" wrapText="1"/>
    </xf>
    <xf numFmtId="171" fontId="0" fillId="26" borderId="12" xfId="42" applyNumberFormat="1" applyFont="1" applyFill="1" applyBorder="1" applyAlignment="1" quotePrefix="1">
      <alignment wrapText="1"/>
    </xf>
    <xf numFmtId="171" fontId="51" fillId="26" borderId="12" xfId="42" applyFont="1" applyFill="1" applyBorder="1" applyAlignment="1">
      <alignment/>
    </xf>
    <xf numFmtId="171" fontId="0" fillId="26" borderId="12" xfId="0" applyNumberFormat="1" applyFill="1" applyBorder="1" applyAlignment="1">
      <alignment/>
    </xf>
    <xf numFmtId="0" fontId="0" fillId="26" borderId="12" xfId="48" applyNumberFormat="1" applyFont="1" applyFill="1" applyBorder="1" applyAlignment="1">
      <alignment horizontal="left" vertical="center"/>
    </xf>
    <xf numFmtId="0" fontId="0" fillId="26" borderId="13" xfId="69" applyFont="1" applyFill="1" applyBorder="1">
      <alignment/>
      <protection/>
    </xf>
    <xf numFmtId="0" fontId="0" fillId="26" borderId="12" xfId="69" applyFont="1" applyFill="1" applyBorder="1" applyAlignment="1">
      <alignment horizontal="left" wrapText="1"/>
      <protection/>
    </xf>
    <xf numFmtId="171" fontId="0" fillId="26" borderId="11" xfId="42" applyFont="1" applyFill="1" applyBorder="1" applyAlignment="1">
      <alignment/>
    </xf>
    <xf numFmtId="181" fontId="0" fillId="0" borderId="15" xfId="42" applyNumberFormat="1" applyFont="1" applyBorder="1" applyAlignment="1">
      <alignment vertical="top"/>
    </xf>
    <xf numFmtId="171" fontId="0" fillId="0" borderId="15" xfId="42" applyFont="1" applyBorder="1" applyAlignment="1">
      <alignment/>
    </xf>
    <xf numFmtId="171" fontId="0" fillId="0" borderId="15" xfId="42" applyNumberFormat="1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 quotePrefix="1">
      <alignment vertical="top" wrapText="1"/>
    </xf>
    <xf numFmtId="171" fontId="0" fillId="0" borderId="12" xfId="42" applyNumberFormat="1" applyFont="1" applyBorder="1" applyAlignment="1">
      <alignment wrapText="1"/>
    </xf>
    <xf numFmtId="171" fontId="0" fillId="0" borderId="11" xfId="42" applyFont="1" applyBorder="1" applyAlignment="1">
      <alignment wrapText="1"/>
    </xf>
    <xf numFmtId="171" fontId="0" fillId="0" borderId="11" xfId="42" applyNumberFormat="1" applyFont="1" applyBorder="1" applyAlignment="1" quotePrefix="1">
      <alignment wrapText="1"/>
    </xf>
    <xf numFmtId="181" fontId="0" fillId="26" borderId="19" xfId="42" applyNumberFormat="1" applyFont="1" applyFill="1" applyBorder="1" applyAlignment="1">
      <alignment wrapText="1"/>
    </xf>
    <xf numFmtId="171" fontId="0" fillId="26" borderId="19" xfId="42" applyNumberFormat="1" applyFont="1" applyFill="1" applyBorder="1" applyAlignment="1">
      <alignment wrapText="1"/>
    </xf>
    <xf numFmtId="171" fontId="0" fillId="26" borderId="12" xfId="42" applyNumberFormat="1" applyFont="1" applyFill="1" applyBorder="1" applyAlignment="1">
      <alignment wrapText="1"/>
    </xf>
    <xf numFmtId="181" fontId="0" fillId="26" borderId="12" xfId="42" applyNumberFormat="1" applyFont="1" applyFill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26" borderId="11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5" xfId="0" applyFill="1" applyBorder="1" applyAlignment="1">
      <alignment vertical="top"/>
    </xf>
    <xf numFmtId="171" fontId="0" fillId="26" borderId="15" xfId="42" applyFont="1" applyFill="1" applyBorder="1" applyAlignment="1">
      <alignment/>
    </xf>
    <xf numFmtId="171" fontId="0" fillId="26" borderId="15" xfId="42" applyFill="1" applyBorder="1" applyAlignment="1">
      <alignment/>
    </xf>
    <xf numFmtId="0" fontId="0" fillId="26" borderId="15" xfId="0" applyFill="1" applyBorder="1" applyAlignment="1">
      <alignment wrapText="1"/>
    </xf>
    <xf numFmtId="0" fontId="0" fillId="26" borderId="15" xfId="0" applyFill="1" applyBorder="1" applyAlignment="1">
      <alignment horizontal="left"/>
    </xf>
    <xf numFmtId="0" fontId="0" fillId="26" borderId="12" xfId="0" applyFill="1" applyBorder="1" applyAlignment="1">
      <alignment horizontal="left"/>
    </xf>
    <xf numFmtId="0" fontId="0" fillId="0" borderId="0" xfId="0" applyFont="1" applyAlignment="1">
      <alignment vertical="top"/>
    </xf>
    <xf numFmtId="0" fontId="21" fillId="0" borderId="15" xfId="0" applyFont="1" applyBorder="1" applyAlignment="1" quotePrefix="1">
      <alignment horizontal="left" vertical="top" wrapText="1"/>
    </xf>
    <xf numFmtId="0" fontId="0" fillId="0" borderId="12" xfId="0" applyFont="1" applyBorder="1" applyAlignment="1" quotePrefix="1">
      <alignment horizontal="left" wrapText="1"/>
    </xf>
    <xf numFmtId="0" fontId="0" fillId="26" borderId="12" xfId="69" applyFont="1" applyFill="1" applyBorder="1" applyAlignment="1" quotePrefix="1">
      <alignment wrapText="1"/>
      <protection/>
    </xf>
    <xf numFmtId="171" fontId="0" fillId="26" borderId="11" xfId="42" applyNumberFormat="1" applyFont="1" applyFill="1" applyBorder="1" applyAlignment="1">
      <alignment vertical="top"/>
    </xf>
    <xf numFmtId="0" fontId="0" fillId="0" borderId="13" xfId="0" applyFont="1" applyBorder="1" applyAlignment="1" quotePrefix="1">
      <alignment wrapText="1"/>
    </xf>
    <xf numFmtId="181" fontId="0" fillId="0" borderId="12" xfId="42" applyNumberFormat="1" applyFont="1" applyBorder="1" applyAlignment="1">
      <alignment/>
    </xf>
    <xf numFmtId="171" fontId="0" fillId="0" borderId="25" xfId="42" applyNumberFormat="1" applyFont="1" applyBorder="1" applyAlignment="1" quotePrefix="1">
      <alignment wrapText="1"/>
    </xf>
    <xf numFmtId="171" fontId="2" fillId="0" borderId="0" xfId="0" applyNumberFormat="1" applyFont="1" applyAlignment="1">
      <alignment/>
    </xf>
    <xf numFmtId="0" fontId="0" fillId="26" borderId="13" xfId="66" applyFont="1" applyFill="1" applyBorder="1" applyAlignment="1">
      <alignment vertical="top" wrapText="1"/>
      <protection/>
    </xf>
    <xf numFmtId="0" fontId="0" fillId="26" borderId="13" xfId="66" applyFill="1" applyBorder="1" applyAlignment="1">
      <alignment/>
      <protection/>
    </xf>
    <xf numFmtId="0" fontId="0" fillId="26" borderId="34" xfId="66" applyFont="1" applyFill="1" applyBorder="1" applyAlignment="1">
      <alignment wrapText="1"/>
      <protection/>
    </xf>
    <xf numFmtId="0" fontId="0" fillId="26" borderId="12" xfId="0" applyFill="1" applyBorder="1" applyAlignment="1">
      <alignment/>
    </xf>
    <xf numFmtId="171" fontId="21" fillId="26" borderId="14" xfId="0" applyNumberFormat="1" applyFont="1" applyFill="1" applyBorder="1" applyAlignment="1" quotePrefix="1">
      <alignment horizontal="left" vertical="top"/>
    </xf>
    <xf numFmtId="171" fontId="0" fillId="26" borderId="14" xfId="0" applyNumberFormat="1" applyFill="1" applyBorder="1" applyAlignment="1">
      <alignment/>
    </xf>
    <xf numFmtId="0" fontId="2" fillId="26" borderId="13" xfId="0" applyFont="1" applyFill="1" applyBorder="1" applyAlignment="1">
      <alignment/>
    </xf>
    <xf numFmtId="171" fontId="0" fillId="0" borderId="0" xfId="0" applyNumberFormat="1" applyAlignment="1">
      <alignment vertical="top"/>
    </xf>
    <xf numFmtId="171" fontId="52" fillId="0" borderId="11" xfId="42" applyNumberFormat="1" applyFont="1" applyBorder="1" applyAlignment="1">
      <alignment wrapText="1"/>
    </xf>
    <xf numFmtId="171" fontId="0" fillId="0" borderId="0" xfId="42" applyFont="1" applyBorder="1" applyAlignment="1">
      <alignment/>
    </xf>
    <xf numFmtId="171" fontId="0" fillId="26" borderId="11" xfId="42" applyFill="1" applyBorder="1" applyAlignment="1">
      <alignment/>
    </xf>
    <xf numFmtId="0" fontId="21" fillId="26" borderId="10" xfId="0" applyFont="1" applyFill="1" applyBorder="1" applyAlignment="1">
      <alignment horizontal="left" vertical="top" wrapText="1"/>
    </xf>
    <xf numFmtId="171" fontId="0" fillId="26" borderId="10" xfId="42" applyFont="1" applyFill="1" applyBorder="1" applyAlignment="1">
      <alignment vertical="top" wrapText="1"/>
    </xf>
    <xf numFmtId="171" fontId="0" fillId="26" borderId="10" xfId="42" applyNumberFormat="1" applyFont="1" applyFill="1" applyBorder="1" applyAlignment="1">
      <alignment vertical="top" wrapText="1"/>
    </xf>
    <xf numFmtId="0" fontId="0" fillId="26" borderId="10" xfId="0" applyFill="1" applyBorder="1" applyAlignment="1" quotePrefix="1">
      <alignment vertical="top" wrapText="1"/>
    </xf>
    <xf numFmtId="0" fontId="0" fillId="26" borderId="10" xfId="0" applyFill="1" applyBorder="1" applyAlignment="1">
      <alignment vertical="top" wrapText="1"/>
    </xf>
    <xf numFmtId="171" fontId="0" fillId="26" borderId="11" xfId="42" applyNumberFormat="1" applyFont="1" applyFill="1" applyBorder="1" applyAlignment="1">
      <alignment vertical="top" wrapText="1"/>
    </xf>
    <xf numFmtId="0" fontId="0" fillId="26" borderId="11" xfId="0" applyFill="1" applyBorder="1" applyAlignment="1" quotePrefix="1">
      <alignment vertical="top" wrapText="1"/>
    </xf>
    <xf numFmtId="171" fontId="2" fillId="0" borderId="12" xfId="42" applyFont="1" applyBorder="1" applyAlignment="1">
      <alignment vertical="top" wrapText="1"/>
    </xf>
    <xf numFmtId="171" fontId="0" fillId="26" borderId="13" xfId="42" applyFont="1" applyFill="1" applyBorder="1" applyAlignment="1">
      <alignment wrapText="1"/>
    </xf>
    <xf numFmtId="171" fontId="0" fillId="26" borderId="25" xfId="42" applyFont="1" applyFill="1" applyBorder="1" applyAlignment="1">
      <alignment/>
    </xf>
    <xf numFmtId="171" fontId="0" fillId="26" borderId="11" xfId="42" applyNumberFormat="1" applyFont="1" applyFill="1" applyBorder="1" applyAlignment="1" quotePrefix="1">
      <alignment horizontal="left" vertical="top" wrapText="1"/>
    </xf>
    <xf numFmtId="171" fontId="16" fillId="0" borderId="0" xfId="42" applyNumberFormat="1" applyFont="1" applyAlignment="1">
      <alignment/>
    </xf>
    <xf numFmtId="0" fontId="53" fillId="26" borderId="0" xfId="69" applyFont="1" applyFill="1" applyBorder="1" applyAlignment="1">
      <alignment horizontal="center"/>
      <protection/>
    </xf>
    <xf numFmtId="0" fontId="28" fillId="26" borderId="16" xfId="69" applyFont="1" applyFill="1" applyBorder="1" applyAlignment="1">
      <alignment horizontal="center"/>
      <protection/>
    </xf>
    <xf numFmtId="43" fontId="28" fillId="26" borderId="16" xfId="69" applyNumberFormat="1" applyFont="1" applyFill="1" applyBorder="1" applyAlignment="1">
      <alignment horizontal="center"/>
      <protection/>
    </xf>
    <xf numFmtId="171" fontId="28" fillId="26" borderId="0" xfId="42" applyFont="1" applyFill="1" applyBorder="1" applyAlignment="1">
      <alignment horizontal="center"/>
    </xf>
    <xf numFmtId="0" fontId="28" fillId="26" borderId="0" xfId="69" applyFont="1" applyFill="1" applyBorder="1" applyAlignment="1">
      <alignment horizontal="center"/>
      <protection/>
    </xf>
    <xf numFmtId="171" fontId="21" fillId="26" borderId="21" xfId="42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1" xfId="69" applyFont="1" applyFill="1" applyBorder="1" applyAlignment="1">
      <alignment horizontal="center"/>
      <protection/>
    </xf>
    <xf numFmtId="0" fontId="21" fillId="26" borderId="22" xfId="69" applyFont="1" applyFill="1" applyBorder="1" applyAlignment="1">
      <alignment horizontal="center"/>
      <protection/>
    </xf>
    <xf numFmtId="0" fontId="0" fillId="26" borderId="12" xfId="69" applyFont="1" applyFill="1" applyBorder="1" applyAlignment="1" quotePrefix="1">
      <alignment vertical="center" wrapText="1"/>
      <protection/>
    </xf>
    <xf numFmtId="0" fontId="0" fillId="26" borderId="11" xfId="0" applyFill="1" applyBorder="1" applyAlignment="1" quotePrefix="1">
      <alignment vertical="center"/>
    </xf>
    <xf numFmtId="171" fontId="0" fillId="26" borderId="11" xfId="0" applyNumberFormat="1" applyFont="1" applyFill="1" applyBorder="1" applyAlignment="1">
      <alignment vertical="top" wrapText="1"/>
    </xf>
    <xf numFmtId="9" fontId="0" fillId="0" borderId="12" xfId="0" applyNumberForma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21" fillId="0" borderId="20" xfId="66" applyFont="1" applyBorder="1" applyAlignment="1">
      <alignment horizontal="center" vertical="center"/>
      <protection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43" fontId="0" fillId="26" borderId="12" xfId="48" applyFont="1" applyFill="1" applyBorder="1" applyAlignment="1">
      <alignment horizontal="left" vertical="center" wrapText="1"/>
    </xf>
    <xf numFmtId="171" fontId="0" fillId="26" borderId="13" xfId="42" applyFont="1" applyFill="1" applyBorder="1" applyAlignment="1">
      <alignment/>
    </xf>
    <xf numFmtId="43" fontId="0" fillId="26" borderId="11" xfId="69" applyNumberFormat="1" applyFont="1" applyFill="1" applyBorder="1">
      <alignment/>
      <protection/>
    </xf>
    <xf numFmtId="171" fontId="0" fillId="26" borderId="12" xfId="0" applyNumberFormat="1" applyFont="1" applyFill="1" applyBorder="1" applyAlignment="1">
      <alignment vertical="top"/>
    </xf>
    <xf numFmtId="0" fontId="0" fillId="26" borderId="12" xfId="69" applyFont="1" applyFill="1" applyBorder="1" quotePrefix="1">
      <alignment/>
      <protection/>
    </xf>
    <xf numFmtId="43" fontId="0" fillId="26" borderId="12" xfId="0" applyNumberFormat="1" applyFont="1" applyFill="1" applyBorder="1" applyAlignment="1">
      <alignment/>
    </xf>
    <xf numFmtId="43" fontId="0" fillId="26" borderId="0" xfId="0" applyNumberFormat="1" applyFont="1" applyFill="1" applyAlignment="1">
      <alignment/>
    </xf>
    <xf numFmtId="0" fontId="0" fillId="26" borderId="12" xfId="0" applyFont="1" applyFill="1" applyBorder="1" applyAlignment="1" quotePrefix="1">
      <alignment vertical="center" wrapText="1"/>
    </xf>
    <xf numFmtId="171" fontId="3" fillId="26" borderId="12" xfId="69" applyNumberFormat="1" applyFont="1" applyFill="1" applyBorder="1">
      <alignment/>
      <protection/>
    </xf>
    <xf numFmtId="0" fontId="21" fillId="26" borderId="12" xfId="69" applyFont="1" applyFill="1" applyBorder="1" quotePrefix="1">
      <alignment/>
      <protection/>
    </xf>
    <xf numFmtId="43" fontId="0" fillId="26" borderId="12" xfId="69" applyNumberFormat="1" applyFont="1" applyFill="1" applyBorder="1">
      <alignment/>
      <protection/>
    </xf>
    <xf numFmtId="171" fontId="0" fillId="26" borderId="12" xfId="42" applyFont="1" applyFill="1" applyBorder="1" applyAlignment="1" quotePrefix="1">
      <alignment/>
    </xf>
    <xf numFmtId="0" fontId="21" fillId="26" borderId="11" xfId="69" applyFont="1" applyFill="1" applyBorder="1">
      <alignment/>
      <protection/>
    </xf>
    <xf numFmtId="171" fontId="0" fillId="26" borderId="11" xfId="42" applyFont="1" applyFill="1" applyBorder="1" applyAlignment="1">
      <alignment vertical="top" wrapText="1"/>
    </xf>
    <xf numFmtId="43" fontId="0" fillId="26" borderId="11" xfId="50" applyFont="1" applyFill="1" applyBorder="1" applyAlignment="1">
      <alignment/>
    </xf>
    <xf numFmtId="0" fontId="16" fillId="26" borderId="11" xfId="69" applyFill="1" applyBorder="1">
      <alignment/>
      <protection/>
    </xf>
    <xf numFmtId="0" fontId="0" fillId="26" borderId="12" xfId="69" applyFont="1" applyFill="1" applyBorder="1" applyAlignment="1" quotePrefix="1">
      <alignment vertical="center"/>
      <protection/>
    </xf>
    <xf numFmtId="0" fontId="3" fillId="26" borderId="12" xfId="69" applyFont="1" applyFill="1" applyBorder="1">
      <alignment/>
      <protection/>
    </xf>
    <xf numFmtId="171" fontId="0" fillId="26" borderId="11" xfId="42" applyFont="1" applyFill="1" applyBorder="1" applyAlignment="1">
      <alignment vertical="top" wrapText="1"/>
    </xf>
    <xf numFmtId="171" fontId="0" fillId="26" borderId="12" xfId="48" applyNumberFormat="1" applyFont="1" applyFill="1" applyBorder="1" applyAlignment="1">
      <alignment/>
    </xf>
    <xf numFmtId="0" fontId="0" fillId="26" borderId="12" xfId="48" applyNumberFormat="1" applyFont="1" applyFill="1" applyBorder="1" applyAlignment="1">
      <alignment horizontal="left" vertical="center"/>
    </xf>
    <xf numFmtId="171" fontId="0" fillId="26" borderId="11" xfId="48" applyNumberFormat="1" applyFont="1" applyFill="1" applyBorder="1" applyAlignment="1">
      <alignment/>
    </xf>
    <xf numFmtId="43" fontId="0" fillId="26" borderId="12" xfId="48" applyNumberFormat="1" applyFont="1" applyFill="1" applyBorder="1" applyAlignment="1">
      <alignment horizontal="left" vertical="center"/>
    </xf>
    <xf numFmtId="43" fontId="3" fillId="26" borderId="12" xfId="48" applyFont="1" applyFill="1" applyBorder="1" applyAlignment="1">
      <alignment horizontal="left" vertical="center" wrapText="1"/>
    </xf>
    <xf numFmtId="43" fontId="0" fillId="26" borderId="12" xfId="48" applyFont="1" applyFill="1" applyBorder="1" applyAlignment="1">
      <alignment horizontal="left" vertical="center"/>
    </xf>
    <xf numFmtId="43" fontId="0" fillId="26" borderId="12" xfId="48" applyFont="1" applyFill="1" applyBorder="1" applyAlignment="1">
      <alignment horizontal="left" vertical="top"/>
    </xf>
    <xf numFmtId="0" fontId="0" fillId="26" borderId="12" xfId="69" applyFont="1" applyFill="1" applyBorder="1" applyAlignment="1" quotePrefix="1">
      <alignment vertical="center"/>
      <protection/>
    </xf>
    <xf numFmtId="171" fontId="0" fillId="26" borderId="12" xfId="42" applyFont="1" applyFill="1" applyBorder="1" applyAlignment="1">
      <alignment vertical="top" wrapText="1"/>
    </xf>
    <xf numFmtId="171" fontId="0" fillId="26" borderId="12" xfId="42" applyFont="1" applyFill="1" applyBorder="1" applyAlignment="1">
      <alignment/>
    </xf>
    <xf numFmtId="0" fontId="0" fillId="26" borderId="13" xfId="69" applyFont="1" applyFill="1" applyBorder="1" applyAlignment="1" quotePrefix="1">
      <alignment vertical="center" wrapText="1"/>
      <protection/>
    </xf>
    <xf numFmtId="171" fontId="52" fillId="26" borderId="11" xfId="42" applyFont="1" applyFill="1" applyBorder="1" applyAlignment="1">
      <alignment/>
    </xf>
    <xf numFmtId="0" fontId="21" fillId="0" borderId="21" xfId="66" applyFont="1" applyBorder="1" applyAlignment="1">
      <alignment horizontal="center"/>
      <protection/>
    </xf>
    <xf numFmtId="0" fontId="21" fillId="26" borderId="21" xfId="66" applyFont="1" applyFill="1" applyBorder="1" applyAlignment="1">
      <alignment horizontal="center"/>
      <protection/>
    </xf>
    <xf numFmtId="171" fontId="52" fillId="26" borderId="12" xfId="42" applyFont="1" applyFill="1" applyBorder="1" applyAlignment="1">
      <alignment wrapText="1"/>
    </xf>
    <xf numFmtId="171" fontId="16" fillId="0" borderId="0" xfId="69" applyNumberFormat="1" applyFont="1">
      <alignment/>
      <protection/>
    </xf>
    <xf numFmtId="2" fontId="2" fillId="0" borderId="12" xfId="68" applyNumberFormat="1" applyFont="1" applyBorder="1">
      <alignment/>
      <protection/>
    </xf>
    <xf numFmtId="0" fontId="0" fillId="0" borderId="15" xfId="0" applyFont="1" applyBorder="1" applyAlignment="1">
      <alignment vertical="top" wrapText="1"/>
    </xf>
    <xf numFmtId="181" fontId="0" fillId="0" borderId="15" xfId="42" applyNumberFormat="1" applyFont="1" applyBorder="1" applyAlignment="1">
      <alignment/>
    </xf>
    <xf numFmtId="181" fontId="0" fillId="26" borderId="15" xfId="42" applyNumberFormat="1" applyFont="1" applyFill="1" applyBorder="1" applyAlignment="1">
      <alignment/>
    </xf>
    <xf numFmtId="0" fontId="0" fillId="0" borderId="15" xfId="0" applyFont="1" applyBorder="1" applyAlignment="1" quotePrefix="1">
      <alignment wrapText="1"/>
    </xf>
    <xf numFmtId="0" fontId="50" fillId="26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71" fontId="0" fillId="26" borderId="15" xfId="42" applyNumberFormat="1" applyFill="1" applyBorder="1" applyAlignment="1">
      <alignment/>
    </xf>
    <xf numFmtId="171" fontId="0" fillId="26" borderId="15" xfId="42" applyNumberFormat="1" applyFont="1" applyFill="1" applyBorder="1" applyAlignment="1">
      <alignment/>
    </xf>
    <xf numFmtId="0" fontId="0" fillId="26" borderId="15" xfId="70" applyFont="1" applyFill="1" applyBorder="1" applyAlignment="1">
      <alignment horizontal="left" wrapText="1"/>
      <protection/>
    </xf>
    <xf numFmtId="0" fontId="0" fillId="26" borderId="15" xfId="0" applyFont="1" applyFill="1" applyBorder="1" applyAlignment="1">
      <alignment/>
    </xf>
    <xf numFmtId="0" fontId="0" fillId="26" borderId="15" xfId="0" applyFont="1" applyFill="1" applyBorder="1" applyAlignment="1" quotePrefix="1">
      <alignment wrapText="1"/>
    </xf>
    <xf numFmtId="171" fontId="0" fillId="26" borderId="13" xfId="42" applyNumberFormat="1" applyFill="1" applyBorder="1" applyAlignment="1">
      <alignment/>
    </xf>
    <xf numFmtId="171" fontId="0" fillId="0" borderId="15" xfId="42" applyFont="1" applyBorder="1" applyAlignment="1">
      <alignment/>
    </xf>
    <xf numFmtId="0" fontId="22" fillId="0" borderId="15" xfId="0" applyFont="1" applyBorder="1" applyAlignment="1">
      <alignment/>
    </xf>
    <xf numFmtId="171" fontId="22" fillId="0" borderId="15" xfId="42" applyFont="1" applyBorder="1" applyAlignment="1">
      <alignment/>
    </xf>
    <xf numFmtId="0" fontId="21" fillId="0" borderId="13" xfId="0" applyFont="1" applyBorder="1" applyAlignment="1">
      <alignment/>
    </xf>
    <xf numFmtId="171" fontId="22" fillId="0" borderId="12" xfId="42" applyFont="1" applyBorder="1" applyAlignment="1">
      <alignment/>
    </xf>
    <xf numFmtId="171" fontId="0" fillId="0" borderId="11" xfId="42" applyFont="1" applyBorder="1" applyAlignment="1">
      <alignment/>
    </xf>
    <xf numFmtId="0" fontId="0" fillId="26" borderId="15" xfId="0" applyFont="1" applyFill="1" applyBorder="1" applyAlignment="1" quotePrefix="1">
      <alignment/>
    </xf>
    <xf numFmtId="0" fontId="0" fillId="26" borderId="13" xfId="0" applyFont="1" applyFill="1" applyBorder="1" applyAlignment="1">
      <alignment wrapText="1"/>
    </xf>
    <xf numFmtId="171" fontId="0" fillId="26" borderId="12" xfId="42" applyFont="1" applyFill="1" applyBorder="1" applyAlignment="1">
      <alignment/>
    </xf>
    <xf numFmtId="171" fontId="0" fillId="26" borderId="12" xfId="42" applyFont="1" applyFill="1" applyBorder="1" applyAlignment="1">
      <alignment/>
    </xf>
    <xf numFmtId="0" fontId="21" fillId="0" borderId="15" xfId="66" applyFont="1" applyBorder="1" applyAlignment="1">
      <alignment horizontal="center"/>
      <protection/>
    </xf>
    <xf numFmtId="0" fontId="21" fillId="0" borderId="21" xfId="66" applyFont="1" applyFill="1" applyBorder="1" applyAlignment="1">
      <alignment horizontal="center" wrapText="1"/>
      <protection/>
    </xf>
    <xf numFmtId="0" fontId="21" fillId="0" borderId="12" xfId="66" applyFont="1" applyBorder="1">
      <alignment/>
      <protection/>
    </xf>
    <xf numFmtId="0" fontId="0" fillId="0" borderId="11" xfId="66" applyFont="1" applyBorder="1" applyAlignment="1">
      <alignment wrapText="1"/>
      <protection/>
    </xf>
    <xf numFmtId="0" fontId="0" fillId="0" borderId="11" xfId="66" applyFont="1" applyBorder="1" applyAlignment="1" quotePrefix="1">
      <alignment/>
      <protection/>
    </xf>
    <xf numFmtId="0" fontId="0" fillId="0" borderId="11" xfId="66" applyFont="1" applyBorder="1" applyAlignment="1" quotePrefix="1">
      <alignment wrapText="1"/>
      <protection/>
    </xf>
    <xf numFmtId="0" fontId="0" fillId="0" borderId="11" xfId="66" applyFont="1" applyBorder="1" applyAlignment="1">
      <alignment horizontal="center"/>
      <protection/>
    </xf>
    <xf numFmtId="0" fontId="0" fillId="0" borderId="11" xfId="66" applyFont="1" applyBorder="1">
      <alignment/>
      <protection/>
    </xf>
    <xf numFmtId="0" fontId="0" fillId="26" borderId="11" xfId="66" applyFont="1" applyFill="1" applyBorder="1" applyAlignment="1" quotePrefix="1">
      <alignment wrapText="1"/>
      <protection/>
    </xf>
    <xf numFmtId="0" fontId="0" fillId="0" borderId="11" xfId="66" applyBorder="1" applyAlignment="1" quotePrefix="1">
      <alignment wrapText="1"/>
      <protection/>
    </xf>
    <xf numFmtId="0" fontId="22" fillId="0" borderId="11" xfId="66" applyFont="1" applyBorder="1">
      <alignment/>
      <protection/>
    </xf>
    <xf numFmtId="43" fontId="22" fillId="0" borderId="11" xfId="66" applyNumberFormat="1" applyFont="1" applyBorder="1">
      <alignment/>
      <protection/>
    </xf>
    <xf numFmtId="0" fontId="0" fillId="0" borderId="12" xfId="66" applyBorder="1">
      <alignment/>
      <protection/>
    </xf>
    <xf numFmtId="0" fontId="0" fillId="0" borderId="12" xfId="66" applyBorder="1" applyAlignment="1">
      <alignment vertical="top" wrapText="1"/>
      <protection/>
    </xf>
    <xf numFmtId="0" fontId="21" fillId="0" borderId="14" xfId="66" applyFont="1" applyBorder="1" applyAlignment="1">
      <alignment horizontal="center"/>
      <protection/>
    </xf>
    <xf numFmtId="43" fontId="2" fillId="26" borderId="12" xfId="49" applyFont="1" applyFill="1" applyBorder="1" applyAlignment="1">
      <alignment vertical="center" wrapText="1"/>
    </xf>
    <xf numFmtId="0" fontId="0" fillId="26" borderId="11" xfId="0" applyFont="1" applyFill="1" applyBorder="1" applyAlignment="1" quotePrefix="1">
      <alignment vertical="center"/>
    </xf>
    <xf numFmtId="0" fontId="0" fillId="0" borderId="12" xfId="0" applyBorder="1" applyAlignment="1" quotePrefix="1">
      <alignment vertical="center"/>
    </xf>
    <xf numFmtId="0" fontId="0" fillId="0" borderId="11" xfId="0" applyFont="1" applyBorder="1" applyAlignment="1">
      <alignment horizontal="left"/>
    </xf>
    <xf numFmtId="43" fontId="2" fillId="0" borderId="35" xfId="48" applyFont="1" applyFill="1" applyBorder="1" applyAlignment="1">
      <alignment wrapText="1"/>
    </xf>
    <xf numFmtId="171" fontId="2" fillId="0" borderId="10" xfId="48" applyNumberFormat="1" applyFont="1" applyFill="1" applyBorder="1" applyAlignment="1">
      <alignment/>
    </xf>
    <xf numFmtId="43" fontId="2" fillId="0" borderId="10" xfId="48" applyFont="1" applyFill="1" applyBorder="1" applyAlignment="1">
      <alignment wrapText="1"/>
    </xf>
    <xf numFmtId="43" fontId="3" fillId="0" borderId="10" xfId="48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21" fillId="0" borderId="36" xfId="0" applyFont="1" applyFill="1" applyBorder="1" applyAlignment="1">
      <alignment horizontal="left" wrapText="1"/>
    </xf>
    <xf numFmtId="171" fontId="0" fillId="0" borderId="14" xfId="42" applyFont="1" applyBorder="1" applyAlignment="1">
      <alignment wrapText="1"/>
    </xf>
    <xf numFmtId="0" fontId="0" fillId="26" borderId="13" xfId="0" applyFont="1" applyFill="1" applyBorder="1" applyAlignment="1">
      <alignment vertical="center" wrapText="1"/>
    </xf>
    <xf numFmtId="0" fontId="0" fillId="26" borderId="15" xfId="0" applyFont="1" applyFill="1" applyBorder="1" applyAlignment="1">
      <alignment vertical="center" wrapText="1"/>
    </xf>
    <xf numFmtId="0" fontId="54" fillId="0" borderId="0" xfId="67" applyFont="1" applyAlignment="1">
      <alignment vertical="top" wrapText="1"/>
      <protection/>
    </xf>
    <xf numFmtId="0" fontId="54" fillId="0" borderId="0" xfId="67" applyFont="1" applyAlignment="1">
      <alignment vertical="top"/>
      <protection/>
    </xf>
    <xf numFmtId="0" fontId="16" fillId="0" borderId="15" xfId="67" applyFont="1" applyBorder="1" applyAlignment="1">
      <alignment vertical="top" wrapText="1"/>
      <protection/>
    </xf>
    <xf numFmtId="0" fontId="55" fillId="0" borderId="0" xfId="67" applyFont="1" applyAlignment="1">
      <alignment vertical="top" wrapText="1"/>
      <protection/>
    </xf>
    <xf numFmtId="0" fontId="55" fillId="0" borderId="0" xfId="67" applyFont="1" applyAlignment="1">
      <alignment vertical="top"/>
      <protection/>
    </xf>
    <xf numFmtId="0" fontId="55" fillId="0" borderId="21" xfId="67" applyFont="1" applyBorder="1" applyAlignment="1">
      <alignment horizontal="center" vertical="center"/>
      <protection/>
    </xf>
    <xf numFmtId="0" fontId="0" fillId="26" borderId="12" xfId="0" applyFont="1" applyFill="1" applyBorder="1" applyAlignment="1">
      <alignment vertical="center" wrapText="1"/>
    </xf>
    <xf numFmtId="43" fontId="2" fillId="26" borderId="13" xfId="48" applyFont="1" applyFill="1" applyBorder="1" applyAlignment="1">
      <alignment wrapText="1"/>
    </xf>
    <xf numFmtId="171" fontId="0" fillId="0" borderId="15" xfId="42" applyNumberFormat="1" applyFont="1" applyBorder="1" applyAlignment="1" quotePrefix="1">
      <alignment wrapText="1"/>
    </xf>
    <xf numFmtId="0" fontId="0" fillId="0" borderId="12" xfId="0" applyFont="1" applyFill="1" applyBorder="1" applyAlignment="1">
      <alignment horizontal="left" vertical="top" wrapText="1"/>
    </xf>
    <xf numFmtId="171" fontId="0" fillId="26" borderId="12" xfId="42" applyFont="1" applyFill="1" applyBorder="1" applyAlignment="1">
      <alignment vertical="top"/>
    </xf>
    <xf numFmtId="0" fontId="0" fillId="0" borderId="12" xfId="0" applyBorder="1" applyAlignment="1">
      <alignment horizontal="center"/>
    </xf>
    <xf numFmtId="0" fontId="21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 quotePrefix="1">
      <alignment vertical="center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/>
    </xf>
    <xf numFmtId="43" fontId="3" fillId="0" borderId="0" xfId="48" applyFont="1" applyAlignment="1">
      <alignment vertical="center" wrapText="1"/>
    </xf>
    <xf numFmtId="15" fontId="34" fillId="0" borderId="0" xfId="48" applyNumberFormat="1" applyFont="1" applyAlignment="1">
      <alignment vertical="center" wrapText="1"/>
    </xf>
    <xf numFmtId="0" fontId="21" fillId="26" borderId="12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wrapText="1"/>
    </xf>
    <xf numFmtId="171" fontId="0" fillId="26" borderId="11" xfId="0" applyNumberFormat="1" applyFont="1" applyFill="1" applyBorder="1" applyAlignment="1">
      <alignment wrapText="1"/>
    </xf>
    <xf numFmtId="171" fontId="0" fillId="26" borderId="24" xfId="0" applyNumberFormat="1" applyFont="1" applyFill="1" applyBorder="1" applyAlignment="1">
      <alignment wrapText="1"/>
    </xf>
    <xf numFmtId="0" fontId="56" fillId="0" borderId="37" xfId="67" applyFont="1" applyBorder="1" applyAlignment="1">
      <alignment horizontal="left" vertical="top" wrapText="1"/>
      <protection/>
    </xf>
    <xf numFmtId="0" fontId="50" fillId="0" borderId="37" xfId="67" applyFont="1" applyBorder="1" applyAlignment="1">
      <alignment horizontal="left" vertical="top"/>
      <protection/>
    </xf>
    <xf numFmtId="0" fontId="50" fillId="0" borderId="37" xfId="67" applyFont="1" applyBorder="1" applyAlignment="1">
      <alignment horizontal="left" vertical="top" wrapText="1"/>
      <protection/>
    </xf>
    <xf numFmtId="0" fontId="21" fillId="0" borderId="14" xfId="67" applyFont="1" applyBorder="1" applyAlignment="1">
      <alignment horizontal="center" vertical="top" wrapText="1"/>
      <protection/>
    </xf>
    <xf numFmtId="0" fontId="50" fillId="0" borderId="18" xfId="67" applyFont="1" applyBorder="1" applyAlignment="1">
      <alignment vertical="top"/>
      <protection/>
    </xf>
    <xf numFmtId="0" fontId="50" fillId="0" borderId="18" xfId="67" applyFont="1" applyBorder="1" applyAlignment="1">
      <alignment vertical="top" wrapText="1"/>
      <protection/>
    </xf>
    <xf numFmtId="0" fontId="0" fillId="0" borderId="15" xfId="67" applyFont="1" applyBorder="1" applyAlignment="1">
      <alignment vertical="top" wrapText="1"/>
      <protection/>
    </xf>
    <xf numFmtId="0" fontId="50" fillId="0" borderId="0" xfId="67" applyFont="1" applyAlignment="1">
      <alignment vertical="top"/>
      <protection/>
    </xf>
    <xf numFmtId="0" fontId="50" fillId="0" borderId="0" xfId="67" applyFont="1" applyAlignment="1">
      <alignment vertical="top" wrapText="1"/>
      <protection/>
    </xf>
    <xf numFmtId="171" fontId="21" fillId="26" borderId="15" xfId="42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15" xfId="69" applyFont="1" applyFill="1" applyBorder="1" applyAlignment="1">
      <alignment horizontal="center"/>
      <protection/>
    </xf>
    <xf numFmtId="0" fontId="21" fillId="26" borderId="38" xfId="69" applyFont="1" applyFill="1" applyBorder="1" applyAlignment="1">
      <alignment horizontal="center"/>
      <protection/>
    </xf>
    <xf numFmtId="0" fontId="0" fillId="26" borderId="15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left"/>
    </xf>
    <xf numFmtId="0" fontId="21" fillId="26" borderId="15" xfId="0" applyFont="1" applyFill="1" applyBorder="1" applyAlignment="1">
      <alignment horizontal="left"/>
    </xf>
    <xf numFmtId="171" fontId="21" fillId="26" borderId="15" xfId="42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left" vertical="center" wrapText="1"/>
    </xf>
    <xf numFmtId="0" fontId="21" fillId="26" borderId="15" xfId="69" applyFont="1" applyFill="1" applyBorder="1" applyAlignment="1">
      <alignment horizontal="left"/>
      <protection/>
    </xf>
    <xf numFmtId="0" fontId="21" fillId="26" borderId="38" xfId="69" applyFont="1" applyFill="1" applyBorder="1" applyAlignment="1">
      <alignment horizontal="left"/>
      <protection/>
    </xf>
    <xf numFmtId="171" fontId="0" fillId="26" borderId="38" xfId="42" applyFont="1" applyFill="1" applyBorder="1" applyAlignment="1">
      <alignment horizontal="left"/>
    </xf>
    <xf numFmtId="0" fontId="0" fillId="26" borderId="15" xfId="0" applyFont="1" applyFill="1" applyBorder="1" applyAlignment="1">
      <alignment horizontal="left" vertical="center"/>
    </xf>
    <xf numFmtId="171" fontId="0" fillId="26" borderId="15" xfId="42" applyFont="1" applyFill="1" applyBorder="1" applyAlignment="1">
      <alignment horizontal="left" vertical="center"/>
    </xf>
    <xf numFmtId="9" fontId="2" fillId="0" borderId="13" xfId="0" applyNumberFormat="1" applyFont="1" applyBorder="1" applyAlignment="1">
      <alignment horizontal="center"/>
    </xf>
    <xf numFmtId="4" fontId="56" fillId="0" borderId="18" xfId="67" applyNumberFormat="1" applyFont="1" applyBorder="1" applyAlignment="1">
      <alignment vertical="top"/>
      <protection/>
    </xf>
    <xf numFmtId="0" fontId="0" fillId="0" borderId="12" xfId="0" applyFont="1" applyBorder="1" applyAlignment="1">
      <alignment horizontal="left"/>
    </xf>
    <xf numFmtId="171" fontId="0" fillId="26" borderId="15" xfId="42" applyFont="1" applyFill="1" applyBorder="1" applyAlignment="1">
      <alignment vertical="top" wrapText="1"/>
    </xf>
    <xf numFmtId="171" fontId="0" fillId="26" borderId="15" xfId="42" applyFont="1" applyFill="1" applyBorder="1" applyAlignment="1">
      <alignment/>
    </xf>
    <xf numFmtId="171" fontId="0" fillId="0" borderId="12" xfId="42" applyFont="1" applyBorder="1" applyAlignment="1">
      <alignment vertical="top" wrapText="1"/>
    </xf>
    <xf numFmtId="0" fontId="2" fillId="26" borderId="15" xfId="0" applyFont="1" applyFill="1" applyBorder="1" applyAlignment="1">
      <alignment/>
    </xf>
    <xf numFmtId="2" fontId="2" fillId="26" borderId="12" xfId="68" applyNumberFormat="1" applyFont="1" applyFill="1" applyBorder="1">
      <alignment/>
      <protection/>
    </xf>
    <xf numFmtId="171" fontId="2" fillId="26" borderId="0" xfId="0" applyNumberFormat="1" applyFont="1" applyFill="1" applyBorder="1" applyAlignment="1">
      <alignment/>
    </xf>
    <xf numFmtId="171" fontId="0" fillId="26" borderId="11" xfId="0" applyNumberFormat="1" applyFont="1" applyFill="1" applyBorder="1" applyAlignment="1">
      <alignment/>
    </xf>
    <xf numFmtId="171" fontId="2" fillId="26" borderId="11" xfId="0" applyNumberFormat="1" applyFont="1" applyFill="1" applyBorder="1" applyAlignment="1">
      <alignment/>
    </xf>
    <xf numFmtId="43" fontId="3" fillId="26" borderId="15" xfId="48" applyFont="1" applyFill="1" applyBorder="1" applyAlignment="1">
      <alignment wrapText="1"/>
    </xf>
    <xf numFmtId="43" fontId="2" fillId="26" borderId="12" xfId="48" applyFont="1" applyFill="1" applyBorder="1" applyAlignment="1">
      <alignment/>
    </xf>
    <xf numFmtId="43" fontId="2" fillId="26" borderId="0" xfId="48" applyFont="1" applyFill="1" applyBorder="1" applyAlignment="1">
      <alignment/>
    </xf>
    <xf numFmtId="171" fontId="2" fillId="26" borderId="13" xfId="0" applyNumberFormat="1" applyFont="1" applyFill="1" applyBorder="1" applyAlignment="1">
      <alignment/>
    </xf>
    <xf numFmtId="43" fontId="2" fillId="26" borderId="11" xfId="48" applyFont="1" applyFill="1" applyBorder="1" applyAlignment="1">
      <alignment horizontal="center" vertical="center" wrapText="1"/>
    </xf>
    <xf numFmtId="171" fontId="2" fillId="26" borderId="12" xfId="42" applyFont="1" applyFill="1" applyBorder="1" applyAlignment="1">
      <alignment vertical="top" wrapText="1"/>
    </xf>
    <xf numFmtId="43" fontId="57" fillId="26" borderId="12" xfId="48" applyFont="1" applyFill="1" applyBorder="1" applyAlignment="1">
      <alignment horizontal="center" vertical="center" wrapText="1"/>
    </xf>
    <xf numFmtId="43" fontId="2" fillId="26" borderId="25" xfId="48" applyFont="1" applyFill="1" applyBorder="1" applyAlignment="1">
      <alignment wrapText="1"/>
    </xf>
    <xf numFmtId="171" fontId="2" fillId="26" borderId="15" xfId="48" applyNumberFormat="1" applyFont="1" applyFill="1" applyBorder="1" applyAlignment="1">
      <alignment/>
    </xf>
    <xf numFmtId="2" fontId="2" fillId="0" borderId="11" xfId="68" applyNumberFormat="1" applyFont="1" applyBorder="1">
      <alignment/>
      <protection/>
    </xf>
    <xf numFmtId="43" fontId="3" fillId="0" borderId="21" xfId="68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wrapText="1"/>
    </xf>
    <xf numFmtId="0" fontId="0" fillId="0" borderId="24" xfId="0" applyBorder="1" applyAlignment="1">
      <alignment/>
    </xf>
    <xf numFmtId="171" fontId="21" fillId="26" borderId="15" xfId="42" applyFont="1" applyFill="1" applyBorder="1" applyAlignment="1">
      <alignment wrapText="1"/>
    </xf>
    <xf numFmtId="180" fontId="0" fillId="26" borderId="12" xfId="42" applyNumberFormat="1" applyFont="1" applyFill="1" applyBorder="1" applyAlignment="1">
      <alignment/>
    </xf>
    <xf numFmtId="43" fontId="50" fillId="26" borderId="12" xfId="50" applyFont="1" applyFill="1" applyBorder="1" applyAlignment="1">
      <alignment/>
    </xf>
    <xf numFmtId="171" fontId="56" fillId="26" borderId="14" xfId="69" applyNumberFormat="1" applyFont="1" applyFill="1" applyBorder="1" applyAlignment="1">
      <alignment horizontal="center"/>
      <protection/>
    </xf>
    <xf numFmtId="171" fontId="21" fillId="26" borderId="18" xfId="42" applyFont="1" applyFill="1" applyBorder="1" applyAlignment="1">
      <alignment horizontal="center" vertical="top" wrapText="1"/>
    </xf>
    <xf numFmtId="0" fontId="21" fillId="26" borderId="15" xfId="0" applyFont="1" applyFill="1" applyBorder="1" applyAlignment="1">
      <alignment horizontal="left" wrapText="1"/>
    </xf>
    <xf numFmtId="171" fontId="21" fillId="26" borderId="11" xfId="42" applyFont="1" applyFill="1" applyBorder="1" applyAlignment="1">
      <alignment wrapText="1"/>
    </xf>
    <xf numFmtId="0" fontId="0" fillId="26" borderId="11" xfId="0" applyFont="1" applyFill="1" applyBorder="1" applyAlignment="1">
      <alignment/>
    </xf>
    <xf numFmtId="0" fontId="0" fillId="26" borderId="13" xfId="0" applyFill="1" applyBorder="1" applyAlignment="1">
      <alignment wrapText="1"/>
    </xf>
    <xf numFmtId="171" fontId="0" fillId="26" borderId="13" xfId="42" applyNumberFormat="1" applyFont="1" applyFill="1" applyBorder="1" applyAlignment="1">
      <alignment wrapText="1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 quotePrefix="1">
      <alignment wrapText="1"/>
    </xf>
    <xf numFmtId="0" fontId="0" fillId="26" borderId="13" xfId="0" applyFill="1" applyBorder="1" applyAlignment="1">
      <alignment/>
    </xf>
    <xf numFmtId="0" fontId="21" fillId="26" borderId="14" xfId="0" applyFont="1" applyFill="1" applyBorder="1" applyAlignment="1">
      <alignment horizontal="center" wrapText="1"/>
    </xf>
    <xf numFmtId="171" fontId="0" fillId="26" borderId="14" xfId="42" applyNumberFormat="1" applyFont="1" applyFill="1" applyBorder="1" applyAlignment="1">
      <alignment wrapText="1"/>
    </xf>
    <xf numFmtId="171" fontId="0" fillId="26" borderId="14" xfId="42" applyFont="1" applyFill="1" applyBorder="1" applyAlignment="1">
      <alignment wrapText="1"/>
    </xf>
    <xf numFmtId="0" fontId="0" fillId="26" borderId="14" xfId="0" applyFont="1" applyFill="1" applyBorder="1" applyAlignment="1" quotePrefix="1">
      <alignment wrapText="1"/>
    </xf>
    <xf numFmtId="0" fontId="21" fillId="26" borderId="36" xfId="0" applyFont="1" applyFill="1" applyBorder="1" applyAlignment="1">
      <alignment horizontal="left" wrapText="1"/>
    </xf>
    <xf numFmtId="0" fontId="0" fillId="26" borderId="36" xfId="0" applyFill="1" applyBorder="1" applyAlignment="1">
      <alignment wrapText="1"/>
    </xf>
    <xf numFmtId="171" fontId="0" fillId="26" borderId="36" xfId="42" applyNumberFormat="1" applyFont="1" applyFill="1" applyBorder="1" applyAlignment="1">
      <alignment wrapText="1"/>
    </xf>
    <xf numFmtId="171" fontId="0" fillId="26" borderId="36" xfId="42" applyFont="1" applyFill="1" applyBorder="1" applyAlignment="1">
      <alignment wrapText="1"/>
    </xf>
    <xf numFmtId="0" fontId="0" fillId="26" borderId="36" xfId="0" applyFill="1" applyBorder="1" applyAlignment="1">
      <alignment/>
    </xf>
    <xf numFmtId="0" fontId="0" fillId="26" borderId="36" xfId="0" applyFont="1" applyFill="1" applyBorder="1" applyAlignment="1" quotePrefix="1">
      <alignment wrapText="1"/>
    </xf>
    <xf numFmtId="171" fontId="0" fillId="26" borderId="11" xfId="42" applyFont="1" applyFill="1" applyBorder="1" applyAlignment="1">
      <alignment wrapText="1"/>
    </xf>
    <xf numFmtId="171" fontId="21" fillId="26" borderId="14" xfId="42" applyFont="1" applyFill="1" applyBorder="1" applyAlignment="1">
      <alignment wrapText="1"/>
    </xf>
    <xf numFmtId="0" fontId="21" fillId="26" borderId="11" xfId="0" applyFont="1" applyFill="1" applyBorder="1" applyAlignment="1">
      <alignment horizontal="left" wrapText="1"/>
    </xf>
    <xf numFmtId="0" fontId="0" fillId="26" borderId="14" xfId="0" applyFont="1" applyFill="1" applyBorder="1" applyAlignment="1" quotePrefix="1">
      <alignment vertical="top" wrapText="1"/>
    </xf>
    <xf numFmtId="171" fontId="0" fillId="26" borderId="15" xfId="42" applyNumberFormat="1" applyFont="1" applyFill="1" applyBorder="1" applyAlignment="1">
      <alignment wrapText="1"/>
    </xf>
    <xf numFmtId="171" fontId="0" fillId="26" borderId="15" xfId="42" applyFont="1" applyFill="1" applyBorder="1" applyAlignment="1">
      <alignment wrapText="1"/>
    </xf>
    <xf numFmtId="171" fontId="21" fillId="26" borderId="13" xfId="42" applyFont="1" applyFill="1" applyBorder="1" applyAlignment="1">
      <alignment wrapText="1"/>
    </xf>
    <xf numFmtId="0" fontId="21" fillId="26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wrapText="1"/>
    </xf>
    <xf numFmtId="9" fontId="2" fillId="26" borderId="13" xfId="0" applyNumberFormat="1" applyFont="1" applyFill="1" applyBorder="1" applyAlignment="1">
      <alignment horizontal="center"/>
    </xf>
    <xf numFmtId="0" fontId="50" fillId="26" borderId="39" xfId="0" applyFont="1" applyFill="1" applyBorder="1" applyAlignment="1">
      <alignment vertical="top" wrapText="1"/>
    </xf>
    <xf numFmtId="0" fontId="0" fillId="26" borderId="13" xfId="0" applyFont="1" applyFill="1" applyBorder="1" applyAlignment="1">
      <alignment horizontal="left" vertical="top" wrapText="1"/>
    </xf>
    <xf numFmtId="171" fontId="0" fillId="26" borderId="15" xfId="0" applyNumberFormat="1" applyFont="1" applyFill="1" applyBorder="1" applyAlignment="1">
      <alignment wrapText="1"/>
    </xf>
    <xf numFmtId="0" fontId="0" fillId="26" borderId="13" xfId="0" applyFill="1" applyBorder="1" applyAlignment="1">
      <alignment vertical="center" wrapText="1"/>
    </xf>
    <xf numFmtId="0" fontId="21" fillId="26" borderId="11" xfId="0" applyFont="1" applyFill="1" applyBorder="1" applyAlignment="1">
      <alignment vertical="top" wrapText="1"/>
    </xf>
    <xf numFmtId="0" fontId="0" fillId="26" borderId="11" xfId="0" applyFill="1" applyBorder="1" applyAlignment="1">
      <alignment vertical="center" wrapText="1"/>
    </xf>
    <xf numFmtId="0" fontId="21" fillId="26" borderId="11" xfId="0" applyFont="1" applyFill="1" applyBorder="1" applyAlignment="1">
      <alignment horizontal="left" vertical="top" wrapText="1"/>
    </xf>
    <xf numFmtId="0" fontId="0" fillId="26" borderId="11" xfId="0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vertical="center" wrapText="1"/>
    </xf>
    <xf numFmtId="171" fontId="0" fillId="26" borderId="0" xfId="42" applyFont="1" applyFill="1" applyAlignment="1">
      <alignment vertical="top" wrapText="1"/>
    </xf>
    <xf numFmtId="0" fontId="0" fillId="26" borderId="0" xfId="0" applyFill="1" applyAlignment="1">
      <alignment vertical="top" wrapText="1"/>
    </xf>
    <xf numFmtId="180" fontId="0" fillId="0" borderId="12" xfId="42" applyNumberFormat="1" applyFont="1" applyBorder="1" applyAlignment="1">
      <alignment/>
    </xf>
    <xf numFmtId="171" fontId="0" fillId="26" borderId="12" xfId="42" applyFont="1" applyFill="1" applyBorder="1" applyAlignment="1">
      <alignment vertical="center" wrapText="1"/>
    </xf>
    <xf numFmtId="171" fontId="50" fillId="26" borderId="12" xfId="42" applyFont="1" applyFill="1" applyBorder="1" applyAlignment="1">
      <alignment wrapText="1"/>
    </xf>
    <xf numFmtId="171" fontId="50" fillId="26" borderId="11" xfId="0" applyNumberFormat="1" applyFont="1" applyFill="1" applyBorder="1" applyAlignment="1">
      <alignment wrapText="1"/>
    </xf>
    <xf numFmtId="0" fontId="50" fillId="26" borderId="11" xfId="0" applyFont="1" applyFill="1" applyBorder="1" applyAlignment="1">
      <alignment wrapText="1"/>
    </xf>
    <xf numFmtId="0" fontId="50" fillId="26" borderId="12" xfId="0" applyFont="1" applyFill="1" applyBorder="1" applyAlignment="1">
      <alignment wrapText="1"/>
    </xf>
    <xf numFmtId="171" fontId="50" fillId="26" borderId="11" xfId="0" applyNumberFormat="1" applyFont="1" applyFill="1" applyBorder="1" applyAlignment="1">
      <alignment wrapText="1"/>
    </xf>
    <xf numFmtId="0" fontId="0" fillId="26" borderId="12" xfId="0" applyFont="1" applyFill="1" applyBorder="1" applyAlignment="1" quotePrefix="1">
      <alignment horizontal="left" wrapText="1"/>
    </xf>
    <xf numFmtId="171" fontId="0" fillId="26" borderId="15" xfId="42" applyNumberFormat="1" applyFont="1" applyFill="1" applyBorder="1" applyAlignment="1" quotePrefix="1">
      <alignment wrapText="1"/>
    </xf>
    <xf numFmtId="43" fontId="3" fillId="26" borderId="11" xfId="48" applyFont="1" applyFill="1" applyBorder="1" applyAlignment="1">
      <alignment vertical="center" wrapText="1"/>
    </xf>
    <xf numFmtId="43" fontId="58" fillId="26" borderId="11" xfId="50" applyFont="1" applyFill="1" applyBorder="1" applyAlignment="1">
      <alignment/>
    </xf>
    <xf numFmtId="43" fontId="58" fillId="26" borderId="12" xfId="50" applyFont="1" applyFill="1" applyBorder="1" applyAlignment="1">
      <alignment/>
    </xf>
    <xf numFmtId="43" fontId="0" fillId="26" borderId="12" xfId="48" applyFont="1" applyFill="1" applyBorder="1" applyAlignment="1">
      <alignment wrapText="1"/>
    </xf>
    <xf numFmtId="0" fontId="3" fillId="26" borderId="12" xfId="0" applyFont="1" applyFill="1" applyBorder="1" applyAlignment="1">
      <alignment wrapText="1"/>
    </xf>
    <xf numFmtId="43" fontId="0" fillId="26" borderId="12" xfId="69" applyNumberFormat="1" applyFont="1" applyFill="1" applyBorder="1">
      <alignment/>
      <protection/>
    </xf>
    <xf numFmtId="0" fontId="0" fillId="26" borderId="12" xfId="0" applyFont="1" applyFill="1" applyBorder="1" applyAlignment="1" quotePrefix="1">
      <alignment vertical="center" wrapText="1"/>
    </xf>
    <xf numFmtId="0" fontId="59" fillId="26" borderId="12" xfId="0" applyFont="1" applyFill="1" applyBorder="1" applyAlignment="1">
      <alignment wrapText="1"/>
    </xf>
    <xf numFmtId="171" fontId="2" fillId="26" borderId="12" xfId="0" applyNumberFormat="1" applyFont="1" applyFill="1" applyBorder="1" applyAlignment="1">
      <alignment wrapText="1"/>
    </xf>
    <xf numFmtId="171" fontId="2" fillId="26" borderId="13" xfId="0" applyNumberFormat="1" applyFont="1" applyFill="1" applyBorder="1" applyAlignment="1">
      <alignment wrapText="1"/>
    </xf>
    <xf numFmtId="171" fontId="0" fillId="26" borderId="12" xfId="0" applyNumberFormat="1" applyFont="1" applyFill="1" applyBorder="1" applyAlignment="1">
      <alignment wrapText="1"/>
    </xf>
    <xf numFmtId="0" fontId="0" fillId="26" borderId="12" xfId="0" applyFill="1" applyBorder="1" applyAlignment="1">
      <alignment vertical="center"/>
    </xf>
    <xf numFmtId="171" fontId="0" fillId="26" borderId="12" xfId="0" applyNumberFormat="1" applyFont="1" applyFill="1" applyBorder="1" applyAlignment="1">
      <alignment wrapText="1"/>
    </xf>
    <xf numFmtId="0" fontId="21" fillId="26" borderId="11" xfId="0" applyFont="1" applyFill="1" applyBorder="1" applyAlignment="1">
      <alignment wrapText="1"/>
    </xf>
    <xf numFmtId="171" fontId="60" fillId="26" borderId="12" xfId="69" applyNumberFormat="1" applyFont="1" applyFill="1" applyBorder="1">
      <alignment/>
      <protection/>
    </xf>
    <xf numFmtId="171" fontId="52" fillId="26" borderId="12" xfId="42" applyFont="1" applyFill="1" applyBorder="1" applyAlignment="1">
      <alignment/>
    </xf>
    <xf numFmtId="0" fontId="55" fillId="0" borderId="37" xfId="67" applyFont="1" applyBorder="1" applyAlignment="1">
      <alignment horizontal="center" vertical="center"/>
      <protection/>
    </xf>
    <xf numFmtId="0" fontId="21" fillId="0" borderId="11" xfId="0" applyFont="1" applyBorder="1" applyAlignment="1">
      <alignment vertical="center" wrapText="1"/>
    </xf>
    <xf numFmtId="0" fontId="50" fillId="0" borderId="19" xfId="67" applyFont="1" applyBorder="1" applyAlignment="1" quotePrefix="1">
      <alignment horizontal="left" vertical="top" wrapText="1"/>
      <protection/>
    </xf>
    <xf numFmtId="0" fontId="50" fillId="0" borderId="19" xfId="67" applyFont="1" applyBorder="1" applyAlignment="1">
      <alignment horizontal="left" vertical="top"/>
      <protection/>
    </xf>
    <xf numFmtId="4" fontId="50" fillId="0" borderId="19" xfId="67" applyNumberFormat="1" applyFont="1" applyBorder="1" applyAlignment="1">
      <alignment/>
      <protection/>
    </xf>
    <xf numFmtId="0" fontId="50" fillId="0" borderId="19" xfId="67" applyFont="1" applyBorder="1" applyAlignment="1">
      <alignment wrapText="1"/>
      <protection/>
    </xf>
    <xf numFmtId="0" fontId="50" fillId="0" borderId="19" xfId="67" applyFont="1" applyBorder="1" applyAlignment="1">
      <alignment/>
      <protection/>
    </xf>
    <xf numFmtId="0" fontId="50" fillId="0" borderId="12" xfId="67" applyFont="1" applyBorder="1" applyAlignment="1" quotePrefix="1">
      <alignment horizontal="left" vertical="top" wrapText="1"/>
      <protection/>
    </xf>
    <xf numFmtId="0" fontId="50" fillId="0" borderId="12" xfId="67" applyFont="1" applyBorder="1" applyAlignment="1">
      <alignment horizontal="left" vertical="top"/>
      <protection/>
    </xf>
    <xf numFmtId="4" fontId="50" fillId="0" borderId="12" xfId="67" applyNumberFormat="1" applyFont="1" applyBorder="1" applyAlignment="1">
      <alignment/>
      <protection/>
    </xf>
    <xf numFmtId="0" fontId="50" fillId="0" borderId="12" xfId="67" applyFont="1" applyBorder="1" applyAlignment="1">
      <alignment wrapText="1"/>
      <protection/>
    </xf>
    <xf numFmtId="0" fontId="50" fillId="0" borderId="12" xfId="67" applyFont="1" applyBorder="1" applyAlignment="1">
      <alignment/>
      <protection/>
    </xf>
    <xf numFmtId="0" fontId="56" fillId="0" borderId="12" xfId="67" applyFont="1" applyBorder="1" applyAlignment="1">
      <alignment horizontal="left" vertical="top" wrapText="1"/>
      <protection/>
    </xf>
    <xf numFmtId="3" fontId="50" fillId="0" borderId="12" xfId="67" applyNumberFormat="1" applyFont="1" applyBorder="1" applyAlignment="1">
      <alignment/>
      <protection/>
    </xf>
    <xf numFmtId="0" fontId="55" fillId="0" borderId="37" xfId="67" applyFont="1" applyBorder="1" applyAlignment="1">
      <alignment horizontal="center" vertical="center" wrapText="1"/>
      <protection/>
    </xf>
    <xf numFmtId="0" fontId="55" fillId="0" borderId="37" xfId="67" applyFont="1" applyBorder="1" applyAlignment="1">
      <alignment horizontal="center" vertical="top" wrapText="1"/>
      <protection/>
    </xf>
    <xf numFmtId="0" fontId="55" fillId="0" borderId="15" xfId="67" applyFont="1" applyBorder="1" applyAlignment="1">
      <alignment horizontal="center" vertical="center"/>
      <protection/>
    </xf>
    <xf numFmtId="0" fontId="61" fillId="0" borderId="37" xfId="67" applyFont="1" applyBorder="1" applyAlignment="1">
      <alignment horizontal="left" vertical="center" wrapText="1"/>
      <protection/>
    </xf>
    <xf numFmtId="0" fontId="56" fillId="26" borderId="15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3" fontId="2" fillId="0" borderId="18" xfId="49" applyFont="1" applyFill="1" applyBorder="1" applyAlignment="1">
      <alignment vertical="center" wrapText="1"/>
    </xf>
    <xf numFmtId="0" fontId="16" fillId="0" borderId="18" xfId="68" applyBorder="1">
      <alignment/>
      <protection/>
    </xf>
    <xf numFmtId="43" fontId="2" fillId="0" borderId="14" xfId="49" applyFont="1" applyFill="1" applyBorder="1" applyAlignment="1">
      <alignment vertical="center" wrapText="1"/>
    </xf>
    <xf numFmtId="43" fontId="3" fillId="0" borderId="14" xfId="49" applyFont="1" applyFill="1" applyBorder="1" applyAlignment="1">
      <alignment horizontal="right" vertical="center" wrapText="1"/>
    </xf>
    <xf numFmtId="43" fontId="3" fillId="26" borderId="12" xfId="49" applyFont="1" applyFill="1" applyBorder="1" applyAlignment="1">
      <alignment vertical="center" wrapText="1"/>
    </xf>
    <xf numFmtId="0" fontId="21" fillId="26" borderId="22" xfId="69" applyFont="1" applyFill="1" applyBorder="1" applyAlignment="1">
      <alignment horizontal="center"/>
      <protection/>
    </xf>
    <xf numFmtId="0" fontId="21" fillId="26" borderId="0" xfId="69" applyFont="1" applyFill="1" applyBorder="1" applyAlignment="1">
      <alignment horizontal="center"/>
      <protection/>
    </xf>
    <xf numFmtId="171" fontId="21" fillId="26" borderId="0" xfId="69" applyNumberFormat="1" applyFont="1" applyFill="1" applyBorder="1" applyAlignment="1">
      <alignment horizontal="center"/>
      <protection/>
    </xf>
    <xf numFmtId="171" fontId="56" fillId="26" borderId="0" xfId="69" applyNumberFormat="1" applyFont="1" applyFill="1" applyBorder="1" applyAlignment="1">
      <alignment horizontal="center"/>
      <protection/>
    </xf>
    <xf numFmtId="0" fontId="21" fillId="26" borderId="0" xfId="69" applyFont="1" applyFill="1" applyBorder="1">
      <alignment/>
      <protection/>
    </xf>
    <xf numFmtId="0" fontId="56" fillId="26" borderId="13" xfId="69" applyFont="1" applyFill="1" applyBorder="1">
      <alignment/>
      <protection/>
    </xf>
    <xf numFmtId="171" fontId="50" fillId="26" borderId="13" xfId="42" applyFont="1" applyFill="1" applyBorder="1" applyAlignment="1">
      <alignment/>
    </xf>
    <xf numFmtId="171" fontId="50" fillId="26" borderId="28" xfId="42" applyFont="1" applyFill="1" applyBorder="1" applyAlignment="1">
      <alignment/>
    </xf>
    <xf numFmtId="171" fontId="50" fillId="26" borderId="11" xfId="42" applyFont="1" applyFill="1" applyBorder="1" applyAlignment="1">
      <alignment/>
    </xf>
    <xf numFmtId="43" fontId="50" fillId="26" borderId="11" xfId="50" applyFont="1" applyFill="1" applyBorder="1" applyAlignment="1">
      <alignment/>
    </xf>
    <xf numFmtId="171" fontId="50" fillId="26" borderId="12" xfId="69" applyNumberFormat="1" applyFont="1" applyFill="1" applyBorder="1" applyAlignment="1">
      <alignment horizontal="center"/>
      <protection/>
    </xf>
    <xf numFmtId="171" fontId="50" fillId="26" borderId="11" xfId="69" applyNumberFormat="1" applyFont="1" applyFill="1" applyBorder="1" applyAlignment="1">
      <alignment horizontal="center"/>
      <protection/>
    </xf>
    <xf numFmtId="171" fontId="50" fillId="26" borderId="15" xfId="69" applyNumberFormat="1" applyFont="1" applyFill="1" applyBorder="1" applyAlignment="1">
      <alignment horizontal="center"/>
      <protection/>
    </xf>
    <xf numFmtId="0" fontId="0" fillId="26" borderId="11" xfId="69" applyFont="1" applyFill="1" applyBorder="1">
      <alignment/>
      <protection/>
    </xf>
    <xf numFmtId="0" fontId="50" fillId="26" borderId="12" xfId="0" applyFont="1" applyFill="1" applyBorder="1" applyAlignment="1" quotePrefix="1">
      <alignment vertical="center"/>
    </xf>
    <xf numFmtId="0" fontId="50" fillId="26" borderId="11" xfId="0" applyFont="1" applyFill="1" applyBorder="1" applyAlignment="1" quotePrefix="1">
      <alignment wrapText="1"/>
    </xf>
    <xf numFmtId="180" fontId="50" fillId="26" borderId="12" xfId="42" applyNumberFormat="1" applyFont="1" applyFill="1" applyBorder="1" applyAlignment="1">
      <alignment/>
    </xf>
    <xf numFmtId="0" fontId="50" fillId="26" borderId="12" xfId="0" applyFont="1" applyFill="1" applyBorder="1" applyAlignment="1" quotePrefix="1">
      <alignment vertical="center" wrapText="1"/>
    </xf>
    <xf numFmtId="0" fontId="50" fillId="26" borderId="15" xfId="69" applyFont="1" applyFill="1" applyBorder="1">
      <alignment/>
      <protection/>
    </xf>
    <xf numFmtId="171" fontId="50" fillId="26" borderId="15" xfId="42" applyFont="1" applyFill="1" applyBorder="1" applyAlignment="1">
      <alignment/>
    </xf>
    <xf numFmtId="0" fontId="50" fillId="26" borderId="12" xfId="69" applyFont="1" applyFill="1" applyBorder="1" quotePrefix="1">
      <alignment/>
      <protection/>
    </xf>
    <xf numFmtId="171" fontId="50" fillId="26" borderId="12" xfId="42" applyNumberFormat="1" applyFont="1" applyFill="1" applyBorder="1" applyAlignment="1" quotePrefix="1">
      <alignment horizontal="left" vertical="top" wrapText="1"/>
    </xf>
    <xf numFmtId="171" fontId="50" fillId="26" borderId="25" xfId="42" applyFont="1" applyFill="1" applyBorder="1" applyAlignment="1">
      <alignment/>
    </xf>
    <xf numFmtId="171" fontId="50" fillId="26" borderId="11" xfId="42" applyNumberFormat="1" applyFont="1" applyFill="1" applyBorder="1" applyAlignment="1" quotePrefix="1">
      <alignment horizontal="left" vertical="top" wrapText="1"/>
    </xf>
    <xf numFmtId="43" fontId="50" fillId="26" borderId="0" xfId="69" applyNumberFormat="1" applyFont="1" applyFill="1">
      <alignment/>
      <protection/>
    </xf>
    <xf numFmtId="43" fontId="0" fillId="26" borderId="12" xfId="48" applyFont="1" applyFill="1" applyBorder="1" applyAlignment="1">
      <alignment horizontal="center" vertical="center"/>
    </xf>
    <xf numFmtId="0" fontId="50" fillId="26" borderId="12" xfId="0" applyFont="1" applyFill="1" applyBorder="1" applyAlignment="1" quotePrefix="1">
      <alignment wrapText="1"/>
    </xf>
    <xf numFmtId="0" fontId="50" fillId="26" borderId="13" xfId="69" applyFont="1" applyFill="1" applyBorder="1">
      <alignment/>
      <protection/>
    </xf>
    <xf numFmtId="0" fontId="50" fillId="26" borderId="13" xfId="69" applyFont="1" applyFill="1" applyBorder="1" applyAlignment="1" quotePrefix="1">
      <alignment vertical="center" wrapText="1"/>
      <protection/>
    </xf>
    <xf numFmtId="0" fontId="50" fillId="26" borderId="13" xfId="69" applyFont="1" applyFill="1" applyBorder="1" applyAlignment="1" quotePrefix="1">
      <alignment vertical="center"/>
      <protection/>
    </xf>
    <xf numFmtId="0" fontId="50" fillId="26" borderId="12" xfId="69" applyFont="1" applyFill="1" applyBorder="1" applyAlignment="1">
      <alignment horizontal="left"/>
      <protection/>
    </xf>
    <xf numFmtId="0" fontId="50" fillId="26" borderId="11" xfId="69" applyFont="1" applyFill="1" applyBorder="1" applyAlignment="1">
      <alignment horizontal="left"/>
      <protection/>
    </xf>
    <xf numFmtId="0" fontId="50" fillId="26" borderId="12" xfId="69" applyFont="1" applyFill="1" applyBorder="1" applyAlignment="1" quotePrefix="1">
      <alignment horizontal="left"/>
      <protection/>
    </xf>
    <xf numFmtId="0" fontId="50" fillId="26" borderId="15" xfId="69" applyFont="1" applyFill="1" applyBorder="1" applyAlignment="1" quotePrefix="1">
      <alignment horizontal="left"/>
      <protection/>
    </xf>
    <xf numFmtId="9" fontId="0" fillId="0" borderId="11" xfId="0" applyNumberFormat="1" applyBorder="1" applyAlignment="1">
      <alignment horizontal="center"/>
    </xf>
    <xf numFmtId="43" fontId="0" fillId="0" borderId="0" xfId="48" applyFont="1" applyAlignment="1" quotePrefix="1">
      <alignment vertical="center" wrapText="1"/>
    </xf>
    <xf numFmtId="0" fontId="21" fillId="26" borderId="0" xfId="69" applyFont="1" applyFill="1" applyBorder="1" applyAlignment="1">
      <alignment horizontal="center"/>
      <protection/>
    </xf>
    <xf numFmtId="171" fontId="51" fillId="26" borderId="0" xfId="69" applyNumberFormat="1" applyFont="1" applyFill="1" applyBorder="1" applyAlignment="1">
      <alignment horizontal="center"/>
      <protection/>
    </xf>
    <xf numFmtId="9" fontId="0" fillId="0" borderId="12" xfId="66" applyNumberFormat="1" applyBorder="1" applyAlignment="1">
      <alignment horizontal="center"/>
      <protection/>
    </xf>
    <xf numFmtId="43" fontId="35" fillId="0" borderId="0" xfId="48" applyFont="1" applyAlignment="1">
      <alignment horizontal="center" vertical="center" wrapText="1"/>
    </xf>
    <xf numFmtId="0" fontId="21" fillId="26" borderId="37" xfId="69" applyFont="1" applyFill="1" applyBorder="1" applyAlignment="1">
      <alignment horizontal="center" vertical="center"/>
      <protection/>
    </xf>
    <xf numFmtId="0" fontId="0" fillId="26" borderId="19" xfId="0" applyFont="1" applyFill="1" applyBorder="1" applyAlignment="1">
      <alignment horizontal="center" vertical="center"/>
    </xf>
    <xf numFmtId="0" fontId="21" fillId="26" borderId="13" xfId="69" applyFont="1" applyFill="1" applyBorder="1" applyAlignment="1" quotePrefix="1">
      <alignment horizontal="left" vertical="center"/>
      <protection/>
    </xf>
    <xf numFmtId="0" fontId="21" fillId="26" borderId="11" xfId="69" applyFont="1" applyFill="1" applyBorder="1" applyAlignment="1" quotePrefix="1">
      <alignment horizontal="left" vertical="center"/>
      <protection/>
    </xf>
    <xf numFmtId="0" fontId="0" fillId="26" borderId="13" xfId="69" applyFont="1" applyFill="1" applyBorder="1" applyAlignment="1" quotePrefix="1">
      <alignment horizontal="left" vertical="center"/>
      <protection/>
    </xf>
    <xf numFmtId="0" fontId="0" fillId="26" borderId="11" xfId="69" applyFont="1" applyFill="1" applyBorder="1" applyAlignment="1" quotePrefix="1">
      <alignment horizontal="left" vertical="center"/>
      <protection/>
    </xf>
    <xf numFmtId="0" fontId="0" fillId="26" borderId="13" xfId="69" applyFont="1" applyFill="1" applyBorder="1" applyAlignment="1" quotePrefix="1">
      <alignment horizontal="left" vertical="center"/>
      <protection/>
    </xf>
    <xf numFmtId="0" fontId="0" fillId="26" borderId="11" xfId="69" applyFont="1" applyFill="1" applyBorder="1" applyAlignment="1" quotePrefix="1">
      <alignment horizontal="left" vertical="center"/>
      <protection/>
    </xf>
    <xf numFmtId="0" fontId="21" fillId="26" borderId="0" xfId="69" applyFont="1" applyFill="1" applyAlignment="1">
      <alignment horizontal="center"/>
      <protection/>
    </xf>
    <xf numFmtId="0" fontId="21" fillId="26" borderId="0" xfId="69" applyFont="1" applyFill="1" applyBorder="1" applyAlignment="1">
      <alignment horizontal="center"/>
      <protection/>
    </xf>
    <xf numFmtId="0" fontId="28" fillId="26" borderId="37" xfId="69" applyFont="1" applyFill="1" applyBorder="1" applyAlignment="1">
      <alignment horizontal="center"/>
      <protection/>
    </xf>
    <xf numFmtId="0" fontId="29" fillId="26" borderId="19" xfId="0" applyFont="1" applyFill="1" applyBorder="1" applyAlignment="1">
      <alignment horizontal="center"/>
    </xf>
    <xf numFmtId="0" fontId="21" fillId="26" borderId="40" xfId="69" applyFont="1" applyFill="1" applyBorder="1" applyAlignment="1">
      <alignment horizontal="center"/>
      <protection/>
    </xf>
    <xf numFmtId="0" fontId="21" fillId="26" borderId="41" xfId="69" applyFont="1" applyFill="1" applyBorder="1" applyAlignment="1">
      <alignment horizontal="center"/>
      <protection/>
    </xf>
    <xf numFmtId="0" fontId="21" fillId="26" borderId="22" xfId="69" applyFont="1" applyFill="1" applyBorder="1" applyAlignment="1">
      <alignment horizontal="center"/>
      <protection/>
    </xf>
    <xf numFmtId="43" fontId="21" fillId="26" borderId="37" xfId="50" applyFont="1" applyFill="1" applyBorder="1" applyAlignment="1">
      <alignment horizontal="center" vertical="center"/>
    </xf>
    <xf numFmtId="0" fontId="0" fillId="26" borderId="13" xfId="69" applyFont="1" applyFill="1" applyBorder="1" applyAlignment="1">
      <alignment horizontal="left" wrapText="1"/>
      <protection/>
    </xf>
    <xf numFmtId="0" fontId="0" fillId="26" borderId="15" xfId="69" applyFont="1" applyFill="1" applyBorder="1" applyAlignment="1">
      <alignment horizontal="left" wrapText="1"/>
      <protection/>
    </xf>
    <xf numFmtId="0" fontId="0" fillId="26" borderId="11" xfId="69" applyFont="1" applyFill="1" applyBorder="1" applyAlignment="1">
      <alignment horizontal="left" wrapText="1"/>
      <protection/>
    </xf>
    <xf numFmtId="0" fontId="50" fillId="26" borderId="13" xfId="69" applyFont="1" applyFill="1" applyBorder="1" applyAlignment="1" quotePrefix="1">
      <alignment horizontal="left" vertical="center"/>
      <protection/>
    </xf>
    <xf numFmtId="0" fontId="50" fillId="26" borderId="11" xfId="69" applyFont="1" applyFill="1" applyBorder="1" applyAlignment="1" quotePrefix="1">
      <alignment horizontal="left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21" fillId="0" borderId="3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37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5" fillId="0" borderId="21" xfId="67" applyFont="1" applyBorder="1" applyAlignment="1">
      <alignment horizontal="center" vertical="center" wrapText="1"/>
      <protection/>
    </xf>
    <xf numFmtId="0" fontId="55" fillId="0" borderId="21" xfId="67" applyFont="1" applyBorder="1" applyAlignment="1">
      <alignment horizontal="center" vertical="center"/>
      <protection/>
    </xf>
    <xf numFmtId="0" fontId="55" fillId="0" borderId="21" xfId="67" applyFont="1" applyBorder="1" applyAlignment="1">
      <alignment horizontal="center" vertical="top" wrapText="1"/>
      <protection/>
    </xf>
    <xf numFmtId="0" fontId="55" fillId="0" borderId="37" xfId="67" applyFont="1" applyBorder="1" applyAlignment="1">
      <alignment horizontal="center" vertical="center"/>
      <protection/>
    </xf>
    <xf numFmtId="0" fontId="55" fillId="0" borderId="19" xfId="67" applyFont="1" applyBorder="1" applyAlignment="1">
      <alignment horizontal="center" vertical="center"/>
      <protection/>
    </xf>
    <xf numFmtId="0" fontId="3" fillId="0" borderId="0" xfId="66" applyFont="1" applyAlignment="1">
      <alignment horizontal="center"/>
      <protection/>
    </xf>
    <xf numFmtId="0" fontId="3" fillId="0" borderId="0" xfId="66" applyFont="1" applyAlignment="1" quotePrefix="1">
      <alignment horizontal="center"/>
      <protection/>
    </xf>
    <xf numFmtId="0" fontId="21" fillId="0" borderId="37" xfId="66" applyFont="1" applyBorder="1" applyAlignment="1">
      <alignment horizontal="center" vertical="center"/>
      <protection/>
    </xf>
    <xf numFmtId="0" fontId="21" fillId="0" borderId="19" xfId="66" applyFont="1" applyBorder="1" applyAlignment="1">
      <alignment horizontal="center" vertical="center"/>
      <protection/>
    </xf>
    <xf numFmtId="0" fontId="21" fillId="0" borderId="40" xfId="66" applyFont="1" applyBorder="1" applyAlignment="1">
      <alignment horizontal="center" vertical="center"/>
      <protection/>
    </xf>
    <xf numFmtId="0" fontId="21" fillId="0" borderId="41" xfId="66" applyFont="1" applyBorder="1" applyAlignment="1">
      <alignment horizontal="center" vertical="center"/>
      <protection/>
    </xf>
    <xf numFmtId="0" fontId="21" fillId="0" borderId="37" xfId="66" applyFont="1" applyBorder="1" applyAlignment="1">
      <alignment horizontal="center" wrapText="1"/>
      <protection/>
    </xf>
    <xf numFmtId="0" fontId="21" fillId="0" borderId="19" xfId="66" applyFont="1" applyBorder="1" applyAlignment="1">
      <alignment horizontal="center" wrapText="1"/>
      <protection/>
    </xf>
    <xf numFmtId="0" fontId="21" fillId="0" borderId="37" xfId="66" applyFont="1" applyBorder="1" applyAlignment="1">
      <alignment horizontal="center" vertical="center" wrapText="1"/>
      <protection/>
    </xf>
    <xf numFmtId="0" fontId="21" fillId="0" borderId="19" xfId="66" applyFont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Alignment="1" quotePrefix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37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_grant-contributions09" xfId="48"/>
    <cellStyle name="Comma_grant-contributions09 2" xfId="49"/>
    <cellStyle name="Comma_sector-valluelao4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_grant-contributions09" xfId="68"/>
    <cellStyle name="Normal_sector-valluelao4" xfId="69"/>
    <cellStyle name="Normal_ตารางมค-มิย.50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  <cellStyle name="ปกติ_4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DA%202550-2562\&#3619;&#3634;&#3618;&#3621;&#3632;&#3648;&#3629;&#3637;&#3618;&#3604;&#3585;&#3634;&#3619;&#3592;&#3657;&#3634;&#3591;&#3611;&#3637;60-61\&#3619;&#3623;&#3617;&#3605;&#3633;&#3623;&#3648;&#3621;&#3586;&#3626;&#3614;&#3619;.&#3649;&#3610;&#3610;&#3605;&#3656;&#3634;&#3591;&#3654;\Downloads\other-20130925-105802-277795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621;&#3632;&#3648;&#3629;&#3637;&#3618;&#3604;&#3585;&#3634;&#3619;&#3592;&#3657;&#3634;&#3591;&#3611;&#3637;60-61\&#3619;&#3623;&#3617;&#3605;&#3633;&#3623;&#3648;&#3621;&#3586;&#3626;&#3614;&#3619;.&#3649;&#3610;&#3610;&#3605;&#3656;&#3634;&#3591;&#3654;\Downloads\other-20130925-105802-27779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I"/>
      <sheetName val="AnII"/>
      <sheetName val="ApIII"/>
      <sheetName val="ApIV"/>
      <sheetName val="ApV"/>
      <sheetName val="AnVI"/>
      <sheetName val="ApVII"/>
      <sheetName val="ApVIII"/>
      <sheetName val="ApIX"/>
      <sheetName val="ApX"/>
      <sheetName val="AnXI"/>
      <sheetName val="ApXII"/>
      <sheetName val="ApXIII"/>
      <sheetName val="Framework"/>
      <sheetName val="ApXI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I"/>
      <sheetName val="AnII"/>
      <sheetName val="ApIII"/>
      <sheetName val="ApIV"/>
      <sheetName val="ApV"/>
      <sheetName val="AnVI"/>
      <sheetName val="ApVII"/>
      <sheetName val="ApVIII"/>
      <sheetName val="ApIX"/>
      <sheetName val="ApX"/>
      <sheetName val="AnXI"/>
      <sheetName val="ApXII"/>
      <sheetName val="ApXIII"/>
      <sheetName val="Framework"/>
      <sheetName val="ApX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5"/>
  <sheetViews>
    <sheetView tabSelected="1" zoomScalePageLayoutView="0" workbookViewId="0" topLeftCell="A1">
      <pane xSplit="1" ySplit="3" topLeftCell="B19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B28" sqref="B28"/>
    </sheetView>
  </sheetViews>
  <sheetFormatPr defaultColWidth="9.140625" defaultRowHeight="20.25" customHeight="1"/>
  <cols>
    <col min="1" max="1" width="49.421875" style="89" customWidth="1"/>
    <col min="2" max="2" width="18.7109375" style="89" bestFit="1" customWidth="1"/>
    <col min="3" max="3" width="18.57421875" style="89" customWidth="1"/>
    <col min="4" max="4" width="17.140625" style="89" customWidth="1"/>
    <col min="5" max="5" width="18.57421875" style="89" customWidth="1"/>
    <col min="6" max="6" width="9.421875" style="89" customWidth="1"/>
    <col min="7" max="16384" width="9.140625" style="89" customWidth="1"/>
  </cols>
  <sheetData>
    <row r="1" spans="1:6" ht="31.5" customHeight="1">
      <c r="A1" s="739" t="s">
        <v>696</v>
      </c>
      <c r="B1" s="739"/>
      <c r="C1" s="739"/>
      <c r="D1" s="739"/>
      <c r="E1" s="739"/>
      <c r="F1" s="202"/>
    </row>
    <row r="2" spans="1:5" ht="25.5" customHeight="1">
      <c r="A2" s="135"/>
      <c r="B2" s="135"/>
      <c r="C2" s="135"/>
      <c r="D2" s="135"/>
      <c r="E2" s="136"/>
    </row>
    <row r="3" spans="1:18" ht="51" customHeight="1">
      <c r="A3" s="198" t="s">
        <v>41</v>
      </c>
      <c r="B3" s="221" t="s">
        <v>42</v>
      </c>
      <c r="C3" s="221" t="s">
        <v>43</v>
      </c>
      <c r="D3" s="199" t="s">
        <v>44</v>
      </c>
      <c r="E3" s="222" t="s">
        <v>45</v>
      </c>
      <c r="F3" s="599" t="s">
        <v>239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24">
      <c r="A4" s="281" t="s">
        <v>697</v>
      </c>
      <c r="B4" s="523"/>
      <c r="C4" s="524">
        <f>39600000+30778000</f>
        <v>70378000</v>
      </c>
      <c r="D4" s="525"/>
      <c r="E4" s="526">
        <f>SUM(B4:D4)</f>
        <v>70378000</v>
      </c>
      <c r="F4" s="598">
        <f aca="true" t="shared" si="0" ref="F4:F23">E4*100/$E$24</f>
        <v>4.075681854565155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57.75" customHeight="1">
      <c r="A5" s="243" t="s">
        <v>240</v>
      </c>
      <c r="B5" s="586">
        <v>91843735.18</v>
      </c>
      <c r="C5" s="587"/>
      <c r="D5" s="588">
        <v>159165885.67999995</v>
      </c>
      <c r="E5" s="589">
        <f aca="true" t="shared" si="1" ref="E5:E18">SUM(B5:D5)</f>
        <v>251009620.85999995</v>
      </c>
      <c r="F5" s="585">
        <f t="shared" si="0"/>
        <v>14.53629482310354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24.75" customHeight="1">
      <c r="A6" s="181" t="s">
        <v>56</v>
      </c>
      <c r="B6" s="197">
        <v>33150028.25</v>
      </c>
      <c r="C6" s="244">
        <v>92602490.06</v>
      </c>
      <c r="D6" s="196"/>
      <c r="E6" s="297">
        <f t="shared" si="1"/>
        <v>125752518.31</v>
      </c>
      <c r="F6" s="585">
        <f t="shared" si="0"/>
        <v>7.282492498251433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4.75" customHeight="1">
      <c r="A7" s="242" t="s">
        <v>112</v>
      </c>
      <c r="B7" s="197">
        <v>321804700</v>
      </c>
      <c r="C7" s="196">
        <v>42387071.145500004</v>
      </c>
      <c r="D7" s="196"/>
      <c r="E7" s="297">
        <f t="shared" si="1"/>
        <v>364191771.1455</v>
      </c>
      <c r="F7" s="585">
        <f t="shared" si="0"/>
        <v>21.09082089913979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24.75" customHeight="1">
      <c r="A8" s="281" t="s">
        <v>46</v>
      </c>
      <c r="B8" s="282">
        <v>378037808.09</v>
      </c>
      <c r="C8" s="283">
        <v>5371172.01</v>
      </c>
      <c r="D8" s="284"/>
      <c r="E8" s="285">
        <f t="shared" si="1"/>
        <v>383408980.09999996</v>
      </c>
      <c r="F8" s="481">
        <f t="shared" si="0"/>
        <v>22.203714556692468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24.75" customHeight="1">
      <c r="A9" s="590" t="s">
        <v>47</v>
      </c>
      <c r="B9" s="591">
        <v>1220000</v>
      </c>
      <c r="C9" s="592">
        <v>2643721</v>
      </c>
      <c r="D9" s="196"/>
      <c r="E9" s="297">
        <f t="shared" si="1"/>
        <v>3863721</v>
      </c>
      <c r="F9" s="585">
        <f t="shared" si="0"/>
        <v>0.22375312698289712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48">
      <c r="A10" s="664" t="s">
        <v>368</v>
      </c>
      <c r="B10" s="665">
        <v>169336576.59999996</v>
      </c>
      <c r="C10" s="666">
        <v>4077222.08</v>
      </c>
      <c r="D10" s="196"/>
      <c r="E10" s="297">
        <f t="shared" si="1"/>
        <v>173413798.67999998</v>
      </c>
      <c r="F10" s="585">
        <f t="shared" si="0"/>
        <v>10.042619463629126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24.75" customHeight="1">
      <c r="A11" s="181" t="s">
        <v>57</v>
      </c>
      <c r="B11" s="593">
        <v>2193900</v>
      </c>
      <c r="C11" s="594">
        <v>101353650.27759999</v>
      </c>
      <c r="D11" s="595"/>
      <c r="E11" s="297">
        <f t="shared" si="1"/>
        <v>103547550.27759999</v>
      </c>
      <c r="F11" s="585">
        <f t="shared" si="0"/>
        <v>5.99657381214424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24">
      <c r="A12" s="243" t="s">
        <v>55</v>
      </c>
      <c r="B12" s="596">
        <v>3215071.8200000003</v>
      </c>
      <c r="C12" s="597">
        <v>24350094.16</v>
      </c>
      <c r="D12" s="196"/>
      <c r="E12" s="297">
        <f>SUM(B12:D12)</f>
        <v>27565165.98</v>
      </c>
      <c r="F12" s="585">
        <f t="shared" si="0"/>
        <v>1.596334746693039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24">
      <c r="A13" s="584" t="s">
        <v>215</v>
      </c>
      <c r="B13" s="196"/>
      <c r="C13" s="196">
        <v>12700221.803999998</v>
      </c>
      <c r="D13" s="196"/>
      <c r="E13" s="297">
        <f t="shared" si="1"/>
        <v>12700221.803999998</v>
      </c>
      <c r="F13" s="585">
        <f t="shared" si="0"/>
        <v>0.7354864241029232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24.75" customHeight="1">
      <c r="A14" s="281" t="s">
        <v>48</v>
      </c>
      <c r="B14" s="291"/>
      <c r="C14" s="539">
        <v>44830112.74999999</v>
      </c>
      <c r="D14" s="291"/>
      <c r="E14" s="286">
        <f t="shared" si="1"/>
        <v>44830112.74999999</v>
      </c>
      <c r="F14" s="481">
        <f t="shared" si="0"/>
        <v>2.5961703525716127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4.75" customHeight="1">
      <c r="A15" s="287" t="s">
        <v>50</v>
      </c>
      <c r="B15" s="284">
        <v>781278</v>
      </c>
      <c r="C15" s="292">
        <v>21487729.685399998</v>
      </c>
      <c r="D15" s="284"/>
      <c r="E15" s="286">
        <f t="shared" si="1"/>
        <v>22269007.685399998</v>
      </c>
      <c r="F15" s="481">
        <f t="shared" si="0"/>
        <v>1.2896273060126282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4.75" customHeight="1">
      <c r="A16" s="281" t="s">
        <v>52</v>
      </c>
      <c r="B16" s="293">
        <v>2201891</v>
      </c>
      <c r="C16" s="290"/>
      <c r="D16" s="284"/>
      <c r="E16" s="286">
        <f t="shared" si="1"/>
        <v>2201891</v>
      </c>
      <c r="F16" s="481">
        <f t="shared" si="0"/>
        <v>0.12751438225624945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4.75" customHeight="1">
      <c r="A17" s="281" t="s">
        <v>51</v>
      </c>
      <c r="B17" s="284">
        <v>20000000</v>
      </c>
      <c r="C17" s="284">
        <v>3053461.6</v>
      </c>
      <c r="D17" s="284"/>
      <c r="E17" s="286">
        <f t="shared" si="1"/>
        <v>23053461.6</v>
      </c>
      <c r="F17" s="481">
        <f t="shared" si="0"/>
        <v>1.3350560562680749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24.75" customHeight="1">
      <c r="A18" s="281" t="s">
        <v>53</v>
      </c>
      <c r="B18" s="294"/>
      <c r="C18" s="294">
        <v>81870890.6</v>
      </c>
      <c r="D18" s="284"/>
      <c r="E18" s="286">
        <f t="shared" si="1"/>
        <v>81870890.6</v>
      </c>
      <c r="F18" s="481">
        <f t="shared" si="0"/>
        <v>4.741250152540692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24.75" customHeight="1">
      <c r="A19" s="243" t="s">
        <v>54</v>
      </c>
      <c r="B19" s="196"/>
      <c r="C19" s="175">
        <v>938762.1599999999</v>
      </c>
      <c r="D19" s="196"/>
      <c r="E19" s="286">
        <f>SUM(B19:D19)</f>
        <v>938762.1599999999</v>
      </c>
      <c r="F19" s="481">
        <f t="shared" si="0"/>
        <v>0.05436494218739364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24.75" customHeight="1">
      <c r="A20" s="243" t="s">
        <v>59</v>
      </c>
      <c r="B20" s="196">
        <v>168470</v>
      </c>
      <c r="C20" s="424">
        <v>598406.63</v>
      </c>
      <c r="D20" s="196"/>
      <c r="E20" s="286">
        <f>SUM(B20:D20)</f>
        <v>766876.63</v>
      </c>
      <c r="F20" s="481">
        <f t="shared" si="0"/>
        <v>0.044410826758093096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24.75" customHeight="1">
      <c r="A21" s="288" t="s">
        <v>49</v>
      </c>
      <c r="B21" s="289">
        <v>6117040</v>
      </c>
      <c r="C21" s="296">
        <v>8926898.889999999</v>
      </c>
      <c r="D21" s="284"/>
      <c r="E21" s="286">
        <f>SUM(B21:D21)</f>
        <v>15043938.889999999</v>
      </c>
      <c r="F21" s="481">
        <f t="shared" si="0"/>
        <v>0.8712141401455007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24.75" customHeight="1">
      <c r="A22" s="519" t="s">
        <v>298</v>
      </c>
      <c r="B22" s="295"/>
      <c r="C22" s="244">
        <v>8627800</v>
      </c>
      <c r="D22" s="284"/>
      <c r="E22" s="286">
        <f>SUM(B22:D22)</f>
        <v>8627800</v>
      </c>
      <c r="F22" s="481">
        <f t="shared" si="0"/>
        <v>0.49964716111309276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24.75" customHeight="1">
      <c r="A23" s="243" t="s">
        <v>58</v>
      </c>
      <c r="B23" s="220">
        <v>2591185.4399999995</v>
      </c>
      <c r="C23" s="220">
        <v>8753274.33</v>
      </c>
      <c r="D23" s="220"/>
      <c r="E23" s="286">
        <f>SUM(B23:D23)</f>
        <v>11344459.77</v>
      </c>
      <c r="F23" s="481">
        <f t="shared" si="0"/>
        <v>0.6569724748420442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30.75" customHeight="1" thickBot="1">
      <c r="A24" s="225" t="s">
        <v>62</v>
      </c>
      <c r="B24" s="225">
        <f>SUM(B4:B23)</f>
        <v>1032661684.38</v>
      </c>
      <c r="C24" s="225">
        <f>SUM(C4:C23)</f>
        <v>534950979.1825</v>
      </c>
      <c r="D24" s="225">
        <f>SUM(D4:D23)</f>
        <v>159165885.67999995</v>
      </c>
      <c r="E24" s="225">
        <f>SUM(E4:E23)</f>
        <v>1726778549.2425</v>
      </c>
      <c r="F24" s="225">
        <f>SUM(F4:F23)</f>
        <v>100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127.5" customHeight="1" hidden="1" thickTop="1">
      <c r="A25" s="268" t="s">
        <v>108</v>
      </c>
      <c r="B25" s="269"/>
      <c r="C25" s="269"/>
      <c r="D25" s="269"/>
      <c r="E25" s="27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18" ht="25.5" thickBot="1" thickTop="1">
      <c r="A26" s="698" t="s">
        <v>694</v>
      </c>
      <c r="B26" s="697">
        <f>B24*100/E24</f>
        <v>59.80278622484661</v>
      </c>
      <c r="C26" s="695">
        <f>C24*100/E24</f>
        <v>30.979709553212327</v>
      </c>
      <c r="D26" s="695">
        <f>D24*100/E24</f>
        <v>9.217504221941056</v>
      </c>
      <c r="E26" s="695">
        <f>SUM(B26:D26)</f>
        <v>100</v>
      </c>
      <c r="F26" s="696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ht="20.25" customHeight="1" thickTop="1">
      <c r="A27" s="549"/>
      <c r="E27" s="55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5:18" ht="20.25" customHeight="1">
      <c r="E28" s="735" t="s">
        <v>712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6:18" ht="20.25" customHeight="1"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7:18" ht="20.25" customHeight="1"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6:18" ht="20.25" customHeight="1"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6:18" ht="20.25" customHeight="1"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6:18" ht="20.25" customHeight="1"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6:18" ht="20.25" customHeight="1"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6:18" ht="20.25" customHeight="1"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</sheetData>
  <sheetProtection/>
  <mergeCells count="1">
    <mergeCell ref="A1:E1"/>
  </mergeCells>
  <printOptions horizontalCentered="1" verticalCentered="1"/>
  <pageMargins left="0.25" right="0.25" top="0.761811024" bottom="0.903543307" header="1.18110236220472" footer="0.511811023622047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zoomScalePageLayoutView="0" workbookViewId="0" topLeftCell="A4">
      <selection activeCell="F13" sqref="F13"/>
    </sheetView>
  </sheetViews>
  <sheetFormatPr defaultColWidth="9.140625" defaultRowHeight="21.75"/>
  <cols>
    <col min="1" max="1" width="53.8515625" style="0" customWidth="1"/>
    <col min="2" max="2" width="8.28125" style="0" customWidth="1"/>
    <col min="3" max="3" width="11.28125" style="0" bestFit="1" customWidth="1"/>
    <col min="4" max="4" width="9.00390625" style="0" customWidth="1"/>
    <col min="5" max="5" width="9.57421875" style="0" customWidth="1"/>
    <col min="6" max="6" width="16.421875" style="0" customWidth="1"/>
    <col min="7" max="7" width="14.421875" style="0" bestFit="1" customWidth="1"/>
    <col min="8" max="8" width="11.00390625" style="0" customWidth="1"/>
    <col min="9" max="9" width="15.7109375" style="0" customWidth="1"/>
    <col min="10" max="10" width="12.28125" style="0" customWidth="1"/>
  </cols>
  <sheetData>
    <row r="1" spans="1:10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1" ht="23.25">
      <c r="A2" s="762" t="s">
        <v>243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ht="21.75" customHeight="1"/>
    <row r="4" spans="1:10" ht="30" customHeight="1">
      <c r="A4" s="763" t="s">
        <v>1</v>
      </c>
      <c r="B4" s="765" t="s">
        <v>12</v>
      </c>
      <c r="C4" s="766"/>
      <c r="D4" s="766"/>
      <c r="E4" s="775"/>
      <c r="F4" s="767" t="s">
        <v>86</v>
      </c>
      <c r="G4" s="779" t="s">
        <v>4</v>
      </c>
      <c r="H4" s="763" t="s">
        <v>6</v>
      </c>
      <c r="I4" s="779" t="s">
        <v>7</v>
      </c>
      <c r="J4" s="779" t="s">
        <v>31</v>
      </c>
    </row>
    <row r="5" spans="1:10" ht="33" customHeight="1">
      <c r="A5" s="764"/>
      <c r="B5" s="23" t="s">
        <v>8</v>
      </c>
      <c r="C5" s="23" t="s">
        <v>9</v>
      </c>
      <c r="D5" s="23" t="s">
        <v>166</v>
      </c>
      <c r="E5" s="23" t="s">
        <v>10</v>
      </c>
      <c r="F5" s="778"/>
      <c r="G5" s="780"/>
      <c r="H5" s="764"/>
      <c r="I5" s="780"/>
      <c r="J5" s="780"/>
    </row>
    <row r="6" spans="1:10" ht="21.75">
      <c r="A6" s="7" t="s">
        <v>3</v>
      </c>
      <c r="B6" s="8"/>
      <c r="C6" s="8"/>
      <c r="D6" s="8"/>
      <c r="E6" s="56"/>
      <c r="F6" s="8"/>
      <c r="G6" s="8"/>
      <c r="H6" s="9"/>
      <c r="I6" s="9"/>
      <c r="J6" s="10"/>
    </row>
    <row r="7" spans="1:10" ht="21.75">
      <c r="A7" s="315" t="s">
        <v>210</v>
      </c>
      <c r="B7" s="376"/>
      <c r="C7" s="377"/>
      <c r="D7" s="376"/>
      <c r="E7" s="378"/>
      <c r="F7" s="233"/>
      <c r="G7" s="237">
        <f>SUM(B7:F7)</f>
        <v>0</v>
      </c>
      <c r="H7" s="400"/>
      <c r="I7" s="238"/>
      <c r="J7" s="87"/>
    </row>
    <row r="8" spans="1:10" ht="43.5">
      <c r="A8" s="316" t="s">
        <v>211</v>
      </c>
      <c r="B8" s="403"/>
      <c r="C8" s="263"/>
      <c r="D8" s="403"/>
      <c r="E8" s="237"/>
      <c r="F8" s="237">
        <f>217888.21+9300</f>
        <v>227188.21</v>
      </c>
      <c r="G8" s="237">
        <f>SUM(B8:F8)</f>
        <v>227188.21</v>
      </c>
      <c r="H8" s="400" t="s">
        <v>36</v>
      </c>
      <c r="I8" s="40" t="s">
        <v>88</v>
      </c>
      <c r="J8" s="16"/>
    </row>
    <row r="9" spans="1:10" ht="43.5">
      <c r="A9" s="316" t="s">
        <v>212</v>
      </c>
      <c r="B9" s="403"/>
      <c r="C9" s="263"/>
      <c r="D9" s="403"/>
      <c r="E9" s="237"/>
      <c r="F9" s="237">
        <v>694260</v>
      </c>
      <c r="G9" s="237">
        <f>SUM(B9:F9)</f>
        <v>694260</v>
      </c>
      <c r="H9" s="400" t="s">
        <v>36</v>
      </c>
      <c r="I9" s="40" t="s">
        <v>88</v>
      </c>
      <c r="J9" s="16"/>
    </row>
    <row r="10" spans="1:10" ht="65.25">
      <c r="A10" s="316" t="s">
        <v>213</v>
      </c>
      <c r="B10" s="403"/>
      <c r="C10" s="263"/>
      <c r="D10" s="403"/>
      <c r="E10" s="237"/>
      <c r="F10" s="237">
        <v>9774</v>
      </c>
      <c r="G10" s="237">
        <f>SUM(B10:F10)</f>
        <v>9774</v>
      </c>
      <c r="H10" s="400" t="s">
        <v>36</v>
      </c>
      <c r="I10" s="40" t="s">
        <v>88</v>
      </c>
      <c r="J10" s="16"/>
    </row>
    <row r="11" spans="1:10" ht="43.5" customHeight="1">
      <c r="A11" s="316" t="s">
        <v>214</v>
      </c>
      <c r="B11" s="376"/>
      <c r="C11" s="377"/>
      <c r="D11" s="376"/>
      <c r="E11" s="378"/>
      <c r="F11" s="233">
        <v>7539.95</v>
      </c>
      <c r="G11" s="237">
        <f>SUM(B11:F11)</f>
        <v>7539.95</v>
      </c>
      <c r="H11" s="400" t="s">
        <v>36</v>
      </c>
      <c r="I11" s="40" t="s">
        <v>88</v>
      </c>
      <c r="J11" s="87"/>
    </row>
    <row r="12" spans="1:10" ht="22.5" thickBot="1">
      <c r="A12" s="141" t="s">
        <v>2</v>
      </c>
      <c r="B12" s="59">
        <f>SUM(B8:B11)</f>
        <v>0</v>
      </c>
      <c r="C12" s="59">
        <f>SUM(C8:C11)</f>
        <v>0</v>
      </c>
      <c r="D12" s="59">
        <f>SUM(D8:D11)</f>
        <v>0</v>
      </c>
      <c r="E12" s="59">
        <f>SUM(E8:E11)</f>
        <v>0</v>
      </c>
      <c r="F12" s="59">
        <f>SUM(F8:F11)</f>
        <v>938762.1599999999</v>
      </c>
      <c r="G12" s="59">
        <f>SUM(G7:G11)</f>
        <v>938762.1599999999</v>
      </c>
      <c r="H12" s="21"/>
      <c r="I12" s="21"/>
      <c r="J12" s="21"/>
    </row>
    <row r="13" spans="1:10" ht="22.5" thickTop="1">
      <c r="A13" s="60"/>
      <c r="B13" s="61"/>
      <c r="C13" s="35"/>
      <c r="D13" s="35"/>
      <c r="E13" s="35"/>
      <c r="F13" s="35"/>
      <c r="G13" s="35"/>
      <c r="H13" s="35"/>
      <c r="I13" s="35"/>
      <c r="J13" s="35"/>
    </row>
    <row r="14" spans="1:6" ht="21.75">
      <c r="A14" s="36"/>
      <c r="F14" s="1"/>
    </row>
    <row r="15" ht="21.75">
      <c r="F15" s="29"/>
    </row>
  </sheetData>
  <sheetProtection/>
  <mergeCells count="9">
    <mergeCell ref="A1:J1"/>
    <mergeCell ref="A2:K2"/>
    <mergeCell ref="A4:A5"/>
    <mergeCell ref="B4:E4"/>
    <mergeCell ref="F4:F5"/>
    <mergeCell ref="G4:G5"/>
    <mergeCell ref="H4:H5"/>
    <mergeCell ref="I4:I5"/>
    <mergeCell ref="J4:J5"/>
  </mergeCells>
  <printOptions/>
  <pageMargins left="1.104330709" right="0.748031496" top="1.287401575" bottom="0.196850393700787" header="0.984251968503937" footer="0.1574803149606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19"/>
  <sheetViews>
    <sheetView showGridLines="0" zoomScalePageLayoutView="0" workbookViewId="0" topLeftCell="A7">
      <selection activeCell="A15" sqref="A15"/>
    </sheetView>
  </sheetViews>
  <sheetFormatPr defaultColWidth="9.140625" defaultRowHeight="21.75"/>
  <cols>
    <col min="1" max="1" width="55.00390625" style="0" customWidth="1"/>
    <col min="2" max="2" width="13.57421875" style="0" customWidth="1"/>
    <col min="3" max="4" width="12.421875" style="0" customWidth="1"/>
    <col min="5" max="5" width="11.421875" style="0" customWidth="1"/>
    <col min="6" max="6" width="13.421875" style="0" customWidth="1"/>
    <col min="7" max="7" width="13.7109375" style="0" customWidth="1"/>
    <col min="8" max="8" width="17.7109375" style="0" customWidth="1"/>
    <col min="9" max="9" width="16.00390625" style="0" customWidth="1"/>
    <col min="10" max="10" width="16.140625" style="0" customWidth="1"/>
    <col min="13" max="13" width="13.28125" style="0" customWidth="1"/>
  </cols>
  <sheetData>
    <row r="1" spans="1:10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2" ht="23.25">
      <c r="A2" s="762" t="s">
        <v>241</v>
      </c>
      <c r="B2" s="762"/>
      <c r="C2" s="762"/>
      <c r="D2" s="762"/>
      <c r="E2" s="762"/>
      <c r="F2" s="762"/>
      <c r="G2" s="762"/>
      <c r="H2" s="762"/>
      <c r="I2" s="762"/>
      <c r="J2" s="762"/>
      <c r="K2" s="104"/>
      <c r="L2" s="104"/>
    </row>
    <row r="3" spans="1:10" ht="21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23.25" customHeight="1">
      <c r="A4" s="789" t="s">
        <v>1</v>
      </c>
      <c r="B4" s="791" t="s">
        <v>12</v>
      </c>
      <c r="C4" s="792"/>
      <c r="D4" s="792"/>
      <c r="E4" s="792"/>
      <c r="F4" s="152"/>
      <c r="G4" s="787" t="s">
        <v>13</v>
      </c>
      <c r="H4" s="789" t="s">
        <v>6</v>
      </c>
      <c r="I4" s="769" t="s">
        <v>7</v>
      </c>
      <c r="J4" s="769" t="s">
        <v>22</v>
      </c>
    </row>
    <row r="5" spans="1:10" ht="36" customHeight="1">
      <c r="A5" s="790"/>
      <c r="B5" s="45" t="s">
        <v>8</v>
      </c>
      <c r="C5" s="45" t="s">
        <v>9</v>
      </c>
      <c r="D5" s="45" t="s">
        <v>153</v>
      </c>
      <c r="E5" s="156" t="s">
        <v>10</v>
      </c>
      <c r="F5" s="261" t="s">
        <v>18</v>
      </c>
      <c r="G5" s="788"/>
      <c r="H5" s="790"/>
      <c r="I5" s="770"/>
      <c r="J5" s="770"/>
    </row>
    <row r="6" spans="1:10" ht="24">
      <c r="A6" s="30" t="s">
        <v>24</v>
      </c>
      <c r="B6" s="31"/>
      <c r="C6" s="31"/>
      <c r="D6" s="31"/>
      <c r="E6" s="31"/>
      <c r="F6" s="31"/>
      <c r="G6" s="31"/>
      <c r="H6" s="32"/>
      <c r="I6" s="32"/>
      <c r="J6" s="33"/>
    </row>
    <row r="7" spans="1:10" ht="44.25">
      <c r="A7" s="153" t="s">
        <v>258</v>
      </c>
      <c r="B7" s="115">
        <f>17825/4</f>
        <v>4456.25</v>
      </c>
      <c r="C7" s="115">
        <f>17825/4</f>
        <v>4456.25</v>
      </c>
      <c r="D7" s="115">
        <f>17825/4</f>
        <v>4456.25</v>
      </c>
      <c r="E7" s="115">
        <f>17825/4</f>
        <v>4456.25</v>
      </c>
      <c r="F7" s="155"/>
      <c r="G7" s="118">
        <f>SUM(B7:F7)</f>
        <v>17825</v>
      </c>
      <c r="H7" s="50" t="s">
        <v>25</v>
      </c>
      <c r="I7" s="154" t="s">
        <v>259</v>
      </c>
      <c r="J7" s="487"/>
    </row>
    <row r="8" spans="1:10" ht="43.5">
      <c r="A8" s="153" t="s">
        <v>260</v>
      </c>
      <c r="B8" s="115">
        <v>1437857</v>
      </c>
      <c r="C8" s="115"/>
      <c r="D8" s="115"/>
      <c r="E8" s="115"/>
      <c r="F8" s="116"/>
      <c r="G8" s="118">
        <f>SUM(B8:F8)</f>
        <v>1437857</v>
      </c>
      <c r="H8" s="50" t="s">
        <v>25</v>
      </c>
      <c r="I8" s="154" t="s">
        <v>167</v>
      </c>
      <c r="J8" s="273"/>
    </row>
    <row r="9" spans="1:10" ht="43.5">
      <c r="A9" s="153" t="s">
        <v>261</v>
      </c>
      <c r="B9" s="115"/>
      <c r="C9" s="115">
        <v>616209</v>
      </c>
      <c r="D9" s="115"/>
      <c r="E9" s="115"/>
      <c r="F9" s="117"/>
      <c r="G9" s="118">
        <f>SUM(B9:F9)</f>
        <v>616209</v>
      </c>
      <c r="H9" s="50" t="s">
        <v>25</v>
      </c>
      <c r="I9" s="154" t="s">
        <v>168</v>
      </c>
      <c r="J9" s="51"/>
    </row>
    <row r="10" spans="1:10" ht="43.5">
      <c r="A10" s="153" t="s">
        <v>715</v>
      </c>
      <c r="B10" s="115"/>
      <c r="C10" s="115"/>
      <c r="D10" s="115">
        <v>130000</v>
      </c>
      <c r="E10" s="115"/>
      <c r="F10" s="116"/>
      <c r="G10" s="118">
        <f>SUM(B10:F10)</f>
        <v>130000</v>
      </c>
      <c r="H10" s="50" t="s">
        <v>25</v>
      </c>
      <c r="I10" s="154" t="s">
        <v>262</v>
      </c>
      <c r="J10" s="127"/>
    </row>
    <row r="11" spans="1:10" ht="21.75">
      <c r="A11" s="153"/>
      <c r="B11" s="115"/>
      <c r="C11" s="115"/>
      <c r="D11" s="115"/>
      <c r="E11" s="115"/>
      <c r="F11" s="155"/>
      <c r="G11" s="118"/>
      <c r="H11" s="50"/>
      <c r="I11" s="154"/>
      <c r="J11" s="51"/>
    </row>
    <row r="12" spans="1:10" ht="22.5" thickBot="1">
      <c r="A12" s="19" t="s">
        <v>2</v>
      </c>
      <c r="B12" s="95">
        <f aca="true" t="shared" si="0" ref="B12:G12">SUM(B7:B11)</f>
        <v>1442313.25</v>
      </c>
      <c r="C12" s="95">
        <f t="shared" si="0"/>
        <v>620665.25</v>
      </c>
      <c r="D12" s="95">
        <f>SUM(D7:D11)</f>
        <v>134456.25</v>
      </c>
      <c r="E12" s="95">
        <f t="shared" si="0"/>
        <v>4456.25</v>
      </c>
      <c r="F12" s="95">
        <f t="shared" si="0"/>
        <v>0</v>
      </c>
      <c r="G12" s="95">
        <f t="shared" si="0"/>
        <v>2201891</v>
      </c>
      <c r="H12" s="119"/>
      <c r="I12" s="119"/>
      <c r="J12" s="119"/>
    </row>
    <row r="13" spans="1:10" ht="24.75" thickTop="1">
      <c r="A13" s="44"/>
      <c r="B13" s="44"/>
      <c r="C13" s="44"/>
      <c r="D13" s="44"/>
      <c r="E13" s="44"/>
      <c r="F13" s="405"/>
      <c r="G13" s="44"/>
      <c r="H13" s="44"/>
      <c r="I13" s="44"/>
      <c r="J13" s="44"/>
    </row>
    <row r="14" spans="2:9" ht="21.75">
      <c r="B14" s="110"/>
      <c r="C14" s="110"/>
      <c r="D14" s="110"/>
      <c r="E14" s="110"/>
      <c r="G14" s="1"/>
      <c r="I14" s="22"/>
    </row>
    <row r="15" spans="3:4" ht="21.75">
      <c r="C15" s="2"/>
      <c r="D15" s="1"/>
    </row>
    <row r="16" ht="21.75">
      <c r="C16" s="2"/>
    </row>
    <row r="17" ht="21.75">
      <c r="C17" s="2"/>
    </row>
    <row r="18" ht="21.75">
      <c r="C18" s="2"/>
    </row>
    <row r="19" ht="21.75">
      <c r="C19" s="2"/>
    </row>
  </sheetData>
  <sheetProtection/>
  <mergeCells count="8">
    <mergeCell ref="A1:J1"/>
    <mergeCell ref="G4:G5"/>
    <mergeCell ref="H4:H5"/>
    <mergeCell ref="I4:I5"/>
    <mergeCell ref="J4:J5"/>
    <mergeCell ref="A4:A5"/>
    <mergeCell ref="B4:E4"/>
    <mergeCell ref="A2:J2"/>
  </mergeCells>
  <printOptions horizontalCentered="1" verticalCentered="1"/>
  <pageMargins left="0.47244094488189" right="0.748031496062992" top="0.261811024" bottom="0.196850393700787" header="0.551181102362205" footer="0.15748031496063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4:J23"/>
  <sheetViews>
    <sheetView showGridLines="0" zoomScalePageLayoutView="0" workbookViewId="0" topLeftCell="A13">
      <selection activeCell="G12" sqref="G12"/>
    </sheetView>
  </sheetViews>
  <sheetFormatPr defaultColWidth="9.140625" defaultRowHeight="21.75"/>
  <cols>
    <col min="1" max="1" width="44.28125" style="0" customWidth="1"/>
    <col min="2" max="2" width="12.28125" style="0" customWidth="1"/>
    <col min="3" max="3" width="11.421875" style="0" customWidth="1"/>
    <col min="4" max="4" width="12.57421875" style="0" customWidth="1"/>
    <col min="5" max="5" width="11.8515625" style="0" customWidth="1"/>
    <col min="6" max="6" width="15.00390625" style="0" customWidth="1"/>
    <col min="7" max="7" width="16.28125" style="0" customWidth="1"/>
    <col min="8" max="8" width="14.7109375" style="0" customWidth="1"/>
    <col min="9" max="9" width="17.421875" style="0" customWidth="1"/>
    <col min="10" max="10" width="14.57421875" style="0" customWidth="1"/>
    <col min="13" max="13" width="13.28125" style="0" customWidth="1"/>
  </cols>
  <sheetData>
    <row r="4" spans="1:10" ht="23.25">
      <c r="A4" s="761" t="s">
        <v>0</v>
      </c>
      <c r="B4" s="761"/>
      <c r="C4" s="761"/>
      <c r="D4" s="761"/>
      <c r="E4" s="761"/>
      <c r="F4" s="761"/>
      <c r="G4" s="761"/>
      <c r="H4" s="761"/>
      <c r="I4" s="761"/>
      <c r="J4" s="761"/>
    </row>
    <row r="5" spans="1:10" ht="23.25">
      <c r="A5" s="762" t="s">
        <v>241</v>
      </c>
      <c r="B5" s="761"/>
      <c r="C5" s="761"/>
      <c r="D5" s="761"/>
      <c r="E5" s="761"/>
      <c r="F5" s="761"/>
      <c r="G5" s="761"/>
      <c r="H5" s="761"/>
      <c r="I5" s="761"/>
      <c r="J5" s="761"/>
    </row>
    <row r="6" spans="1:10" ht="21.7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21.75">
      <c r="A7" s="763" t="s">
        <v>1</v>
      </c>
      <c r="B7" s="765" t="s">
        <v>12</v>
      </c>
      <c r="C7" s="766"/>
      <c r="D7" s="766"/>
      <c r="E7" s="766"/>
      <c r="F7" s="767" t="s">
        <v>86</v>
      </c>
      <c r="G7" s="767" t="s">
        <v>13</v>
      </c>
      <c r="H7" s="763" t="s">
        <v>6</v>
      </c>
      <c r="I7" s="779" t="s">
        <v>7</v>
      </c>
      <c r="J7" s="779" t="s">
        <v>22</v>
      </c>
    </row>
    <row r="8" spans="1:10" ht="40.5" customHeight="1">
      <c r="A8" s="764"/>
      <c r="B8" s="23" t="s">
        <v>8</v>
      </c>
      <c r="C8" s="23" t="s">
        <v>9</v>
      </c>
      <c r="D8" s="23" t="s">
        <v>153</v>
      </c>
      <c r="E8" s="23" t="s">
        <v>10</v>
      </c>
      <c r="F8" s="778"/>
      <c r="G8" s="778"/>
      <c r="H8" s="764"/>
      <c r="I8" s="780"/>
      <c r="J8" s="780"/>
    </row>
    <row r="9" spans="1:10" ht="24">
      <c r="A9" s="7" t="s">
        <v>23</v>
      </c>
      <c r="B9" s="31"/>
      <c r="C9" s="31"/>
      <c r="D9" s="31"/>
      <c r="E9" s="31"/>
      <c r="F9" s="31"/>
      <c r="G9" s="31"/>
      <c r="H9" s="32"/>
      <c r="I9" s="32"/>
      <c r="J9" s="33"/>
    </row>
    <row r="10" spans="1:10" ht="24">
      <c r="A10" s="230" t="s">
        <v>252</v>
      </c>
      <c r="B10" s="65"/>
      <c r="C10" s="138"/>
      <c r="D10" s="138"/>
      <c r="E10" s="227"/>
      <c r="F10" s="227"/>
      <c r="G10" s="39"/>
      <c r="H10" s="127"/>
      <c r="I10" s="140"/>
      <c r="J10" s="46"/>
    </row>
    <row r="11" spans="1:10" ht="43.5">
      <c r="A11" s="172" t="s">
        <v>253</v>
      </c>
      <c r="B11" s="211"/>
      <c r="C11" s="211"/>
      <c r="D11" s="211"/>
      <c r="E11" s="211"/>
      <c r="F11" s="375">
        <v>369963.86</v>
      </c>
      <c r="G11" s="158">
        <f>SUM(B11:F11)</f>
        <v>369963.86</v>
      </c>
      <c r="H11" s="176" t="s">
        <v>36</v>
      </c>
      <c r="I11" s="200" t="s">
        <v>113</v>
      </c>
      <c r="J11" s="412"/>
    </row>
    <row r="12" spans="1:10" ht="24">
      <c r="A12" s="230" t="s">
        <v>250</v>
      </c>
      <c r="B12" s="211"/>
      <c r="C12" s="211"/>
      <c r="D12" s="211"/>
      <c r="E12" s="211"/>
      <c r="F12" s="375"/>
      <c r="G12" s="158"/>
      <c r="H12" s="176"/>
      <c r="I12" s="200"/>
      <c r="J12" s="412"/>
    </row>
    <row r="13" spans="1:10" ht="24">
      <c r="A13" s="172" t="s">
        <v>251</v>
      </c>
      <c r="B13" s="211"/>
      <c r="C13" s="211"/>
      <c r="D13" s="211"/>
      <c r="E13" s="211"/>
      <c r="F13" s="375">
        <f>81489131.1</f>
        <v>81489131.1</v>
      </c>
      <c r="G13" s="158">
        <f>SUM(B13:F13)</f>
        <v>81489131.1</v>
      </c>
      <c r="H13" s="176" t="s">
        <v>36</v>
      </c>
      <c r="I13" s="200" t="s">
        <v>113</v>
      </c>
      <c r="J13" s="636"/>
    </row>
    <row r="14" spans="1:10" ht="24">
      <c r="A14" s="230" t="s">
        <v>180</v>
      </c>
      <c r="B14" s="65"/>
      <c r="C14" s="65"/>
      <c r="D14" s="65"/>
      <c r="E14" s="65"/>
      <c r="F14" s="138"/>
      <c r="G14" s="158"/>
      <c r="H14" s="176"/>
      <c r="I14" s="200"/>
      <c r="J14" s="412"/>
    </row>
    <row r="15" spans="1:10" ht="24">
      <c r="A15" s="172" t="s">
        <v>181</v>
      </c>
      <c r="B15" s="65"/>
      <c r="C15" s="65"/>
      <c r="D15" s="65"/>
      <c r="E15" s="65"/>
      <c r="F15" s="138">
        <f>393188*3/100</f>
        <v>11795.64</v>
      </c>
      <c r="G15" s="158">
        <f>SUM(B15:F15)</f>
        <v>11795.64</v>
      </c>
      <c r="H15" s="176" t="s">
        <v>36</v>
      </c>
      <c r="I15" s="228" t="s">
        <v>113</v>
      </c>
      <c r="J15" s="578">
        <v>0.03</v>
      </c>
    </row>
    <row r="16" spans="1:10" ht="24.75" thickBot="1">
      <c r="A16" s="19" t="s">
        <v>2</v>
      </c>
      <c r="B16" s="95">
        <f aca="true" t="shared" si="0" ref="B16:G16">SUM(B11:B15)</f>
        <v>0</v>
      </c>
      <c r="C16" s="95">
        <f t="shared" si="0"/>
        <v>0</v>
      </c>
      <c r="D16" s="95">
        <f t="shared" si="0"/>
        <v>0</v>
      </c>
      <c r="E16" s="95">
        <f t="shared" si="0"/>
        <v>0</v>
      </c>
      <c r="F16" s="95">
        <f t="shared" si="0"/>
        <v>81870890.6</v>
      </c>
      <c r="G16" s="95">
        <f t="shared" si="0"/>
        <v>81870890.6</v>
      </c>
      <c r="H16" s="229"/>
      <c r="I16" s="229"/>
      <c r="J16" s="34"/>
    </row>
    <row r="17" spans="1:10" ht="24.75" thickTop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5:9" ht="21.75">
      <c r="E18" s="29"/>
      <c r="F18" s="29"/>
      <c r="G18" s="1"/>
      <c r="I18" s="22"/>
    </row>
    <row r="19" spans="3:6" ht="21.75">
      <c r="C19" s="2"/>
      <c r="D19" s="1"/>
      <c r="F19" s="29"/>
    </row>
    <row r="20" ht="21.75">
      <c r="C20" s="2"/>
    </row>
    <row r="21" ht="21.75">
      <c r="C21" s="2"/>
    </row>
    <row r="22" ht="21.75">
      <c r="C22" s="2"/>
    </row>
    <row r="23" ht="21.75">
      <c r="C23" s="2"/>
    </row>
  </sheetData>
  <sheetProtection/>
  <mergeCells count="9">
    <mergeCell ref="A4:J4"/>
    <mergeCell ref="A5:J5"/>
    <mergeCell ref="A7:A8"/>
    <mergeCell ref="B7:E7"/>
    <mergeCell ref="G7:G8"/>
    <mergeCell ref="H7:H8"/>
    <mergeCell ref="I7:I8"/>
    <mergeCell ref="J7:J8"/>
    <mergeCell ref="F7:F8"/>
  </mergeCells>
  <printOptions/>
  <pageMargins left="0.78" right="0.748031496062992" top="0.88" bottom="0.19" header="1.11" footer="0.16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pane xSplit="1" ySplit="5" topLeftCell="B6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A8" sqref="A8"/>
    </sheetView>
  </sheetViews>
  <sheetFormatPr defaultColWidth="9.140625" defaultRowHeight="21.75"/>
  <cols>
    <col min="1" max="1" width="54.140625" style="532" customWidth="1"/>
    <col min="2" max="2" width="10.421875" style="533" customWidth="1"/>
    <col min="3" max="3" width="10.8515625" style="533" customWidth="1"/>
    <col min="4" max="5" width="10.28125" style="533" customWidth="1"/>
    <col min="6" max="6" width="15.421875" style="533" customWidth="1"/>
    <col min="7" max="7" width="16.140625" style="533" customWidth="1"/>
    <col min="8" max="8" width="17.8515625" style="533" customWidth="1"/>
    <col min="9" max="9" width="12.8515625" style="532" customWidth="1"/>
    <col min="10" max="10" width="15.00390625" style="533" customWidth="1"/>
    <col min="11" max="11" width="16.140625" style="533" customWidth="1"/>
    <col min="12" max="16384" width="9.140625" style="533" customWidth="1"/>
  </cols>
  <sheetData>
    <row r="1" spans="1:11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1" ht="23.25">
      <c r="A2" s="762" t="s">
        <v>241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</row>
    <row r="3" spans="1:11" ht="24">
      <c r="A3" s="535"/>
      <c r="B3" s="536"/>
      <c r="C3" s="536"/>
      <c r="D3" s="536"/>
      <c r="E3" s="536"/>
      <c r="F3" s="536"/>
      <c r="G3" s="536"/>
      <c r="H3" s="536"/>
      <c r="I3" s="535"/>
      <c r="J3" s="536"/>
      <c r="K3" s="536"/>
    </row>
    <row r="4" spans="1:11" ht="24">
      <c r="A4" s="793" t="s">
        <v>163</v>
      </c>
      <c r="B4" s="794" t="s">
        <v>12</v>
      </c>
      <c r="C4" s="794"/>
      <c r="D4" s="794"/>
      <c r="E4" s="794"/>
      <c r="F4" s="794"/>
      <c r="G4" s="795" t="s">
        <v>86</v>
      </c>
      <c r="H4" s="796" t="s">
        <v>4</v>
      </c>
      <c r="I4" s="793" t="s">
        <v>6</v>
      </c>
      <c r="J4" s="793" t="s">
        <v>340</v>
      </c>
      <c r="K4" s="793" t="s">
        <v>341</v>
      </c>
    </row>
    <row r="5" spans="1:11" ht="24">
      <c r="A5" s="793"/>
      <c r="B5" s="537" t="s">
        <v>8</v>
      </c>
      <c r="C5" s="537" t="s">
        <v>9</v>
      </c>
      <c r="D5" s="537" t="s">
        <v>153</v>
      </c>
      <c r="E5" s="537" t="s">
        <v>10</v>
      </c>
      <c r="F5" s="537" t="s">
        <v>33</v>
      </c>
      <c r="G5" s="795"/>
      <c r="H5" s="797"/>
      <c r="I5" s="793"/>
      <c r="J5" s="793"/>
      <c r="K5" s="793"/>
    </row>
    <row r="6" spans="1:11" ht="24">
      <c r="A6" s="690" t="s">
        <v>164</v>
      </c>
      <c r="B6" s="673"/>
      <c r="C6" s="673"/>
      <c r="D6" s="673"/>
      <c r="E6" s="673"/>
      <c r="F6" s="673"/>
      <c r="G6" s="688"/>
      <c r="H6" s="689"/>
      <c r="I6" s="687"/>
      <c r="J6" s="687"/>
      <c r="K6" s="687"/>
    </row>
    <row r="7" spans="1:11" ht="21.75">
      <c r="A7" s="555" t="s">
        <v>632</v>
      </c>
      <c r="B7" s="556"/>
      <c r="C7" s="556"/>
      <c r="D7" s="556"/>
      <c r="E7" s="556"/>
      <c r="F7" s="556"/>
      <c r="G7" s="556"/>
      <c r="H7" s="556"/>
      <c r="I7" s="557"/>
      <c r="J7" s="556"/>
      <c r="K7" s="556"/>
    </row>
    <row r="8" spans="1:11" ht="45" customHeight="1">
      <c r="A8" s="680" t="s">
        <v>716</v>
      </c>
      <c r="B8" s="681"/>
      <c r="C8" s="681"/>
      <c r="D8" s="681"/>
      <c r="E8" s="681"/>
      <c r="F8" s="681"/>
      <c r="G8" s="682">
        <v>11935991.88</v>
      </c>
      <c r="H8" s="682">
        <v>11935991.88</v>
      </c>
      <c r="I8" s="683" t="s">
        <v>36</v>
      </c>
      <c r="J8" s="684" t="s">
        <v>82</v>
      </c>
      <c r="K8" s="684" t="s">
        <v>342</v>
      </c>
    </row>
    <row r="9" spans="1:11" ht="21.75">
      <c r="A9" s="685" t="s">
        <v>633</v>
      </c>
      <c r="B9" s="681"/>
      <c r="C9" s="681"/>
      <c r="D9" s="681"/>
      <c r="E9" s="681"/>
      <c r="F9" s="681"/>
      <c r="G9" s="684"/>
      <c r="H9" s="684"/>
      <c r="I9" s="683"/>
      <c r="J9" s="684"/>
      <c r="K9" s="684"/>
    </row>
    <row r="10" spans="1:11" ht="21.75">
      <c r="A10" s="680" t="s">
        <v>671</v>
      </c>
      <c r="B10" s="681"/>
      <c r="C10" s="681"/>
      <c r="D10" s="681"/>
      <c r="E10" s="681"/>
      <c r="F10" s="681"/>
      <c r="G10" s="686">
        <v>11970000</v>
      </c>
      <c r="H10" s="686">
        <v>11970000</v>
      </c>
      <c r="I10" s="683" t="s">
        <v>36</v>
      </c>
      <c r="J10" s="684" t="s">
        <v>82</v>
      </c>
      <c r="K10" s="684" t="s">
        <v>342</v>
      </c>
    </row>
    <row r="11" spans="1:11" ht="21.75">
      <c r="A11" s="685" t="s">
        <v>634</v>
      </c>
      <c r="B11" s="681"/>
      <c r="C11" s="681"/>
      <c r="D11" s="681"/>
      <c r="E11" s="681"/>
      <c r="F11" s="681"/>
      <c r="G11" s="684"/>
      <c r="H11" s="684"/>
      <c r="I11" s="683"/>
      <c r="J11" s="684"/>
      <c r="K11" s="684"/>
    </row>
    <row r="12" spans="1:11" ht="21.75">
      <c r="A12" s="680" t="s">
        <v>672</v>
      </c>
      <c r="B12" s="681"/>
      <c r="C12" s="681"/>
      <c r="D12" s="681"/>
      <c r="E12" s="681"/>
      <c r="F12" s="681"/>
      <c r="G12" s="682">
        <v>7947.5</v>
      </c>
      <c r="H12" s="682">
        <v>7947.5</v>
      </c>
      <c r="I12" s="683" t="s">
        <v>36</v>
      </c>
      <c r="J12" s="684" t="s">
        <v>82</v>
      </c>
      <c r="K12" s="684" t="s">
        <v>342</v>
      </c>
    </row>
    <row r="13" spans="1:11" ht="21.75">
      <c r="A13" s="680" t="s">
        <v>673</v>
      </c>
      <c r="B13" s="681"/>
      <c r="C13" s="681"/>
      <c r="D13" s="681"/>
      <c r="E13" s="681"/>
      <c r="F13" s="681"/>
      <c r="G13" s="682">
        <v>3179</v>
      </c>
      <c r="H13" s="682">
        <v>3179</v>
      </c>
      <c r="I13" s="683" t="s">
        <v>36</v>
      </c>
      <c r="J13" s="684" t="s">
        <v>82</v>
      </c>
      <c r="K13" s="684" t="s">
        <v>342</v>
      </c>
    </row>
    <row r="14" spans="1:11" ht="21.75">
      <c r="A14" s="680" t="s">
        <v>674</v>
      </c>
      <c r="B14" s="681"/>
      <c r="C14" s="681"/>
      <c r="D14" s="681"/>
      <c r="E14" s="681"/>
      <c r="F14" s="681"/>
      <c r="G14" s="682">
        <v>15705</v>
      </c>
      <c r="H14" s="682">
        <v>15705</v>
      </c>
      <c r="I14" s="683" t="s">
        <v>36</v>
      </c>
      <c r="J14" s="684" t="s">
        <v>82</v>
      </c>
      <c r="K14" s="684" t="s">
        <v>342</v>
      </c>
    </row>
    <row r="15" spans="1:11" ht="21.75">
      <c r="A15" s="685" t="s">
        <v>675</v>
      </c>
      <c r="B15" s="681"/>
      <c r="C15" s="681"/>
      <c r="D15" s="681"/>
      <c r="E15" s="681"/>
      <c r="F15" s="681"/>
      <c r="G15" s="684"/>
      <c r="H15" s="684"/>
      <c r="I15" s="683"/>
      <c r="J15" s="684"/>
      <c r="K15" s="684"/>
    </row>
    <row r="16" spans="1:11" ht="69.75" customHeight="1">
      <c r="A16" s="680" t="s">
        <v>676</v>
      </c>
      <c r="B16" s="681"/>
      <c r="C16" s="681"/>
      <c r="D16" s="681"/>
      <c r="E16" s="681"/>
      <c r="F16" s="681"/>
      <c r="G16" s="682">
        <v>519289.47</v>
      </c>
      <c r="H16" s="682">
        <v>519289.47</v>
      </c>
      <c r="I16" s="683" t="s">
        <v>36</v>
      </c>
      <c r="J16" s="684" t="s">
        <v>82</v>
      </c>
      <c r="K16" s="684" t="s">
        <v>342</v>
      </c>
    </row>
    <row r="17" spans="1:11" ht="43.5">
      <c r="A17" s="680" t="s">
        <v>677</v>
      </c>
      <c r="B17" s="681"/>
      <c r="C17" s="681"/>
      <c r="D17" s="681"/>
      <c r="E17" s="681"/>
      <c r="F17" s="681"/>
      <c r="G17" s="682">
        <v>92081.17</v>
      </c>
      <c r="H17" s="682">
        <v>92081.17</v>
      </c>
      <c r="I17" s="683" t="s">
        <v>36</v>
      </c>
      <c r="J17" s="684" t="s">
        <v>82</v>
      </c>
      <c r="K17" s="684" t="s">
        <v>342</v>
      </c>
    </row>
    <row r="18" spans="1:12" ht="43.5">
      <c r="A18" s="680" t="s">
        <v>678</v>
      </c>
      <c r="B18" s="681"/>
      <c r="C18" s="681"/>
      <c r="D18" s="681"/>
      <c r="E18" s="681"/>
      <c r="F18" s="681"/>
      <c r="G18" s="682">
        <v>7185044.66</v>
      </c>
      <c r="H18" s="682">
        <v>7185044.66</v>
      </c>
      <c r="I18" s="683" t="s">
        <v>38</v>
      </c>
      <c r="J18" s="684" t="s">
        <v>82</v>
      </c>
      <c r="K18" s="684" t="s">
        <v>342</v>
      </c>
      <c r="L18" s="533" t="s">
        <v>32</v>
      </c>
    </row>
    <row r="19" spans="1:11" ht="21.75">
      <c r="A19" s="685" t="s">
        <v>635</v>
      </c>
      <c r="B19" s="681"/>
      <c r="C19" s="681"/>
      <c r="D19" s="681"/>
      <c r="E19" s="681"/>
      <c r="F19" s="681"/>
      <c r="G19" s="684"/>
      <c r="H19" s="684"/>
      <c r="I19" s="683"/>
      <c r="J19" s="684"/>
      <c r="K19" s="684"/>
    </row>
    <row r="20" spans="1:11" ht="43.5">
      <c r="A20" s="680" t="s">
        <v>679</v>
      </c>
      <c r="B20" s="681"/>
      <c r="C20" s="681"/>
      <c r="D20" s="681"/>
      <c r="E20" s="681"/>
      <c r="F20" s="681"/>
      <c r="G20" s="682">
        <v>3022258.24</v>
      </c>
      <c r="H20" s="682">
        <v>3022258.24</v>
      </c>
      <c r="I20" s="683" t="s">
        <v>139</v>
      </c>
      <c r="J20" s="684" t="s">
        <v>82</v>
      </c>
      <c r="K20" s="684" t="s">
        <v>342</v>
      </c>
    </row>
    <row r="21" spans="1:11" ht="43.5">
      <c r="A21" s="680" t="s">
        <v>680</v>
      </c>
      <c r="B21" s="681"/>
      <c r="C21" s="681"/>
      <c r="D21" s="681"/>
      <c r="E21" s="681"/>
      <c r="F21" s="681"/>
      <c r="G21" s="682">
        <v>1327052.8</v>
      </c>
      <c r="H21" s="682">
        <v>1327052.8</v>
      </c>
      <c r="I21" s="683" t="s">
        <v>139</v>
      </c>
      <c r="J21" s="684" t="s">
        <v>82</v>
      </c>
      <c r="K21" s="684" t="s">
        <v>342</v>
      </c>
    </row>
    <row r="22" spans="1:11" ht="21.75">
      <c r="A22" s="685" t="s">
        <v>636</v>
      </c>
      <c r="B22" s="681"/>
      <c r="C22" s="681"/>
      <c r="D22" s="681"/>
      <c r="E22" s="681"/>
      <c r="F22" s="681"/>
      <c r="G22" s="684"/>
      <c r="H22" s="684"/>
      <c r="I22" s="683"/>
      <c r="J22" s="684"/>
      <c r="K22" s="684"/>
    </row>
    <row r="23" spans="1:11" ht="43.5">
      <c r="A23" s="680" t="s">
        <v>681</v>
      </c>
      <c r="B23" s="681"/>
      <c r="C23" s="681"/>
      <c r="D23" s="681"/>
      <c r="E23" s="681"/>
      <c r="F23" s="681"/>
      <c r="G23" s="682">
        <v>5698644.16</v>
      </c>
      <c r="H23" s="682">
        <v>5698644.16</v>
      </c>
      <c r="I23" s="683" t="s">
        <v>36</v>
      </c>
      <c r="J23" s="684" t="s">
        <v>82</v>
      </c>
      <c r="K23" s="684" t="s">
        <v>342</v>
      </c>
    </row>
    <row r="24" spans="1:11" ht="65.25">
      <c r="A24" s="680" t="s">
        <v>682</v>
      </c>
      <c r="B24" s="681"/>
      <c r="C24" s="681"/>
      <c r="D24" s="681"/>
      <c r="E24" s="681"/>
      <c r="F24" s="681"/>
      <c r="G24" s="682">
        <v>2114709</v>
      </c>
      <c r="H24" s="682">
        <v>2114709</v>
      </c>
      <c r="I24" s="683" t="s">
        <v>36</v>
      </c>
      <c r="J24" s="684" t="s">
        <v>82</v>
      </c>
      <c r="K24" s="684" t="s">
        <v>342</v>
      </c>
    </row>
    <row r="25" spans="1:11" ht="65.25">
      <c r="A25" s="680" t="s">
        <v>683</v>
      </c>
      <c r="B25" s="681"/>
      <c r="C25" s="681"/>
      <c r="D25" s="681"/>
      <c r="E25" s="681"/>
      <c r="F25" s="681"/>
      <c r="G25" s="682">
        <v>277335.64</v>
      </c>
      <c r="H25" s="682">
        <v>277335.64</v>
      </c>
      <c r="I25" s="683" t="s">
        <v>36</v>
      </c>
      <c r="J25" s="684" t="s">
        <v>82</v>
      </c>
      <c r="K25" s="684" t="s">
        <v>342</v>
      </c>
    </row>
    <row r="26" spans="1:11" ht="65.25">
      <c r="A26" s="680" t="s">
        <v>684</v>
      </c>
      <c r="B26" s="681"/>
      <c r="C26" s="681"/>
      <c r="D26" s="681"/>
      <c r="E26" s="681"/>
      <c r="F26" s="681"/>
      <c r="G26" s="682">
        <v>105133.5</v>
      </c>
      <c r="H26" s="682">
        <f>SUM(B26:G26)</f>
        <v>105133.5</v>
      </c>
      <c r="I26" s="683" t="s">
        <v>36</v>
      </c>
      <c r="J26" s="684" t="s">
        <v>82</v>
      </c>
      <c r="K26" s="684" t="s">
        <v>342</v>
      </c>
    </row>
    <row r="27" spans="1:11" ht="43.5">
      <c r="A27" s="680" t="s">
        <v>685</v>
      </c>
      <c r="B27" s="681"/>
      <c r="C27" s="681"/>
      <c r="D27" s="681"/>
      <c r="E27" s="681"/>
      <c r="F27" s="681"/>
      <c r="G27" s="682">
        <v>70034.23</v>
      </c>
      <c r="H27" s="682">
        <v>70034.23</v>
      </c>
      <c r="I27" s="683" t="s">
        <v>36</v>
      </c>
      <c r="J27" s="684" t="s">
        <v>82</v>
      </c>
      <c r="K27" s="684" t="s">
        <v>342</v>
      </c>
    </row>
    <row r="28" spans="1:11" ht="43.5">
      <c r="A28" s="675" t="s">
        <v>686</v>
      </c>
      <c r="B28" s="676"/>
      <c r="C28" s="676"/>
      <c r="D28" s="676"/>
      <c r="E28" s="676"/>
      <c r="F28" s="676"/>
      <c r="G28" s="677">
        <v>485706.5</v>
      </c>
      <c r="H28" s="677">
        <v>485706.5</v>
      </c>
      <c r="I28" s="678" t="s">
        <v>36</v>
      </c>
      <c r="J28" s="679" t="s">
        <v>82</v>
      </c>
      <c r="K28" s="679" t="s">
        <v>342</v>
      </c>
    </row>
    <row r="29" spans="1:11" ht="22.5" thickBot="1">
      <c r="A29" s="558" t="s">
        <v>2</v>
      </c>
      <c r="B29" s="559"/>
      <c r="C29" s="559"/>
      <c r="D29" s="559"/>
      <c r="E29" s="559"/>
      <c r="F29" s="559"/>
      <c r="G29" s="579">
        <f>SUM(G8:G28)</f>
        <v>44830112.74999999</v>
      </c>
      <c r="H29" s="579">
        <f>SUM(H8:H28)</f>
        <v>44830112.74999999</v>
      </c>
      <c r="I29" s="560"/>
      <c r="J29" s="559"/>
      <c r="K29" s="559"/>
    </row>
    <row r="30" spans="1:11" ht="21" customHeight="1" thickTop="1">
      <c r="A30" s="561"/>
      <c r="B30" s="562"/>
      <c r="C30" s="562"/>
      <c r="D30" s="562"/>
      <c r="E30" s="562"/>
      <c r="F30" s="562"/>
      <c r="G30" s="562"/>
      <c r="H30" s="562"/>
      <c r="I30" s="563"/>
      <c r="J30" s="562"/>
      <c r="K30" s="562"/>
    </row>
    <row r="31" ht="21">
      <c r="A31" s="534"/>
    </row>
  </sheetData>
  <sheetProtection/>
  <mergeCells count="9">
    <mergeCell ref="A1:K1"/>
    <mergeCell ref="A2:K2"/>
    <mergeCell ref="A4:A5"/>
    <mergeCell ref="B4:F4"/>
    <mergeCell ref="G4:G5"/>
    <mergeCell ref="H4:H5"/>
    <mergeCell ref="I4:I5"/>
    <mergeCell ref="J4:J5"/>
    <mergeCell ref="K4:K5"/>
  </mergeCells>
  <printOptions/>
  <pageMargins left="1.2" right="0.7" top="0.25" bottom="0.25" header="0.3" footer="0.3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L22"/>
  <sheetViews>
    <sheetView showGridLines="0" zoomScalePageLayoutView="0" workbookViewId="0" topLeftCell="A10">
      <selection activeCell="K11" sqref="K11"/>
    </sheetView>
  </sheetViews>
  <sheetFormatPr defaultColWidth="9.140625" defaultRowHeight="21.75"/>
  <cols>
    <col min="1" max="1" width="51.8515625" style="0" customWidth="1"/>
    <col min="2" max="2" width="13.8515625" style="0" customWidth="1"/>
    <col min="3" max="3" width="13.00390625" style="43" customWidth="1"/>
    <col min="4" max="4" width="14.28125" style="0" customWidth="1"/>
    <col min="5" max="5" width="13.140625" style="0" customWidth="1"/>
    <col min="6" max="6" width="9.00390625" style="0" customWidth="1"/>
    <col min="7" max="7" width="0.2890625" style="0" hidden="1" customWidth="1"/>
    <col min="8" max="8" width="15.00390625" style="43" customWidth="1"/>
    <col min="9" max="9" width="15.7109375" style="43" customWidth="1"/>
    <col min="10" max="10" width="10.28125" style="0" customWidth="1"/>
    <col min="11" max="11" width="13.7109375" style="0" customWidth="1"/>
    <col min="12" max="12" width="11.8515625" style="0" customWidth="1"/>
  </cols>
  <sheetData>
    <row r="2" spans="1:12" ht="23.2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</row>
    <row r="3" spans="1:12" ht="23.25">
      <c r="A3" s="762" t="s">
        <v>241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</row>
    <row r="4" spans="1:12" ht="23.25">
      <c r="A4" s="3"/>
      <c r="B4" s="3"/>
      <c r="C4" s="37"/>
      <c r="D4" s="3"/>
      <c r="E4" s="3"/>
      <c r="F4" s="3"/>
      <c r="G4" s="3"/>
      <c r="H4" s="37"/>
      <c r="I4" s="37"/>
      <c r="J4" s="3"/>
      <c r="K4" s="3"/>
      <c r="L4" s="3"/>
    </row>
    <row r="5" spans="1:12" ht="21.75" customHeight="1">
      <c r="A5" s="763" t="s">
        <v>1</v>
      </c>
      <c r="B5" s="765" t="s">
        <v>12</v>
      </c>
      <c r="C5" s="766"/>
      <c r="D5" s="766"/>
      <c r="E5" s="766"/>
      <c r="F5" s="766"/>
      <c r="G5" s="766"/>
      <c r="H5" s="767" t="s">
        <v>60</v>
      </c>
      <c r="I5" s="783" t="s">
        <v>13</v>
      </c>
      <c r="J5" s="763" t="s">
        <v>6</v>
      </c>
      <c r="K5" s="779" t="s">
        <v>7</v>
      </c>
      <c r="L5" s="779" t="s">
        <v>31</v>
      </c>
    </row>
    <row r="6" spans="1:12" ht="44.25" customHeight="1">
      <c r="A6" s="764"/>
      <c r="B6" s="23" t="s">
        <v>8</v>
      </c>
      <c r="C6" s="23" t="s">
        <v>9</v>
      </c>
      <c r="D6" s="23" t="s">
        <v>166</v>
      </c>
      <c r="E6" s="23" t="s">
        <v>10</v>
      </c>
      <c r="F6" s="23" t="s">
        <v>19</v>
      </c>
      <c r="G6" s="102" t="s">
        <v>33</v>
      </c>
      <c r="H6" s="778"/>
      <c r="I6" s="784"/>
      <c r="J6" s="764"/>
      <c r="K6" s="780"/>
      <c r="L6" s="780"/>
    </row>
    <row r="7" spans="1:12" ht="21.75">
      <c r="A7" s="7" t="s">
        <v>20</v>
      </c>
      <c r="B7" s="8"/>
      <c r="C7" s="8"/>
      <c r="D7" s="8"/>
      <c r="E7" s="8"/>
      <c r="F7" s="8"/>
      <c r="G7" s="8"/>
      <c r="H7" s="8"/>
      <c r="I7" s="8"/>
      <c r="J7" s="9"/>
      <c r="K7" s="9"/>
      <c r="L7" s="10"/>
    </row>
    <row r="8" spans="1:12" ht="21.75">
      <c r="A8" s="11" t="s">
        <v>21</v>
      </c>
      <c r="B8" s="12"/>
      <c r="C8" s="12"/>
      <c r="D8" s="12"/>
      <c r="E8" s="12"/>
      <c r="F8" s="12"/>
      <c r="G8" s="12"/>
      <c r="H8" s="157"/>
      <c r="I8" s="157"/>
      <c r="J8" s="13"/>
      <c r="K8" s="13"/>
      <c r="L8" s="14"/>
    </row>
    <row r="9" spans="1:12" ht="21.75">
      <c r="A9" s="169" t="s">
        <v>14</v>
      </c>
      <c r="B9" s="348"/>
      <c r="C9" s="348"/>
      <c r="D9" s="348"/>
      <c r="E9" s="348"/>
      <c r="F9" s="348"/>
      <c r="G9" s="349"/>
      <c r="H9" s="309"/>
      <c r="I9" s="358"/>
      <c r="J9" s="176"/>
      <c r="K9" s="359"/>
      <c r="L9" s="127"/>
    </row>
    <row r="10" spans="1:12" ht="65.25">
      <c r="A10" s="164" t="s">
        <v>149</v>
      </c>
      <c r="B10" s="186"/>
      <c r="C10" s="188"/>
      <c r="D10" s="186"/>
      <c r="E10" s="186"/>
      <c r="F10" s="186"/>
      <c r="G10" s="186"/>
      <c r="H10" s="416">
        <v>1980000</v>
      </c>
      <c r="I10" s="158">
        <f>SUM(B10:H10)</f>
        <v>1980000</v>
      </c>
      <c r="J10" s="160" t="s">
        <v>85</v>
      </c>
      <c r="K10" s="274" t="s">
        <v>88</v>
      </c>
      <c r="L10" s="14"/>
    </row>
    <row r="11" spans="1:12" ht="43.5">
      <c r="A11" s="191" t="s">
        <v>290</v>
      </c>
      <c r="B11" s="186"/>
      <c r="C11" s="188"/>
      <c r="D11" s="190"/>
      <c r="E11" s="186"/>
      <c r="F11" s="186"/>
      <c r="G11" s="186"/>
      <c r="H11" s="189">
        <v>660000</v>
      </c>
      <c r="I11" s="158">
        <f>SUM(B11:H11)</f>
        <v>660000</v>
      </c>
      <c r="J11" s="160" t="s">
        <v>85</v>
      </c>
      <c r="K11" s="274" t="s">
        <v>88</v>
      </c>
      <c r="L11" s="14"/>
    </row>
    <row r="12" spans="1:12" ht="65.25">
      <c r="A12" s="318" t="s">
        <v>291</v>
      </c>
      <c r="B12" s="502">
        <v>2360000</v>
      </c>
      <c r="C12" s="503">
        <v>3385967</v>
      </c>
      <c r="D12" s="190">
        <v>7933273</v>
      </c>
      <c r="E12" s="502">
        <v>6320760</v>
      </c>
      <c r="F12" s="502"/>
      <c r="G12" s="502"/>
      <c r="H12" s="189"/>
      <c r="I12" s="158">
        <f>SUM(B12:H12)</f>
        <v>20000000</v>
      </c>
      <c r="J12" s="160" t="s">
        <v>85</v>
      </c>
      <c r="K12" s="274" t="s">
        <v>292</v>
      </c>
      <c r="L12" s="15"/>
    </row>
    <row r="13" spans="1:12" ht="21.75">
      <c r="A13" s="11" t="s">
        <v>208</v>
      </c>
      <c r="B13" s="390"/>
      <c r="C13" s="391"/>
      <c r="D13" s="392"/>
      <c r="E13" s="390"/>
      <c r="F13" s="390"/>
      <c r="G13" s="390"/>
      <c r="H13" s="393"/>
      <c r="I13" s="158"/>
      <c r="J13" s="394"/>
      <c r="K13" s="395"/>
      <c r="L13" s="87"/>
    </row>
    <row r="14" spans="1:12" ht="43.5">
      <c r="A14" s="191" t="s">
        <v>209</v>
      </c>
      <c r="B14" s="186"/>
      <c r="C14" s="188"/>
      <c r="D14" s="190"/>
      <c r="E14" s="186"/>
      <c r="F14" s="186"/>
      <c r="G14" s="186"/>
      <c r="H14" s="189">
        <v>400000</v>
      </c>
      <c r="I14" s="158">
        <f>SUM(B14:H14)</f>
        <v>400000</v>
      </c>
      <c r="J14" s="176" t="s">
        <v>36</v>
      </c>
      <c r="K14" s="396" t="s">
        <v>133</v>
      </c>
      <c r="L14" s="15"/>
    </row>
    <row r="15" spans="1:12" ht="21.75">
      <c r="A15" s="191" t="s">
        <v>289</v>
      </c>
      <c r="B15" s="186"/>
      <c r="C15" s="188"/>
      <c r="D15" s="190"/>
      <c r="E15" s="186"/>
      <c r="F15" s="186"/>
      <c r="G15" s="186"/>
      <c r="H15" s="189">
        <v>13461.6</v>
      </c>
      <c r="I15" s="158">
        <f>SUM(B15:H15)</f>
        <v>13461.6</v>
      </c>
      <c r="J15" s="176" t="s">
        <v>36</v>
      </c>
      <c r="K15" s="396" t="s">
        <v>133</v>
      </c>
      <c r="L15" s="15"/>
    </row>
    <row r="16" spans="1:12" ht="21.75">
      <c r="A16" s="347"/>
      <c r="B16" s="348"/>
      <c r="C16" s="348"/>
      <c r="D16" s="348"/>
      <c r="E16" s="348"/>
      <c r="F16" s="348"/>
      <c r="G16" s="349"/>
      <c r="H16" s="350"/>
      <c r="I16" s="158">
        <f>SUM(B16:H16)</f>
        <v>0</v>
      </c>
      <c r="J16" s="176" t="s">
        <v>36</v>
      </c>
      <c r="K16" s="396" t="s">
        <v>133</v>
      </c>
      <c r="L16" s="353"/>
    </row>
    <row r="17" spans="1:12" ht="22.5" thickBot="1">
      <c r="A17" s="19" t="s">
        <v>2</v>
      </c>
      <c r="B17" s="20">
        <f aca="true" t="shared" si="0" ref="B17:I17">SUM(B9:B16)</f>
        <v>2360000</v>
      </c>
      <c r="C17" s="20">
        <f t="shared" si="0"/>
        <v>3385967</v>
      </c>
      <c r="D17" s="20">
        <f t="shared" si="0"/>
        <v>7933273</v>
      </c>
      <c r="E17" s="20">
        <f t="shared" si="0"/>
        <v>6320760</v>
      </c>
      <c r="F17" s="20">
        <f t="shared" si="0"/>
        <v>0</v>
      </c>
      <c r="G17" s="20">
        <f t="shared" si="0"/>
        <v>0</v>
      </c>
      <c r="H17" s="166">
        <f t="shared" si="0"/>
        <v>3053461.6</v>
      </c>
      <c r="I17" s="166">
        <f t="shared" si="0"/>
        <v>23053461.6</v>
      </c>
      <c r="J17" s="21"/>
      <c r="K17" s="21"/>
      <c r="L17" s="21"/>
    </row>
    <row r="18" spans="1:12" ht="22.5" thickTop="1">
      <c r="A18" s="35"/>
      <c r="B18" s="41"/>
      <c r="C18" s="42"/>
      <c r="D18" s="35"/>
      <c r="E18" s="35"/>
      <c r="F18" s="35"/>
      <c r="G18" s="35"/>
      <c r="H18" s="42"/>
      <c r="I18" s="42"/>
      <c r="J18" s="35"/>
      <c r="K18" s="35"/>
      <c r="L18" s="35"/>
    </row>
    <row r="19" spans="6:9" ht="21.75">
      <c r="F19" s="1"/>
      <c r="I19" s="413"/>
    </row>
    <row r="20" ht="21.75">
      <c r="H20" s="360"/>
    </row>
    <row r="21" ht="21.75">
      <c r="C21" s="413"/>
    </row>
    <row r="22" spans="3:5" ht="21.75">
      <c r="C22" s="397"/>
      <c r="E22" s="29"/>
    </row>
  </sheetData>
  <sheetProtection/>
  <mergeCells count="9">
    <mergeCell ref="A3:L3"/>
    <mergeCell ref="A2:L2"/>
    <mergeCell ref="I5:I6"/>
    <mergeCell ref="J5:J6"/>
    <mergeCell ref="K5:K6"/>
    <mergeCell ref="L5:L6"/>
    <mergeCell ref="A5:A6"/>
    <mergeCell ref="B5:G5"/>
    <mergeCell ref="H5:H6"/>
  </mergeCells>
  <printOptions/>
  <pageMargins left="0.81" right="0.67" top="1.04" bottom="0.2" header="1.31" footer="0.15748031496063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4"/>
  <sheetViews>
    <sheetView showGridLines="0" zoomScalePageLayoutView="0" workbookViewId="0" topLeftCell="A13">
      <selection activeCell="A8" sqref="A8"/>
    </sheetView>
  </sheetViews>
  <sheetFormatPr defaultColWidth="9.140625" defaultRowHeight="21.75"/>
  <cols>
    <col min="1" max="1" width="45.28125" style="0" customWidth="1"/>
    <col min="2" max="2" width="10.28125" style="0" customWidth="1"/>
    <col min="3" max="3" width="10.28125" style="0" bestFit="1" customWidth="1"/>
    <col min="4" max="4" width="11.00390625" style="0" customWidth="1"/>
    <col min="5" max="5" width="10.421875" style="0" customWidth="1"/>
    <col min="6" max="6" width="12.851562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421875" style="0" customWidth="1"/>
    <col min="11" max="11" width="12.140625" style="0" customWidth="1"/>
    <col min="13" max="13" width="11.00390625" style="0" bestFit="1" customWidth="1"/>
    <col min="14" max="14" width="13.28125" style="0" customWidth="1"/>
  </cols>
  <sheetData>
    <row r="1" spans="1:11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1" ht="23.25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ht="15.75" customHeight="1"/>
    <row r="4" spans="1:11" ht="21.75">
      <c r="A4" s="763" t="s">
        <v>1</v>
      </c>
      <c r="B4" s="765" t="s">
        <v>12</v>
      </c>
      <c r="C4" s="766"/>
      <c r="D4" s="766"/>
      <c r="E4" s="766"/>
      <c r="F4" s="150"/>
      <c r="G4" s="767" t="s">
        <v>86</v>
      </c>
      <c r="H4" s="767" t="s">
        <v>13</v>
      </c>
      <c r="I4" s="763" t="s">
        <v>6</v>
      </c>
      <c r="J4" s="779" t="s">
        <v>7</v>
      </c>
      <c r="K4" s="779" t="s">
        <v>31</v>
      </c>
    </row>
    <row r="5" spans="1:11" ht="48" customHeight="1">
      <c r="A5" s="764"/>
      <c r="B5" s="23" t="s">
        <v>8</v>
      </c>
      <c r="C5" s="23" t="s">
        <v>9</v>
      </c>
      <c r="D5" s="23" t="s">
        <v>153</v>
      </c>
      <c r="E5" s="23" t="s">
        <v>10</v>
      </c>
      <c r="F5" s="151" t="s">
        <v>33</v>
      </c>
      <c r="G5" s="778"/>
      <c r="H5" s="778"/>
      <c r="I5" s="764"/>
      <c r="J5" s="780"/>
      <c r="K5" s="780"/>
    </row>
    <row r="6" spans="1:11" ht="21.75">
      <c r="A6" s="7" t="s">
        <v>162</v>
      </c>
      <c r="B6" s="8"/>
      <c r="C6" s="8"/>
      <c r="D6" s="8"/>
      <c r="E6" s="8"/>
      <c r="F6" s="8"/>
      <c r="G6" s="8"/>
      <c r="H6" s="8"/>
      <c r="I6" s="9"/>
      <c r="J6" s="9"/>
      <c r="K6" s="10"/>
    </row>
    <row r="7" spans="1:11" ht="21.75">
      <c r="A7" s="24" t="s">
        <v>695</v>
      </c>
      <c r="B7" s="12"/>
      <c r="C7" s="12"/>
      <c r="D7" s="12"/>
      <c r="E7" s="12"/>
      <c r="F7" s="12"/>
      <c r="G7" s="12"/>
      <c r="H7" s="12"/>
      <c r="I7" s="13"/>
      <c r="J7" s="13"/>
      <c r="K7" s="14"/>
    </row>
    <row r="8" spans="1:11" ht="43.5">
      <c r="A8" s="266" t="s">
        <v>275</v>
      </c>
      <c r="B8" s="57"/>
      <c r="C8" s="57"/>
      <c r="D8" s="39"/>
      <c r="E8" s="39"/>
      <c r="F8" s="39"/>
      <c r="G8" s="39">
        <v>331213.44</v>
      </c>
      <c r="H8" s="39">
        <f>SUM(B8:G8)</f>
        <v>331213.44</v>
      </c>
      <c r="I8" s="149" t="s">
        <v>148</v>
      </c>
      <c r="J8" s="354" t="s">
        <v>189</v>
      </c>
      <c r="K8" s="317"/>
    </row>
    <row r="9" spans="1:11" ht="46.5">
      <c r="A9" s="266" t="s">
        <v>236</v>
      </c>
      <c r="B9" s="12"/>
      <c r="C9" s="12"/>
      <c r="D9" s="343"/>
      <c r="E9" s="343"/>
      <c r="F9" s="343"/>
      <c r="G9" s="355">
        <v>18038.19</v>
      </c>
      <c r="H9" s="39">
        <f>SUM(B9:G9)</f>
        <v>18038.19</v>
      </c>
      <c r="I9" s="149" t="s">
        <v>148</v>
      </c>
      <c r="J9" s="298" t="s">
        <v>113</v>
      </c>
      <c r="K9" s="183"/>
    </row>
    <row r="10" spans="1:13" ht="21.75">
      <c r="A10" s="24" t="s">
        <v>274</v>
      </c>
      <c r="B10" s="158"/>
      <c r="C10" s="158"/>
      <c r="D10" s="158"/>
      <c r="E10" s="158"/>
      <c r="F10" s="158"/>
      <c r="G10" s="159"/>
      <c r="H10" s="39"/>
      <c r="I10" s="149"/>
      <c r="J10" s="298"/>
      <c r="K10" s="183"/>
      <c r="M10" s="29"/>
    </row>
    <row r="11" spans="1:11" ht="65.25">
      <c r="A11" s="266" t="s">
        <v>249</v>
      </c>
      <c r="B11" s="82"/>
      <c r="C11" s="17"/>
      <c r="D11" s="17"/>
      <c r="E11" s="17"/>
      <c r="F11" s="17"/>
      <c r="G11" s="17">
        <v>9345</v>
      </c>
      <c r="H11" s="39">
        <f>SUM(B11:G11)</f>
        <v>9345</v>
      </c>
      <c r="I11" s="149" t="s">
        <v>148</v>
      </c>
      <c r="J11" s="298" t="s">
        <v>113</v>
      </c>
      <c r="K11" s="16"/>
    </row>
    <row r="12" spans="1:11" ht="43.5">
      <c r="A12" s="266" t="s">
        <v>248</v>
      </c>
      <c r="B12" s="82"/>
      <c r="C12" s="17"/>
      <c r="D12" s="17"/>
      <c r="E12" s="17"/>
      <c r="F12" s="17"/>
      <c r="G12" s="17">
        <v>224120</v>
      </c>
      <c r="H12" s="39">
        <f>SUM(B12:G12)</f>
        <v>224120</v>
      </c>
      <c r="I12" s="149" t="s">
        <v>148</v>
      </c>
      <c r="J12" s="298" t="s">
        <v>113</v>
      </c>
      <c r="K12" s="16"/>
    </row>
    <row r="13" spans="1:11" ht="72" customHeight="1">
      <c r="A13" s="266" t="s">
        <v>247</v>
      </c>
      <c r="B13" s="82"/>
      <c r="C13" s="17"/>
      <c r="D13" s="17"/>
      <c r="E13" s="26"/>
      <c r="F13" s="26"/>
      <c r="G13" s="17">
        <v>15690</v>
      </c>
      <c r="H13" s="39">
        <f>SUM(B13:G13)</f>
        <v>15690</v>
      </c>
      <c r="I13" s="149" t="s">
        <v>148</v>
      </c>
      <c r="J13" s="298" t="s">
        <v>113</v>
      </c>
      <c r="K13" s="16"/>
    </row>
    <row r="14" spans="1:11" ht="21.75">
      <c r="A14" s="497" t="s">
        <v>271</v>
      </c>
      <c r="B14" s="494"/>
      <c r="C14" s="494"/>
      <c r="D14" s="494"/>
      <c r="E14" s="495"/>
      <c r="F14" s="495"/>
      <c r="G14" s="496"/>
      <c r="H14" s="39"/>
      <c r="I14" s="145"/>
      <c r="J14" s="492"/>
      <c r="K14" s="122"/>
    </row>
    <row r="15" spans="1:11" ht="21.75">
      <c r="A15" s="154" t="s">
        <v>272</v>
      </c>
      <c r="B15" s="82">
        <f>168470/5</f>
        <v>33694</v>
      </c>
      <c r="C15" s="82"/>
      <c r="D15" s="82"/>
      <c r="E15" s="82">
        <v>33694</v>
      </c>
      <c r="F15" s="82">
        <v>101082</v>
      </c>
      <c r="G15" s="498"/>
      <c r="H15" s="39">
        <f>SUM(B15:G15)</f>
        <v>168470</v>
      </c>
      <c r="I15" s="145" t="s">
        <v>148</v>
      </c>
      <c r="J15" s="177" t="s">
        <v>273</v>
      </c>
      <c r="K15" s="16"/>
    </row>
    <row r="16" spans="1:11" ht="22.5" thickBot="1">
      <c r="A16" s="19" t="s">
        <v>2</v>
      </c>
      <c r="B16" s="96">
        <f aca="true" t="shared" si="0" ref="B16:H16">SUM(B8:B15)</f>
        <v>33694</v>
      </c>
      <c r="C16" s="96">
        <f t="shared" si="0"/>
        <v>0</v>
      </c>
      <c r="D16" s="96">
        <f t="shared" si="0"/>
        <v>0</v>
      </c>
      <c r="E16" s="96">
        <f t="shared" si="0"/>
        <v>33694</v>
      </c>
      <c r="F16" s="96">
        <f t="shared" si="0"/>
        <v>101082</v>
      </c>
      <c r="G16" s="96">
        <f>SUM(G8:G15)</f>
        <v>598406.63</v>
      </c>
      <c r="H16" s="96">
        <f t="shared" si="0"/>
        <v>766876.63</v>
      </c>
      <c r="I16" s="21"/>
      <c r="J16" s="21"/>
      <c r="K16" s="21"/>
    </row>
    <row r="17" ht="22.5" thickTop="1"/>
    <row r="18" ht="21.75">
      <c r="J18" s="22"/>
    </row>
    <row r="19" spans="3:6" ht="21.75">
      <c r="C19" s="2"/>
      <c r="D19" s="1"/>
      <c r="E19" s="1"/>
      <c r="F19" s="1"/>
    </row>
    <row r="20" ht="21.75">
      <c r="C20" s="2"/>
    </row>
    <row r="21" ht="21.75">
      <c r="C21" s="2"/>
    </row>
    <row r="22" ht="21.75">
      <c r="C22" s="2"/>
    </row>
    <row r="23" ht="21.75">
      <c r="C23" s="2"/>
    </row>
    <row r="34" ht="21.75">
      <c r="K34" s="83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 horizontalCentered="1" verticalCentered="1"/>
  <pageMargins left="0.551181102" right="0.748031496062992" top="0.82480315" bottom="0.696850394" header="0.669291338582677" footer="0.1574803149606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showGridLines="0" zoomScalePageLayoutView="0" workbookViewId="0" topLeftCell="A34">
      <selection activeCell="A10" sqref="A10"/>
    </sheetView>
  </sheetViews>
  <sheetFormatPr defaultColWidth="9.140625" defaultRowHeight="21.75"/>
  <cols>
    <col min="1" max="1" width="54.57421875" style="0" customWidth="1"/>
    <col min="2" max="2" width="9.7109375" style="0" customWidth="1"/>
    <col min="3" max="3" width="12.57421875" style="0" customWidth="1"/>
    <col min="4" max="5" width="9.00390625" style="0" customWidth="1"/>
    <col min="6" max="6" width="12.140625" style="0" customWidth="1"/>
    <col min="7" max="7" width="16.421875" style="0" customWidth="1"/>
    <col min="8" max="8" width="14.421875" style="0" bestFit="1" customWidth="1"/>
    <col min="9" max="9" width="18.28125" style="0" customWidth="1"/>
    <col min="10" max="10" width="14.8515625" style="0" customWidth="1"/>
    <col min="11" max="11" width="12.28125" style="0" customWidth="1"/>
  </cols>
  <sheetData>
    <row r="1" spans="1:11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1" ht="23.25">
      <c r="A2" s="762" t="s">
        <v>243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ht="21.75" customHeight="1"/>
    <row r="4" spans="1:11" ht="30" customHeight="1">
      <c r="A4" s="763" t="s">
        <v>1</v>
      </c>
      <c r="B4" s="765" t="s">
        <v>12</v>
      </c>
      <c r="C4" s="766"/>
      <c r="D4" s="766"/>
      <c r="E4" s="766"/>
      <c r="F4" s="306"/>
      <c r="G4" s="767" t="s">
        <v>86</v>
      </c>
      <c r="H4" s="779" t="s">
        <v>4</v>
      </c>
      <c r="I4" s="763" t="s">
        <v>6</v>
      </c>
      <c r="J4" s="779" t="s">
        <v>7</v>
      </c>
      <c r="K4" s="779" t="s">
        <v>31</v>
      </c>
    </row>
    <row r="5" spans="1:11" ht="42">
      <c r="A5" s="764"/>
      <c r="B5" s="23" t="s">
        <v>8</v>
      </c>
      <c r="C5" s="23" t="s">
        <v>9</v>
      </c>
      <c r="D5" s="23" t="s">
        <v>166</v>
      </c>
      <c r="E5" s="23" t="s">
        <v>10</v>
      </c>
      <c r="F5" s="108" t="s">
        <v>33</v>
      </c>
      <c r="G5" s="778"/>
      <c r="H5" s="780"/>
      <c r="I5" s="764"/>
      <c r="J5" s="780"/>
      <c r="K5" s="780"/>
    </row>
    <row r="6" spans="1:11" ht="21.75">
      <c r="A6" s="7" t="s">
        <v>30</v>
      </c>
      <c r="B6" s="8"/>
      <c r="C6" s="8"/>
      <c r="D6" s="8"/>
      <c r="E6" s="56"/>
      <c r="F6" s="56"/>
      <c r="G6" s="8"/>
      <c r="H6" s="8"/>
      <c r="I6" s="9"/>
      <c r="J6" s="9"/>
      <c r="K6" s="10"/>
    </row>
    <row r="7" spans="1:11" ht="21.75">
      <c r="A7" s="144" t="s">
        <v>194</v>
      </c>
      <c r="B7" s="235"/>
      <c r="C7" s="235"/>
      <c r="D7" s="235"/>
      <c r="E7" s="236"/>
      <c r="F7" s="236"/>
      <c r="G7" s="237"/>
      <c r="H7" s="237"/>
      <c r="I7" s="154"/>
      <c r="J7" s="234"/>
      <c r="K7" s="14"/>
    </row>
    <row r="8" spans="1:11" ht="43.5">
      <c r="A8" s="154" t="s">
        <v>195</v>
      </c>
      <c r="B8" s="235"/>
      <c r="C8" s="235"/>
      <c r="D8" s="235"/>
      <c r="E8" s="236"/>
      <c r="F8" s="236"/>
      <c r="G8" s="237">
        <v>764890</v>
      </c>
      <c r="H8" s="237">
        <f>SUM(B8:G8)</f>
        <v>764890</v>
      </c>
      <c r="I8" s="252" t="s">
        <v>124</v>
      </c>
      <c r="J8" s="238" t="s">
        <v>82</v>
      </c>
      <c r="K8" s="14"/>
    </row>
    <row r="9" spans="1:11" ht="21.75">
      <c r="A9" s="144" t="s">
        <v>322</v>
      </c>
      <c r="B9" s="12"/>
      <c r="C9" s="12"/>
      <c r="D9" s="12"/>
      <c r="E9" s="57"/>
      <c r="F9" s="57"/>
      <c r="G9" s="12"/>
      <c r="H9" s="237"/>
      <c r="I9" s="252"/>
      <c r="J9" s="13"/>
      <c r="K9" s="14"/>
    </row>
    <row r="10" spans="1:11" ht="65.25">
      <c r="A10" s="154" t="s">
        <v>571</v>
      </c>
      <c r="B10" s="12"/>
      <c r="C10" s="12"/>
      <c r="D10" s="12"/>
      <c r="E10" s="57"/>
      <c r="F10" s="57"/>
      <c r="G10" s="57">
        <v>145594.35</v>
      </c>
      <c r="H10" s="237">
        <f>SUM(B10:G10)</f>
        <v>145594.35</v>
      </c>
      <c r="I10" s="252" t="s">
        <v>124</v>
      </c>
      <c r="J10" s="145" t="s">
        <v>143</v>
      </c>
      <c r="K10" s="14"/>
    </row>
    <row r="11" spans="1:11" ht="65.25">
      <c r="A11" s="154" t="s">
        <v>572</v>
      </c>
      <c r="B11" s="12"/>
      <c r="C11" s="12"/>
      <c r="D11" s="12"/>
      <c r="E11" s="57"/>
      <c r="F11" s="57"/>
      <c r="G11" s="57">
        <v>210175.65</v>
      </c>
      <c r="H11" s="237">
        <f>SUM(B11:G11)</f>
        <v>210175.65</v>
      </c>
      <c r="I11" s="252" t="s">
        <v>124</v>
      </c>
      <c r="J11" s="145" t="s">
        <v>143</v>
      </c>
      <c r="K11" s="14"/>
    </row>
    <row r="12" spans="1:11" ht="21.75">
      <c r="A12" s="148" t="s">
        <v>100</v>
      </c>
      <c r="B12" s="12"/>
      <c r="C12" s="12"/>
      <c r="D12" s="12"/>
      <c r="E12" s="57"/>
      <c r="F12" s="57"/>
      <c r="G12" s="12"/>
      <c r="H12" s="12"/>
      <c r="I12" s="13"/>
      <c r="J12" s="13"/>
      <c r="K12" s="14"/>
    </row>
    <row r="13" spans="1:11" ht="43.5">
      <c r="A13" s="146" t="s">
        <v>317</v>
      </c>
      <c r="B13" s="12"/>
      <c r="C13" s="12"/>
      <c r="D13" s="12"/>
      <c r="E13" s="57"/>
      <c r="F13" s="57"/>
      <c r="G13" s="39">
        <v>1533538.81</v>
      </c>
      <c r="H13" s="39">
        <f>SUM(B13:G13)</f>
        <v>1533538.81</v>
      </c>
      <c r="I13" s="147" t="s">
        <v>36</v>
      </c>
      <c r="J13" s="522" t="s">
        <v>11</v>
      </c>
      <c r="K13" s="14"/>
    </row>
    <row r="14" spans="1:11" ht="43.5">
      <c r="A14" s="146" t="s">
        <v>318</v>
      </c>
      <c r="B14" s="12"/>
      <c r="C14" s="12"/>
      <c r="D14" s="12"/>
      <c r="E14" s="57"/>
      <c r="F14" s="57"/>
      <c r="G14" s="39">
        <v>355421.58</v>
      </c>
      <c r="H14" s="39">
        <f>SUM(B14:G14)</f>
        <v>355421.58</v>
      </c>
      <c r="I14" s="140" t="s">
        <v>36</v>
      </c>
      <c r="J14" s="580" t="s">
        <v>11</v>
      </c>
      <c r="K14" s="15"/>
    </row>
    <row r="15" spans="1:11" ht="21.75">
      <c r="A15" s="146" t="s">
        <v>178</v>
      </c>
      <c r="B15" s="12"/>
      <c r="C15" s="12"/>
      <c r="D15" s="12"/>
      <c r="E15" s="57"/>
      <c r="F15" s="57"/>
      <c r="G15" s="57">
        <v>486541.88</v>
      </c>
      <c r="H15" s="57">
        <f>SUM(B15:G15)</f>
        <v>486541.88</v>
      </c>
      <c r="I15" s="140" t="s">
        <v>36</v>
      </c>
      <c r="J15" s="580" t="s">
        <v>11</v>
      </c>
      <c r="K15" s="15"/>
    </row>
    <row r="16" spans="1:11" ht="43.5">
      <c r="A16" s="146" t="s">
        <v>230</v>
      </c>
      <c r="B16" s="12"/>
      <c r="C16" s="12"/>
      <c r="D16" s="12"/>
      <c r="E16" s="57"/>
      <c r="F16" s="158"/>
      <c r="G16" s="158">
        <f>(3015598.86+3215574.28)*61/100</f>
        <v>3801015.6153999995</v>
      </c>
      <c r="H16" s="39">
        <f>SUM(B16:G16)</f>
        <v>3801015.6153999995</v>
      </c>
      <c r="I16" s="140" t="s">
        <v>101</v>
      </c>
      <c r="J16" s="580" t="s">
        <v>11</v>
      </c>
      <c r="K16" s="441">
        <v>0.61</v>
      </c>
    </row>
    <row r="17" spans="1:11" ht="21.75">
      <c r="A17" s="271" t="s">
        <v>135</v>
      </c>
      <c r="B17" s="12"/>
      <c r="C17" s="12"/>
      <c r="D17" s="12"/>
      <c r="E17" s="57"/>
      <c r="F17" s="57"/>
      <c r="G17" s="57"/>
      <c r="H17" s="57"/>
      <c r="I17" s="140"/>
      <c r="J17" s="546"/>
      <c r="K17" s="15"/>
    </row>
    <row r="18" spans="1:11" ht="43.5">
      <c r="A18" s="146" t="s">
        <v>136</v>
      </c>
      <c r="B18" s="12"/>
      <c r="C18" s="12"/>
      <c r="D18" s="12"/>
      <c r="E18" s="57"/>
      <c r="F18" s="57"/>
      <c r="G18" s="57">
        <v>1379220</v>
      </c>
      <c r="H18" s="57">
        <f>SUM(B18:G18)</f>
        <v>1379220</v>
      </c>
      <c r="I18" s="140" t="s">
        <v>36</v>
      </c>
      <c r="J18" s="546" t="s">
        <v>82</v>
      </c>
      <c r="K18" s="15"/>
    </row>
    <row r="19" spans="1:11" ht="21.75">
      <c r="A19" s="146" t="s">
        <v>137</v>
      </c>
      <c r="B19" s="12"/>
      <c r="C19" s="12"/>
      <c r="D19" s="12"/>
      <c r="E19" s="57"/>
      <c r="F19" s="57"/>
      <c r="G19" s="57">
        <v>115205.22</v>
      </c>
      <c r="H19" s="57">
        <f>SUM(B19:G19)</f>
        <v>115205.22</v>
      </c>
      <c r="I19" s="140" t="s">
        <v>36</v>
      </c>
      <c r="J19" s="546" t="s">
        <v>82</v>
      </c>
      <c r="K19" s="15"/>
    </row>
    <row r="20" spans="1:11" ht="40.5" customHeight="1">
      <c r="A20" s="146" t="s">
        <v>138</v>
      </c>
      <c r="B20" s="12"/>
      <c r="C20" s="12"/>
      <c r="D20" s="12"/>
      <c r="E20" s="57"/>
      <c r="F20" s="57"/>
      <c r="G20" s="39">
        <v>494027.02</v>
      </c>
      <c r="H20" s="39">
        <f>SUM(B20:G20)</f>
        <v>494027.02</v>
      </c>
      <c r="I20" s="140" t="s">
        <v>36</v>
      </c>
      <c r="J20" s="238" t="s">
        <v>82</v>
      </c>
      <c r="K20" s="15"/>
    </row>
    <row r="21" spans="1:11" ht="21.75">
      <c r="A21" s="271" t="s">
        <v>134</v>
      </c>
      <c r="B21" s="235"/>
      <c r="C21" s="235"/>
      <c r="D21" s="235"/>
      <c r="E21" s="236"/>
      <c r="F21" s="236"/>
      <c r="G21" s="237"/>
      <c r="H21" s="237"/>
      <c r="I21" s="140"/>
      <c r="J21" s="238"/>
      <c r="K21" s="18"/>
    </row>
    <row r="22" spans="1:11" ht="43.5" customHeight="1">
      <c r="A22" s="146" t="s">
        <v>228</v>
      </c>
      <c r="B22" s="235"/>
      <c r="C22" s="235"/>
      <c r="D22" s="235"/>
      <c r="E22" s="236"/>
      <c r="F22" s="236"/>
      <c r="G22" s="237">
        <v>4007338</v>
      </c>
      <c r="H22" s="237">
        <f>SUM(B22:G22)</f>
        <v>4007338</v>
      </c>
      <c r="I22" s="147" t="s">
        <v>190</v>
      </c>
      <c r="J22" s="238" t="s">
        <v>82</v>
      </c>
      <c r="K22" s="18"/>
    </row>
    <row r="23" spans="1:11" ht="42" customHeight="1">
      <c r="A23" s="146" t="s">
        <v>227</v>
      </c>
      <c r="B23" s="235"/>
      <c r="C23" s="235"/>
      <c r="D23" s="235"/>
      <c r="E23" s="236"/>
      <c r="F23" s="236"/>
      <c r="G23" s="237">
        <v>955800</v>
      </c>
      <c r="H23" s="237">
        <f>SUM(B23:G23)</f>
        <v>955800</v>
      </c>
      <c r="I23" s="147" t="s">
        <v>190</v>
      </c>
      <c r="J23" s="238" t="s">
        <v>82</v>
      </c>
      <c r="K23" s="18"/>
    </row>
    <row r="24" spans="1:11" ht="43.5">
      <c r="A24" s="146" t="s">
        <v>229</v>
      </c>
      <c r="B24" s="235"/>
      <c r="C24" s="235"/>
      <c r="D24" s="235"/>
      <c r="E24" s="236"/>
      <c r="F24" s="236"/>
      <c r="G24" s="237">
        <v>786000</v>
      </c>
      <c r="H24" s="237">
        <f>SUM(B24:G24)</f>
        <v>786000</v>
      </c>
      <c r="I24" s="147" t="s">
        <v>190</v>
      </c>
      <c r="J24" s="238" t="s">
        <v>82</v>
      </c>
      <c r="K24" s="18"/>
    </row>
    <row r="25" spans="1:11" ht="21.75">
      <c r="A25" s="144" t="s">
        <v>325</v>
      </c>
      <c r="B25" s="235"/>
      <c r="C25" s="235"/>
      <c r="D25" s="235"/>
      <c r="E25" s="236"/>
      <c r="F25" s="236"/>
      <c r="G25" s="237"/>
      <c r="H25" s="237"/>
      <c r="I25" s="140"/>
      <c r="J25" s="238"/>
      <c r="K25" s="18"/>
    </row>
    <row r="26" spans="1:11" ht="21.75">
      <c r="A26" s="146" t="s">
        <v>326</v>
      </c>
      <c r="B26" s="235"/>
      <c r="C26" s="235"/>
      <c r="D26" s="235"/>
      <c r="E26" s="236"/>
      <c r="F26" s="236"/>
      <c r="G26" s="237">
        <v>569856.1</v>
      </c>
      <c r="H26" s="237">
        <f>SUM(B26:G26)</f>
        <v>569856.1</v>
      </c>
      <c r="I26" s="147" t="s">
        <v>36</v>
      </c>
      <c r="J26" s="238" t="s">
        <v>82</v>
      </c>
      <c r="K26" s="18"/>
    </row>
    <row r="27" spans="1:11" ht="43.5">
      <c r="A27" s="146" t="s">
        <v>327</v>
      </c>
      <c r="B27" s="235"/>
      <c r="C27" s="235"/>
      <c r="D27" s="235"/>
      <c r="E27" s="236"/>
      <c r="F27" s="236"/>
      <c r="G27" s="237">
        <v>3619140.56</v>
      </c>
      <c r="H27" s="237">
        <f>SUM(B27:G27)</f>
        <v>3619140.56</v>
      </c>
      <c r="I27" s="147" t="s">
        <v>36</v>
      </c>
      <c r="J27" s="238"/>
      <c r="K27" s="18"/>
    </row>
    <row r="28" spans="1:11" ht="65.25">
      <c r="A28" s="154" t="s">
        <v>329</v>
      </c>
      <c r="B28" s="235"/>
      <c r="C28" s="235"/>
      <c r="D28" s="235"/>
      <c r="E28" s="236"/>
      <c r="F28" s="236"/>
      <c r="G28" s="237">
        <v>11190.9</v>
      </c>
      <c r="H28" s="237">
        <f>SUM(B28:G28)</f>
        <v>11190.9</v>
      </c>
      <c r="I28" s="147" t="s">
        <v>36</v>
      </c>
      <c r="J28" s="231" t="s">
        <v>328</v>
      </c>
      <c r="K28" s="18"/>
    </row>
    <row r="29" spans="1:11" ht="21.75">
      <c r="A29" s="144" t="s">
        <v>226</v>
      </c>
      <c r="B29" s="235"/>
      <c r="C29" s="235"/>
      <c r="D29" s="235"/>
      <c r="E29" s="236"/>
      <c r="F29" s="236"/>
      <c r="G29" s="237"/>
      <c r="H29" s="237"/>
      <c r="I29" s="147"/>
      <c r="J29" s="238"/>
      <c r="K29" s="18"/>
    </row>
    <row r="30" spans="1:11" ht="65.25">
      <c r="A30" s="146" t="s">
        <v>319</v>
      </c>
      <c r="B30" s="237"/>
      <c r="C30" s="648">
        <f>109683+590995</f>
        <v>700678</v>
      </c>
      <c r="D30" s="235"/>
      <c r="E30" s="236"/>
      <c r="F30" s="236"/>
      <c r="G30" s="237"/>
      <c r="H30" s="237">
        <f>SUM(B30:G30)</f>
        <v>700678</v>
      </c>
      <c r="I30" s="147" t="s">
        <v>191</v>
      </c>
      <c r="J30" s="238" t="s">
        <v>39</v>
      </c>
      <c r="K30" s="18"/>
    </row>
    <row r="31" spans="1:11" ht="21.75">
      <c r="A31" s="144" t="s">
        <v>223</v>
      </c>
      <c r="B31" s="237"/>
      <c r="C31" s="235"/>
      <c r="D31" s="235"/>
      <c r="E31" s="236"/>
      <c r="F31" s="236"/>
      <c r="G31" s="237"/>
      <c r="H31" s="237"/>
      <c r="I31" s="154"/>
      <c r="J31" s="238"/>
      <c r="K31" s="18"/>
    </row>
    <row r="32" spans="1:11" ht="87">
      <c r="A32" s="146" t="s">
        <v>600</v>
      </c>
      <c r="B32" s="235"/>
      <c r="C32" s="235"/>
      <c r="D32" s="235"/>
      <c r="E32" s="236"/>
      <c r="F32" s="236"/>
      <c r="G32" s="237">
        <v>1306000</v>
      </c>
      <c r="H32" s="237">
        <f>SUM(B32:G32)</f>
        <v>1306000</v>
      </c>
      <c r="I32" s="154" t="s">
        <v>192</v>
      </c>
      <c r="J32" s="238" t="s">
        <v>82</v>
      </c>
      <c r="K32" s="18"/>
    </row>
    <row r="33" spans="1:11" ht="43.5">
      <c r="A33" s="146" t="s">
        <v>323</v>
      </c>
      <c r="B33" s="235"/>
      <c r="C33" s="235"/>
      <c r="D33" s="235"/>
      <c r="E33" s="236"/>
      <c r="F33" s="236"/>
      <c r="G33" s="237">
        <v>21700</v>
      </c>
      <c r="H33" s="237">
        <f>SUM(B33:G33)</f>
        <v>21700</v>
      </c>
      <c r="I33" s="154" t="s">
        <v>192</v>
      </c>
      <c r="J33" s="238" t="s">
        <v>82</v>
      </c>
      <c r="K33" s="18"/>
    </row>
    <row r="34" spans="1:11" ht="43.5">
      <c r="A34" s="140" t="s">
        <v>193</v>
      </c>
      <c r="B34" s="235"/>
      <c r="C34" s="237"/>
      <c r="D34" s="235"/>
      <c r="E34" s="236"/>
      <c r="F34" s="236"/>
      <c r="G34" s="237">
        <v>52331.81</v>
      </c>
      <c r="H34" s="237">
        <f>SUM(B34:G34)</f>
        <v>52331.81</v>
      </c>
      <c r="I34" s="154" t="s">
        <v>192</v>
      </c>
      <c r="J34" s="238" t="s">
        <v>82</v>
      </c>
      <c r="K34" s="18"/>
    </row>
    <row r="35" spans="1:11" ht="43.5">
      <c r="A35" s="154" t="s">
        <v>324</v>
      </c>
      <c r="B35" s="235"/>
      <c r="C35" s="235"/>
      <c r="D35" s="235"/>
      <c r="E35" s="236"/>
      <c r="F35" s="236"/>
      <c r="G35" s="237">
        <v>872742.19</v>
      </c>
      <c r="H35" s="237">
        <f>SUM(B35:G35)</f>
        <v>872742.19</v>
      </c>
      <c r="I35" s="154" t="s">
        <v>192</v>
      </c>
      <c r="J35" s="238" t="s">
        <v>82</v>
      </c>
      <c r="K35" s="15"/>
    </row>
    <row r="36" spans="1:11" ht="21.75">
      <c r="A36" s="144" t="s">
        <v>320</v>
      </c>
      <c r="B36" s="235"/>
      <c r="C36" s="235"/>
      <c r="D36" s="235"/>
      <c r="E36" s="236"/>
      <c r="F36" s="236"/>
      <c r="G36" s="237"/>
      <c r="H36" s="237"/>
      <c r="I36" s="252"/>
      <c r="J36" s="238"/>
      <c r="K36" s="15"/>
    </row>
    <row r="37" spans="1:11" ht="43.5">
      <c r="A37" s="146" t="s">
        <v>321</v>
      </c>
      <c r="B37" s="235"/>
      <c r="C37" s="263"/>
      <c r="D37" s="235"/>
      <c r="E37" s="236"/>
      <c r="F37" s="237">
        <v>80600</v>
      </c>
      <c r="G37" s="237"/>
      <c r="H37" s="237">
        <f>SUM(B37:G37)</f>
        <v>80600</v>
      </c>
      <c r="I37" s="252" t="s">
        <v>124</v>
      </c>
      <c r="J37" s="238" t="s">
        <v>39</v>
      </c>
      <c r="K37" s="15"/>
    </row>
    <row r="38" spans="1:11" ht="22.5" thickBot="1">
      <c r="A38" s="141" t="s">
        <v>2</v>
      </c>
      <c r="B38" s="59">
        <f>SUM(B8:B37)</f>
        <v>0</v>
      </c>
      <c r="C38" s="59">
        <f aca="true" t="shared" si="0" ref="C38:H38">SUM(C8:C37)</f>
        <v>700678</v>
      </c>
      <c r="D38" s="59">
        <f t="shared" si="0"/>
        <v>0</v>
      </c>
      <c r="E38" s="59">
        <f t="shared" si="0"/>
        <v>0</v>
      </c>
      <c r="F38" s="59">
        <f t="shared" si="0"/>
        <v>80600</v>
      </c>
      <c r="G38" s="59">
        <f t="shared" si="0"/>
        <v>21487729.685399998</v>
      </c>
      <c r="H38" s="59">
        <f t="shared" si="0"/>
        <v>22269007.685399998</v>
      </c>
      <c r="I38" s="21"/>
      <c r="J38" s="21"/>
      <c r="K38" s="21"/>
    </row>
    <row r="39" spans="1:11" ht="22.5" thickTop="1">
      <c r="A39" s="60"/>
      <c r="B39" s="61"/>
      <c r="C39" s="35"/>
      <c r="D39" s="35"/>
      <c r="E39" s="35"/>
      <c r="F39" s="35"/>
      <c r="G39" s="35"/>
      <c r="H39" s="35"/>
      <c r="I39" s="35"/>
      <c r="J39" s="35"/>
      <c r="K39" s="35"/>
    </row>
    <row r="40" ht="21.75">
      <c r="G40" s="29"/>
    </row>
    <row r="41" ht="21.75">
      <c r="F41" s="29"/>
    </row>
  </sheetData>
  <sheetProtection/>
  <mergeCells count="9">
    <mergeCell ref="A1:K1"/>
    <mergeCell ref="H4:H5"/>
    <mergeCell ref="I4:I5"/>
    <mergeCell ref="J4:J5"/>
    <mergeCell ref="K4:K5"/>
    <mergeCell ref="A4:A5"/>
    <mergeCell ref="B4:E4"/>
    <mergeCell ref="G4:G5"/>
    <mergeCell ref="A2:K2"/>
  </mergeCells>
  <printOptions/>
  <pageMargins left="0.354330708661417" right="0.498031496" top="0.537401575" bottom="0" header="0.984251968503937" footer="0.1574803149606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6"/>
  <sheetViews>
    <sheetView showGridLines="0" zoomScalePageLayoutView="0" workbookViewId="0" topLeftCell="A1">
      <pane xSplit="1" ySplit="5" topLeftCell="B9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F16" sqref="F16"/>
    </sheetView>
  </sheetViews>
  <sheetFormatPr defaultColWidth="9.140625" defaultRowHeight="21.75"/>
  <cols>
    <col min="1" max="1" width="50.00390625" style="0" customWidth="1"/>
    <col min="2" max="2" width="14.57421875" style="0" bestFit="1" customWidth="1"/>
    <col min="3" max="3" width="15.00390625" style="0" bestFit="1" customWidth="1"/>
    <col min="4" max="4" width="14.57421875" style="0" bestFit="1" customWidth="1"/>
    <col min="5" max="5" width="9.28125" style="0" customWidth="1"/>
    <col min="6" max="6" width="14.140625" style="0" customWidth="1"/>
    <col min="7" max="7" width="15.00390625" style="0" customWidth="1"/>
    <col min="8" max="8" width="17.8515625" style="0" customWidth="1"/>
    <col min="9" max="9" width="12.00390625" style="0" customWidth="1"/>
    <col min="10" max="10" width="13.8515625" style="0" customWidth="1"/>
  </cols>
  <sheetData>
    <row r="1" spans="1:10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4" ht="24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62"/>
      <c r="L2" s="62"/>
      <c r="M2" s="62"/>
      <c r="N2" s="62"/>
    </row>
    <row r="3" spans="2:10" ht="21.75" customHeight="1">
      <c r="B3" s="5"/>
      <c r="C3" s="5"/>
      <c r="D3" s="5"/>
      <c r="E3" s="5"/>
      <c r="F3" s="5"/>
      <c r="G3" s="5"/>
      <c r="H3" s="5"/>
      <c r="I3" s="5"/>
      <c r="J3" s="6"/>
    </row>
    <row r="4" spans="1:10" ht="21.75" customHeight="1">
      <c r="A4" s="763" t="s">
        <v>1</v>
      </c>
      <c r="B4" s="765" t="s">
        <v>12</v>
      </c>
      <c r="C4" s="766"/>
      <c r="D4" s="766"/>
      <c r="E4" s="766"/>
      <c r="F4" s="767" t="s">
        <v>86</v>
      </c>
      <c r="G4" s="767" t="s">
        <v>13</v>
      </c>
      <c r="H4" s="763" t="s">
        <v>6</v>
      </c>
      <c r="I4" s="779" t="s">
        <v>7</v>
      </c>
      <c r="J4" s="779" t="s">
        <v>31</v>
      </c>
    </row>
    <row r="5" spans="1:10" ht="42" customHeight="1">
      <c r="A5" s="764"/>
      <c r="B5" s="23" t="s">
        <v>8</v>
      </c>
      <c r="C5" s="23" t="s">
        <v>9</v>
      </c>
      <c r="D5" s="23" t="s">
        <v>166</v>
      </c>
      <c r="E5" s="23" t="s">
        <v>10</v>
      </c>
      <c r="F5" s="778"/>
      <c r="G5" s="778"/>
      <c r="H5" s="764"/>
      <c r="I5" s="780"/>
      <c r="J5" s="780"/>
    </row>
    <row r="6" spans="1:10" ht="21.75">
      <c r="A6" s="7" t="s">
        <v>96</v>
      </c>
      <c r="B6" s="56"/>
      <c r="C6" s="56"/>
      <c r="D6" s="56"/>
      <c r="E6" s="56"/>
      <c r="F6" s="56"/>
      <c r="G6" s="56"/>
      <c r="H6" s="9"/>
      <c r="I6" s="9"/>
      <c r="J6" s="10"/>
    </row>
    <row r="7" spans="1:10" ht="21.75">
      <c r="A7" s="144" t="s">
        <v>120</v>
      </c>
      <c r="B7" s="57"/>
      <c r="C7" s="57"/>
      <c r="D7" s="57"/>
      <c r="E7" s="57"/>
      <c r="F7" s="57"/>
      <c r="G7" s="57"/>
      <c r="H7" s="13"/>
      <c r="I7" s="13"/>
      <c r="J7" s="14"/>
    </row>
    <row r="8" spans="1:10" ht="43.5">
      <c r="A8" s="154" t="s">
        <v>300</v>
      </c>
      <c r="B8" s="28"/>
      <c r="C8" s="28">
        <v>378037808.09</v>
      </c>
      <c r="D8" s="445"/>
      <c r="E8" s="28"/>
      <c r="F8" s="28"/>
      <c r="G8" s="28">
        <f>SUM(B8:F8)</f>
        <v>378037808.09</v>
      </c>
      <c r="H8" s="438" t="s">
        <v>175</v>
      </c>
      <c r="I8" s="185" t="s">
        <v>121</v>
      </c>
      <c r="J8" s="162" t="s">
        <v>299</v>
      </c>
    </row>
    <row r="9" spans="1:10" ht="21.75">
      <c r="A9" s="144" t="s">
        <v>301</v>
      </c>
      <c r="B9" s="444"/>
      <c r="C9" s="63"/>
      <c r="D9" s="63"/>
      <c r="E9" s="63"/>
      <c r="F9" s="63"/>
      <c r="G9" s="28">
        <f>SUM(B9:F9)</f>
        <v>0</v>
      </c>
      <c r="H9" s="438"/>
      <c r="I9" s="439"/>
      <c r="J9" s="162"/>
    </row>
    <row r="10" spans="1:10" ht="21.75">
      <c r="A10" s="154" t="s">
        <v>302</v>
      </c>
      <c r="B10" s="444"/>
      <c r="C10" s="63"/>
      <c r="D10" s="63"/>
      <c r="E10" s="63"/>
      <c r="F10" s="63">
        <v>4624089.2</v>
      </c>
      <c r="G10" s="28">
        <f>SUM(B10:F10)</f>
        <v>4624089.2</v>
      </c>
      <c r="H10" s="438" t="s">
        <v>36</v>
      </c>
      <c r="I10" s="520" t="s">
        <v>113</v>
      </c>
      <c r="J10" s="162"/>
    </row>
    <row r="11" spans="1:10" ht="21.75">
      <c r="A11" s="154" t="s">
        <v>303</v>
      </c>
      <c r="B11" s="444"/>
      <c r="C11" s="63"/>
      <c r="D11" s="63"/>
      <c r="E11" s="63"/>
      <c r="F11" s="63">
        <v>206052.18</v>
      </c>
      <c r="G11" s="28">
        <f>SUM(B11:F11)</f>
        <v>206052.18</v>
      </c>
      <c r="H11" s="438" t="s">
        <v>36</v>
      </c>
      <c r="I11" s="520" t="s">
        <v>113</v>
      </c>
      <c r="J11" s="162"/>
    </row>
    <row r="12" spans="1:10" ht="43.5">
      <c r="A12" s="154" t="s">
        <v>304</v>
      </c>
      <c r="B12" s="444"/>
      <c r="C12" s="63"/>
      <c r="D12" s="63"/>
      <c r="E12" s="63"/>
      <c r="F12" s="63">
        <v>541030.63</v>
      </c>
      <c r="G12" s="28">
        <f>SUM(B12:F12)</f>
        <v>541030.63</v>
      </c>
      <c r="H12" s="400" t="s">
        <v>36</v>
      </c>
      <c r="I12" s="185" t="s">
        <v>113</v>
      </c>
      <c r="J12" s="162"/>
    </row>
    <row r="13" spans="1:10" ht="21.75">
      <c r="A13" s="85"/>
      <c r="B13" s="28"/>
      <c r="C13" s="65"/>
      <c r="D13" s="65"/>
      <c r="E13" s="65"/>
      <c r="F13" s="65"/>
      <c r="G13" s="28"/>
      <c r="H13" s="25"/>
      <c r="I13" s="64"/>
      <c r="J13" s="101"/>
    </row>
    <row r="14" spans="1:10" ht="22.5" thickBot="1">
      <c r="A14" s="19" t="s">
        <v>2</v>
      </c>
      <c r="B14" s="59">
        <f>SUM(B9:B13)</f>
        <v>0</v>
      </c>
      <c r="C14" s="59">
        <f>SUM(C8:C13)</f>
        <v>378037808.09</v>
      </c>
      <c r="D14" s="59">
        <f>SUM(D8:D13)</f>
        <v>0</v>
      </c>
      <c r="E14" s="59">
        <f>SUM(E8:E13)</f>
        <v>0</v>
      </c>
      <c r="F14" s="59">
        <f>SUM(F8:F13)</f>
        <v>5371172.01</v>
      </c>
      <c r="G14" s="59">
        <f>SUM(G8:G13)</f>
        <v>383408980.09999996</v>
      </c>
      <c r="H14" s="21"/>
      <c r="I14" s="21"/>
      <c r="J14" s="21"/>
    </row>
    <row r="15" spans="1:10" ht="22.5" thickTop="1">
      <c r="A15" s="35"/>
      <c r="B15" s="41"/>
      <c r="C15" s="35"/>
      <c r="D15" s="35"/>
      <c r="E15" s="35"/>
      <c r="F15" s="35"/>
      <c r="G15" s="35"/>
      <c r="H15" s="35"/>
      <c r="I15" s="35"/>
      <c r="J15" s="35"/>
    </row>
    <row r="16" spans="1:9" ht="21.75">
      <c r="A16" s="36"/>
      <c r="G16" s="29"/>
      <c r="I16" s="55"/>
    </row>
  </sheetData>
  <sheetProtection/>
  <mergeCells count="9">
    <mergeCell ref="A1:J1"/>
    <mergeCell ref="G4:G5"/>
    <mergeCell ref="H4:H5"/>
    <mergeCell ref="I4:I5"/>
    <mergeCell ref="J4:J5"/>
    <mergeCell ref="A4:A5"/>
    <mergeCell ref="A2:J2"/>
    <mergeCell ref="B4:E4"/>
    <mergeCell ref="F4:F5"/>
  </mergeCells>
  <printOptions/>
  <pageMargins left="0.433070866141732" right="0" top="1.49606299212598" bottom="0.15748031496063" header="0.78740157480315" footer="0.15748031496063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P15"/>
  <sheetViews>
    <sheetView showGridLines="0" zoomScalePageLayoutView="0" workbookViewId="0" topLeftCell="A1">
      <pane xSplit="1" ySplit="5" topLeftCell="B12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A14" sqref="A14"/>
    </sheetView>
  </sheetViews>
  <sheetFormatPr defaultColWidth="9.140625" defaultRowHeight="21.75"/>
  <cols>
    <col min="1" max="1" width="50.00390625" style="0" customWidth="1"/>
    <col min="2" max="2" width="11.421875" style="0" customWidth="1"/>
    <col min="3" max="4" width="12.00390625" style="0" customWidth="1"/>
    <col min="5" max="5" width="9.28125" style="0" customWidth="1"/>
    <col min="6" max="6" width="11.7109375" style="0" customWidth="1"/>
    <col min="7" max="7" width="12.7109375" style="0" customWidth="1"/>
    <col min="8" max="8" width="14.140625" style="0" customWidth="1"/>
    <col min="9" max="9" width="16.00390625" style="0" customWidth="1"/>
    <col min="10" max="10" width="15.421875" style="0" customWidth="1"/>
    <col min="11" max="11" width="12.00390625" style="0" customWidth="1"/>
    <col min="12" max="12" width="16.00390625" style="0" customWidth="1"/>
    <col min="14" max="14" width="11.00390625" style="0" bestFit="1" customWidth="1"/>
  </cols>
  <sheetData>
    <row r="1" spans="1:12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6" ht="24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62"/>
      <c r="N2" s="62"/>
      <c r="O2" s="62"/>
      <c r="P2" s="62"/>
    </row>
    <row r="3" spans="2:12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1.75" customHeight="1">
      <c r="A4" s="763" t="s">
        <v>1</v>
      </c>
      <c r="B4" s="765" t="s">
        <v>12</v>
      </c>
      <c r="C4" s="766"/>
      <c r="D4" s="766"/>
      <c r="E4" s="766"/>
      <c r="F4" s="766"/>
      <c r="G4" s="775"/>
      <c r="H4" s="767" t="s">
        <v>86</v>
      </c>
      <c r="I4" s="767" t="s">
        <v>13</v>
      </c>
      <c r="J4" s="763" t="s">
        <v>6</v>
      </c>
      <c r="K4" s="779" t="s">
        <v>7</v>
      </c>
      <c r="L4" s="779" t="s">
        <v>31</v>
      </c>
    </row>
    <row r="5" spans="1:12" ht="42" customHeight="1">
      <c r="A5" s="764"/>
      <c r="B5" s="129" t="s">
        <v>8</v>
      </c>
      <c r="C5" s="129" t="s">
        <v>9</v>
      </c>
      <c r="D5" s="129" t="s">
        <v>166</v>
      </c>
      <c r="E5" s="129" t="s">
        <v>10</v>
      </c>
      <c r="F5" s="635" t="s">
        <v>19</v>
      </c>
      <c r="G5" s="634" t="s">
        <v>33</v>
      </c>
      <c r="H5" s="778"/>
      <c r="I5" s="778"/>
      <c r="J5" s="764"/>
      <c r="K5" s="780"/>
      <c r="L5" s="780"/>
    </row>
    <row r="6" spans="1:12" ht="21.75">
      <c r="A6" s="7" t="s">
        <v>203</v>
      </c>
      <c r="B6" s="56"/>
      <c r="C6" s="56"/>
      <c r="D6" s="56"/>
      <c r="E6" s="56"/>
      <c r="F6" s="56"/>
      <c r="G6" s="56"/>
      <c r="H6" s="56"/>
      <c r="I6" s="56"/>
      <c r="J6" s="9"/>
      <c r="K6" s="9"/>
      <c r="L6" s="10"/>
    </row>
    <row r="7" spans="1:12" ht="21.75">
      <c r="A7" s="144" t="s">
        <v>202</v>
      </c>
      <c r="B7" s="57"/>
      <c r="C7" s="57"/>
      <c r="D7" s="57"/>
      <c r="E7" s="57"/>
      <c r="F7" s="57"/>
      <c r="G7" s="57"/>
      <c r="H7" s="57"/>
      <c r="I7" s="57"/>
      <c r="J7" s="13"/>
      <c r="K7" s="13"/>
      <c r="L7" s="14"/>
    </row>
    <row r="8" spans="1:12" ht="65.25">
      <c r="A8" s="154" t="s">
        <v>286</v>
      </c>
      <c r="B8" s="57"/>
      <c r="C8" s="57"/>
      <c r="D8" s="57"/>
      <c r="E8" s="57"/>
      <c r="F8" s="57"/>
      <c r="G8" s="39"/>
      <c r="H8" s="39">
        <v>5693726.7</v>
      </c>
      <c r="I8" s="39">
        <f>SUM(B8:H8)</f>
        <v>5693726.7</v>
      </c>
      <c r="J8" s="149" t="s">
        <v>36</v>
      </c>
      <c r="K8" s="149" t="s">
        <v>113</v>
      </c>
      <c r="L8" s="183" t="s">
        <v>82</v>
      </c>
    </row>
    <row r="9" spans="1:12" ht="21.75">
      <c r="A9" s="144" t="s">
        <v>204</v>
      </c>
      <c r="B9" s="57"/>
      <c r="C9" s="57"/>
      <c r="D9" s="57"/>
      <c r="E9" s="57"/>
      <c r="F9" s="57"/>
      <c r="G9" s="39"/>
      <c r="H9" s="39"/>
      <c r="I9" s="39"/>
      <c r="J9" s="13"/>
      <c r="K9" s="13"/>
      <c r="L9" s="14"/>
    </row>
    <row r="10" spans="1:12" ht="43.5">
      <c r="A10" s="154" t="s">
        <v>231</v>
      </c>
      <c r="B10" s="57"/>
      <c r="C10" s="57"/>
      <c r="D10" s="57"/>
      <c r="E10" s="57"/>
      <c r="F10" s="57"/>
      <c r="G10" s="57"/>
      <c r="H10" s="39">
        <v>9147.63</v>
      </c>
      <c r="I10" s="39">
        <f>SUM(B10:H10)</f>
        <v>9147.63</v>
      </c>
      <c r="J10" s="149" t="s">
        <v>36</v>
      </c>
      <c r="K10" s="149" t="s">
        <v>113</v>
      </c>
      <c r="L10" s="183" t="s">
        <v>143</v>
      </c>
    </row>
    <row r="11" spans="1:12" ht="21.75">
      <c r="A11" s="144" t="s">
        <v>287</v>
      </c>
      <c r="B11" s="57"/>
      <c r="C11" s="57"/>
      <c r="D11" s="57"/>
      <c r="E11" s="57"/>
      <c r="F11" s="57"/>
      <c r="G11" s="57"/>
      <c r="H11" s="39"/>
      <c r="I11" s="39"/>
      <c r="J11" s="149" t="s">
        <v>36</v>
      </c>
      <c r="K11" s="145"/>
      <c r="L11" s="183"/>
    </row>
    <row r="12" spans="1:12" ht="21.75">
      <c r="A12" s="176" t="s">
        <v>205</v>
      </c>
      <c r="B12" s="401"/>
      <c r="C12" s="401"/>
      <c r="D12" s="401"/>
      <c r="E12" s="401"/>
      <c r="F12" s="401"/>
      <c r="G12" s="193"/>
      <c r="H12" s="401">
        <v>260400</v>
      </c>
      <c r="I12" s="57">
        <f>SUM(B12:H12)</f>
        <v>260400</v>
      </c>
      <c r="J12" s="149" t="s">
        <v>36</v>
      </c>
      <c r="K12" s="149" t="s">
        <v>113</v>
      </c>
      <c r="L12" s="149" t="s">
        <v>206</v>
      </c>
    </row>
    <row r="13" spans="1:12" ht="43.5">
      <c r="A13" s="176" t="s">
        <v>237</v>
      </c>
      <c r="B13" s="401"/>
      <c r="C13" s="401"/>
      <c r="D13" s="401"/>
      <c r="E13" s="401"/>
      <c r="F13" s="401"/>
      <c r="G13" s="401"/>
      <c r="H13" s="39">
        <v>2790000</v>
      </c>
      <c r="I13" s="39">
        <f>SUM(B13:H13)</f>
        <v>2790000</v>
      </c>
      <c r="J13" s="149" t="s">
        <v>36</v>
      </c>
      <c r="K13" s="149" t="s">
        <v>113</v>
      </c>
      <c r="L13" s="149" t="s">
        <v>206</v>
      </c>
    </row>
    <row r="14" spans="1:15" ht="43.5">
      <c r="A14" s="501" t="s">
        <v>288</v>
      </c>
      <c r="B14" s="351">
        <v>161949.09</v>
      </c>
      <c r="C14" s="351">
        <v>161949.09</v>
      </c>
      <c r="D14" s="351">
        <v>161949.09</v>
      </c>
      <c r="E14" s="351"/>
      <c r="F14" s="351">
        <v>161949.09</v>
      </c>
      <c r="G14" s="351">
        <f>161949.09*12</f>
        <v>1943389.08</v>
      </c>
      <c r="H14" s="233"/>
      <c r="I14" s="233">
        <f>SUM(B14:H14)</f>
        <v>2591185.44</v>
      </c>
      <c r="J14" s="500" t="s">
        <v>207</v>
      </c>
      <c r="K14" s="234" t="s">
        <v>39</v>
      </c>
      <c r="L14" s="234"/>
      <c r="N14" s="110"/>
      <c r="O14">
        <f>161949.09*16</f>
        <v>2591185.44</v>
      </c>
    </row>
    <row r="15" spans="1:12" ht="22.5" thickBot="1">
      <c r="A15" s="19" t="s">
        <v>2</v>
      </c>
      <c r="B15" s="59">
        <f aca="true" t="shared" si="0" ref="B15:I15">SUM(B8:B14)</f>
        <v>161949.09</v>
      </c>
      <c r="C15" s="59">
        <f t="shared" si="0"/>
        <v>161949.09</v>
      </c>
      <c r="D15" s="59">
        <f t="shared" si="0"/>
        <v>161949.09</v>
      </c>
      <c r="E15" s="59">
        <f t="shared" si="0"/>
        <v>0</v>
      </c>
      <c r="F15" s="59">
        <f t="shared" si="0"/>
        <v>161949.09</v>
      </c>
      <c r="G15" s="59">
        <f t="shared" si="0"/>
        <v>1943389.08</v>
      </c>
      <c r="H15" s="59">
        <f t="shared" si="0"/>
        <v>8753274.33</v>
      </c>
      <c r="I15" s="59">
        <f t="shared" si="0"/>
        <v>11344459.77</v>
      </c>
      <c r="J15" s="21"/>
      <c r="K15" s="21"/>
      <c r="L15" s="21"/>
    </row>
    <row r="16" ht="22.5" thickTop="1"/>
  </sheetData>
  <sheetProtection/>
  <mergeCells count="9">
    <mergeCell ref="A1:L1"/>
    <mergeCell ref="A2:L2"/>
    <mergeCell ref="A4:A5"/>
    <mergeCell ref="H4:H5"/>
    <mergeCell ref="I4:I5"/>
    <mergeCell ref="J4:J5"/>
    <mergeCell ref="K4:K5"/>
    <mergeCell ref="L4:L5"/>
    <mergeCell ref="B4:G4"/>
  </mergeCells>
  <printOptions/>
  <pageMargins left="0.183070866" right="0" top="1.246062992" bottom="0.15748031496063" header="0.78740157480315" footer="0.15748031496063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O27"/>
  <sheetViews>
    <sheetView showGridLines="0" zoomScalePageLayoutView="0" workbookViewId="0" topLeftCell="A1">
      <pane xSplit="1" ySplit="5" topLeftCell="B27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A21" sqref="A21"/>
    </sheetView>
  </sheetViews>
  <sheetFormatPr defaultColWidth="9.140625" defaultRowHeight="21.75"/>
  <cols>
    <col min="1" max="1" width="50.00390625" style="0" customWidth="1"/>
    <col min="2" max="2" width="14.00390625" style="0" bestFit="1" customWidth="1"/>
    <col min="3" max="3" width="13.140625" style="0" customWidth="1"/>
    <col min="4" max="4" width="13.57421875" style="0" customWidth="1"/>
    <col min="5" max="5" width="9.28125" style="0" customWidth="1"/>
    <col min="6" max="6" width="12.421875" style="0" customWidth="1"/>
    <col min="7" max="7" width="14.140625" style="0" customWidth="1"/>
    <col min="8" max="8" width="14.28125" style="0" customWidth="1"/>
    <col min="9" max="9" width="12.28125" style="0" customWidth="1"/>
    <col min="10" max="10" width="12.00390625" style="0" customWidth="1"/>
    <col min="11" max="11" width="13.00390625" style="0" customWidth="1"/>
  </cols>
  <sheetData>
    <row r="1" spans="1:11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5" ht="24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62"/>
      <c r="M2" s="62"/>
      <c r="N2" s="62"/>
      <c r="O2" s="62"/>
    </row>
    <row r="3" spans="2:11" ht="21.75" customHeight="1"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 customHeight="1">
      <c r="A4" s="763" t="s">
        <v>1</v>
      </c>
      <c r="B4" s="765" t="s">
        <v>12</v>
      </c>
      <c r="C4" s="766"/>
      <c r="D4" s="766"/>
      <c r="E4" s="766"/>
      <c r="F4" s="306"/>
      <c r="G4" s="767" t="s">
        <v>86</v>
      </c>
      <c r="H4" s="767" t="s">
        <v>13</v>
      </c>
      <c r="I4" s="763" t="s">
        <v>6</v>
      </c>
      <c r="J4" s="779" t="s">
        <v>7</v>
      </c>
      <c r="K4" s="779" t="s">
        <v>31</v>
      </c>
    </row>
    <row r="5" spans="1:11" ht="42" customHeight="1">
      <c r="A5" s="764"/>
      <c r="B5" s="23" t="s">
        <v>8</v>
      </c>
      <c r="C5" s="23" t="s">
        <v>9</v>
      </c>
      <c r="D5" s="23" t="s">
        <v>166</v>
      </c>
      <c r="E5" s="23" t="s">
        <v>10</v>
      </c>
      <c r="F5" s="108" t="s">
        <v>33</v>
      </c>
      <c r="G5" s="778"/>
      <c r="H5" s="778"/>
      <c r="I5" s="764"/>
      <c r="J5" s="780"/>
      <c r="K5" s="780"/>
    </row>
    <row r="6" spans="1:11" ht="21.75">
      <c r="A6" s="7" t="s">
        <v>196</v>
      </c>
      <c r="B6" s="56"/>
      <c r="C6" s="56"/>
      <c r="D6" s="56"/>
      <c r="E6" s="56"/>
      <c r="F6" s="56"/>
      <c r="G6" s="56"/>
      <c r="H6" s="56"/>
      <c r="I6" s="9"/>
      <c r="J6" s="9"/>
      <c r="K6" s="10"/>
    </row>
    <row r="7" spans="1:11" ht="21.75">
      <c r="A7" s="144" t="s">
        <v>283</v>
      </c>
      <c r="B7" s="57"/>
      <c r="C7" s="57"/>
      <c r="D7" s="57"/>
      <c r="E7" s="57"/>
      <c r="F7" s="57"/>
      <c r="G7" s="57"/>
      <c r="H7" s="57"/>
      <c r="I7" s="13"/>
      <c r="J7" s="13"/>
      <c r="K7" s="14"/>
    </row>
    <row r="8" spans="1:11" ht="21.75">
      <c r="A8" s="154" t="s">
        <v>284</v>
      </c>
      <c r="B8" s="57"/>
      <c r="C8" s="57"/>
      <c r="D8" s="57"/>
      <c r="E8" s="57"/>
      <c r="F8" s="57"/>
      <c r="G8" s="57">
        <v>1586138.87</v>
      </c>
      <c r="H8" s="57">
        <f>SUM(B8:G8)</f>
        <v>1586138.87</v>
      </c>
      <c r="I8" s="149" t="s">
        <v>201</v>
      </c>
      <c r="J8" s="13" t="s">
        <v>199</v>
      </c>
      <c r="K8" s="14"/>
    </row>
    <row r="9" spans="1:11" ht="43.5">
      <c r="A9" s="154" t="s">
        <v>285</v>
      </c>
      <c r="B9" s="57"/>
      <c r="C9" s="57"/>
      <c r="D9" s="57"/>
      <c r="E9" s="57"/>
      <c r="F9" s="57"/>
      <c r="G9" s="499">
        <v>2128123.04</v>
      </c>
      <c r="H9" s="39">
        <f>SUM(B9:G9)</f>
        <v>2128123.04</v>
      </c>
      <c r="I9" s="149" t="s">
        <v>201</v>
      </c>
      <c r="J9" s="362" t="s">
        <v>199</v>
      </c>
      <c r="K9" s="14"/>
    </row>
    <row r="10" spans="1:11" ht="21.75">
      <c r="A10" s="144" t="s">
        <v>197</v>
      </c>
      <c r="B10" s="57"/>
      <c r="C10" s="57"/>
      <c r="D10" s="57"/>
      <c r="E10" s="57"/>
      <c r="F10" s="57"/>
      <c r="G10" s="57"/>
      <c r="H10" s="57"/>
      <c r="I10" s="149"/>
      <c r="J10" s="362"/>
      <c r="K10" s="14"/>
    </row>
    <row r="11" spans="1:11" ht="43.5">
      <c r="A11" s="154" t="s">
        <v>198</v>
      </c>
      <c r="B11" s="57"/>
      <c r="C11" s="57"/>
      <c r="D11" s="57"/>
      <c r="E11" s="57"/>
      <c r="F11" s="57"/>
      <c r="G11" s="39">
        <v>19658.8</v>
      </c>
      <c r="H11" s="39">
        <f>SUM(B11:G11)</f>
        <v>19658.8</v>
      </c>
      <c r="I11" s="149" t="s">
        <v>201</v>
      </c>
      <c r="J11" s="362" t="s">
        <v>199</v>
      </c>
      <c r="K11" s="14"/>
    </row>
    <row r="12" spans="1:11" ht="87">
      <c r="A12" s="154" t="s">
        <v>717</v>
      </c>
      <c r="B12" s="57"/>
      <c r="C12" s="57"/>
      <c r="D12" s="57"/>
      <c r="E12" s="57"/>
      <c r="F12" s="57"/>
      <c r="G12" s="39">
        <v>328352.11</v>
      </c>
      <c r="H12" s="39">
        <f>SUM(B12:G12)</f>
        <v>328352.11</v>
      </c>
      <c r="I12" s="149" t="s">
        <v>201</v>
      </c>
      <c r="J12" s="362" t="s">
        <v>199</v>
      </c>
      <c r="K12" s="14"/>
    </row>
    <row r="13" spans="1:11" ht="21.75">
      <c r="A13" s="144" t="s">
        <v>307</v>
      </c>
      <c r="B13" s="57"/>
      <c r="C13" s="57"/>
      <c r="D13" s="57"/>
      <c r="E13" s="15"/>
      <c r="F13" s="57"/>
      <c r="G13" s="57"/>
      <c r="H13" s="39"/>
      <c r="I13" s="13"/>
      <c r="J13" s="14"/>
      <c r="K13" s="14"/>
    </row>
    <row r="14" spans="1:11" ht="43.5">
      <c r="A14" s="154" t="s">
        <v>305</v>
      </c>
      <c r="B14" s="39">
        <v>2039013.33</v>
      </c>
      <c r="C14" s="39">
        <v>2039013.33</v>
      </c>
      <c r="D14" s="39">
        <v>2039013.34</v>
      </c>
      <c r="E14" s="14"/>
      <c r="F14" s="378"/>
      <c r="G14" s="378"/>
      <c r="H14" s="233">
        <f aca="true" t="shared" si="0" ref="H14:H23">SUM(B14:G14)</f>
        <v>6117040</v>
      </c>
      <c r="I14" s="238" t="s">
        <v>36</v>
      </c>
      <c r="J14" s="353" t="s">
        <v>306</v>
      </c>
      <c r="K14" s="14"/>
    </row>
    <row r="15" spans="1:11" ht="21.75">
      <c r="A15" s="154" t="s">
        <v>312</v>
      </c>
      <c r="B15" s="57"/>
      <c r="C15" s="57"/>
      <c r="D15" s="57"/>
      <c r="E15" s="14"/>
      <c r="F15" s="236"/>
      <c r="G15" s="236">
        <v>32169.07</v>
      </c>
      <c r="H15" s="237">
        <f t="shared" si="0"/>
        <v>32169.07</v>
      </c>
      <c r="I15" s="238" t="s">
        <v>36</v>
      </c>
      <c r="J15" s="127" t="s">
        <v>309</v>
      </c>
      <c r="K15" s="15"/>
    </row>
    <row r="16" spans="1:11" ht="21.75">
      <c r="A16" s="154" t="s">
        <v>311</v>
      </c>
      <c r="B16" s="57"/>
      <c r="C16" s="57"/>
      <c r="D16" s="57"/>
      <c r="E16" s="14"/>
      <c r="F16" s="236"/>
      <c r="G16" s="236">
        <v>630000</v>
      </c>
      <c r="H16" s="237">
        <f t="shared" si="0"/>
        <v>630000</v>
      </c>
      <c r="I16" s="238" t="s">
        <v>36</v>
      </c>
      <c r="J16" s="127" t="s">
        <v>310</v>
      </c>
      <c r="K16" s="15"/>
    </row>
    <row r="17" spans="1:11" ht="21.75">
      <c r="A17" s="154" t="s">
        <v>308</v>
      </c>
      <c r="B17" s="57"/>
      <c r="C17" s="57"/>
      <c r="D17" s="57"/>
      <c r="E17" s="57"/>
      <c r="F17" s="236"/>
      <c r="G17" s="236">
        <v>439943</v>
      </c>
      <c r="H17" s="237">
        <f t="shared" si="0"/>
        <v>439943</v>
      </c>
      <c r="I17" s="238" t="s">
        <v>36</v>
      </c>
      <c r="J17" s="127" t="s">
        <v>310</v>
      </c>
      <c r="K17" s="15"/>
    </row>
    <row r="18" spans="1:11" ht="21.75">
      <c r="A18" s="154" t="s">
        <v>308</v>
      </c>
      <c r="B18" s="57"/>
      <c r="C18" s="57"/>
      <c r="D18" s="57"/>
      <c r="E18" s="57"/>
      <c r="F18" s="236"/>
      <c r="G18" s="236">
        <v>46792.35</v>
      </c>
      <c r="H18" s="237">
        <f t="shared" si="0"/>
        <v>46792.35</v>
      </c>
      <c r="I18" s="238" t="s">
        <v>36</v>
      </c>
      <c r="J18" s="127" t="s">
        <v>310</v>
      </c>
      <c r="K18" s="15"/>
    </row>
    <row r="19" spans="1:11" ht="21.75">
      <c r="A19" s="144" t="s">
        <v>200</v>
      </c>
      <c r="B19" s="57"/>
      <c r="C19" s="57"/>
      <c r="D19" s="57"/>
      <c r="E19" s="57"/>
      <c r="F19" s="57"/>
      <c r="G19" s="57"/>
      <c r="H19" s="237"/>
      <c r="I19" s="238" t="s">
        <v>36</v>
      </c>
      <c r="J19" s="13"/>
      <c r="K19" s="14"/>
    </row>
    <row r="20" spans="1:11" ht="43.5">
      <c r="A20" s="154" t="s">
        <v>313</v>
      </c>
      <c r="B20" s="57"/>
      <c r="C20" s="57"/>
      <c r="D20" s="57"/>
      <c r="E20" s="57"/>
      <c r="F20" s="57"/>
      <c r="G20" s="39">
        <v>162700</v>
      </c>
      <c r="H20" s="237">
        <f t="shared" si="0"/>
        <v>162700</v>
      </c>
      <c r="I20" s="238" t="s">
        <v>36</v>
      </c>
      <c r="J20" s="149" t="s">
        <v>82</v>
      </c>
      <c r="K20" s="14"/>
    </row>
    <row r="21" spans="1:11" ht="65.25">
      <c r="A21" s="154" t="s">
        <v>314</v>
      </c>
      <c r="B21" s="57"/>
      <c r="C21" s="57"/>
      <c r="D21" s="57"/>
      <c r="E21" s="57"/>
      <c r="F21" s="57"/>
      <c r="G21" s="39">
        <v>3369390</v>
      </c>
      <c r="H21" s="237">
        <f t="shared" si="0"/>
        <v>3369390</v>
      </c>
      <c r="I21" s="238" t="s">
        <v>36</v>
      </c>
      <c r="J21" s="149" t="s">
        <v>143</v>
      </c>
      <c r="K21" s="14"/>
    </row>
    <row r="22" spans="1:11" ht="71.25" customHeight="1">
      <c r="A22" s="154" t="s">
        <v>315</v>
      </c>
      <c r="B22" s="57"/>
      <c r="C22" s="57"/>
      <c r="D22" s="57"/>
      <c r="E22" s="57"/>
      <c r="F22" s="57"/>
      <c r="G22" s="39">
        <v>30794.25</v>
      </c>
      <c r="H22" s="237">
        <f t="shared" si="0"/>
        <v>30794.25</v>
      </c>
      <c r="I22" s="238" t="s">
        <v>36</v>
      </c>
      <c r="J22" s="149" t="s">
        <v>82</v>
      </c>
      <c r="K22" s="14"/>
    </row>
    <row r="23" spans="1:11" ht="65.25">
      <c r="A23" s="154" t="s">
        <v>316</v>
      </c>
      <c r="B23" s="57"/>
      <c r="C23" s="57"/>
      <c r="D23" s="57"/>
      <c r="E23" s="57"/>
      <c r="F23" s="57"/>
      <c r="G23" s="39">
        <v>152837.4</v>
      </c>
      <c r="H23" s="237">
        <f t="shared" si="0"/>
        <v>152837.4</v>
      </c>
      <c r="I23" s="149" t="s">
        <v>36</v>
      </c>
      <c r="J23" s="149" t="s">
        <v>82</v>
      </c>
      <c r="K23" s="14"/>
    </row>
    <row r="24" spans="1:11" ht="22.5" thickBot="1">
      <c r="A24" s="19" t="s">
        <v>2</v>
      </c>
      <c r="B24" s="59">
        <f>SUM(B7:B23)</f>
        <v>2039013.33</v>
      </c>
      <c r="C24" s="59">
        <f aca="true" t="shared" si="1" ref="C24:H24">SUM(C7:C23)</f>
        <v>2039013.33</v>
      </c>
      <c r="D24" s="59">
        <f t="shared" si="1"/>
        <v>2039013.34</v>
      </c>
      <c r="E24" s="59">
        <f t="shared" si="1"/>
        <v>0</v>
      </c>
      <c r="F24" s="59">
        <f t="shared" si="1"/>
        <v>0</v>
      </c>
      <c r="G24" s="59">
        <f t="shared" si="1"/>
        <v>8926898.889999999</v>
      </c>
      <c r="H24" s="59">
        <f t="shared" si="1"/>
        <v>15043938.89</v>
      </c>
      <c r="I24" s="21"/>
      <c r="J24" s="21"/>
      <c r="K24" s="21"/>
    </row>
    <row r="25" spans="1:11" ht="22.5" thickTop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</row>
    <row r="26" spans="1:10" ht="21.75">
      <c r="A26" s="36"/>
      <c r="C26" s="29"/>
      <c r="F26" s="29"/>
      <c r="G26" s="29"/>
      <c r="J26" s="55"/>
    </row>
    <row r="27" spans="1:10" ht="21.75">
      <c r="A27" s="36"/>
      <c r="G27" s="29"/>
      <c r="J27" s="55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 horizontalCentered="1" verticalCentered="1"/>
  <pageMargins left="0.433070866" right="0.25" top="0.246062992" bottom="0" header="0.537401575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zoomScalePageLayoutView="0" workbookViewId="0" topLeftCell="A1">
      <pane xSplit="1" ySplit="5" topLeftCell="B68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B76" sqref="B76:H76"/>
    </sheetView>
  </sheetViews>
  <sheetFormatPr defaultColWidth="9.140625" defaultRowHeight="21.75"/>
  <cols>
    <col min="1" max="1" width="42.57421875" style="98" customWidth="1"/>
    <col min="2" max="2" width="16.00390625" style="97" customWidth="1"/>
    <col min="3" max="3" width="16.7109375" style="97" customWidth="1"/>
    <col min="4" max="4" width="15.28125" style="97" customWidth="1"/>
    <col min="5" max="5" width="15.8515625" style="97" customWidth="1"/>
    <col min="6" max="6" width="15.140625" style="97" customWidth="1"/>
    <col min="7" max="7" width="16.8515625" style="97" customWidth="1"/>
    <col min="8" max="8" width="17.00390625" style="97" customWidth="1"/>
    <col min="9" max="9" width="30.28125" style="97" customWidth="1"/>
    <col min="10" max="10" width="19.57421875" style="97" customWidth="1"/>
    <col min="11" max="11" width="18.00390625" style="97" customWidth="1"/>
    <col min="12" max="16384" width="9.140625" style="97" customWidth="1"/>
  </cols>
  <sheetData>
    <row r="1" spans="1:9" ht="21">
      <c r="A1" s="748" t="s">
        <v>63</v>
      </c>
      <c r="B1" s="748"/>
      <c r="C1" s="748"/>
      <c r="D1" s="748"/>
      <c r="E1" s="748"/>
      <c r="F1" s="748"/>
      <c r="G1" s="748"/>
      <c r="H1" s="748"/>
      <c r="I1" s="748"/>
    </row>
    <row r="2" spans="1:9" ht="26.25" customHeight="1">
      <c r="A2" s="749" t="s">
        <v>242</v>
      </c>
      <c r="B2" s="749"/>
      <c r="C2" s="749"/>
      <c r="D2" s="749"/>
      <c r="E2" s="749"/>
      <c r="F2" s="749"/>
      <c r="G2" s="749"/>
      <c r="H2" s="749"/>
      <c r="I2" s="749"/>
    </row>
    <row r="3" spans="1:9" ht="26.25" customHeight="1">
      <c r="A3" s="429"/>
      <c r="B3" s="430"/>
      <c r="C3" s="430"/>
      <c r="D3" s="430"/>
      <c r="E3" s="430"/>
      <c r="F3" s="430"/>
      <c r="G3" s="431"/>
      <c r="H3" s="432"/>
      <c r="I3" s="433"/>
    </row>
    <row r="4" spans="1:9" ht="23.25" customHeight="1">
      <c r="A4" s="750" t="s">
        <v>64</v>
      </c>
      <c r="B4" s="752" t="s">
        <v>65</v>
      </c>
      <c r="C4" s="753"/>
      <c r="D4" s="753"/>
      <c r="E4" s="753"/>
      <c r="F4" s="753"/>
      <c r="G4" s="754"/>
      <c r="H4" s="755" t="s">
        <v>234</v>
      </c>
      <c r="I4" s="740" t="s">
        <v>66</v>
      </c>
    </row>
    <row r="5" spans="1:9" ht="21">
      <c r="A5" s="751"/>
      <c r="B5" s="434" t="s">
        <v>67</v>
      </c>
      <c r="C5" s="434" t="s">
        <v>68</v>
      </c>
      <c r="D5" s="435" t="s">
        <v>69</v>
      </c>
      <c r="E5" s="436" t="s">
        <v>70</v>
      </c>
      <c r="F5" s="437" t="s">
        <v>71</v>
      </c>
      <c r="G5" s="437" t="s">
        <v>72</v>
      </c>
      <c r="H5" s="741"/>
      <c r="I5" s="741"/>
    </row>
    <row r="6" spans="1:9" ht="21.75">
      <c r="A6" s="570" t="s">
        <v>61</v>
      </c>
      <c r="B6" s="564"/>
      <c r="C6" s="564"/>
      <c r="D6" s="565"/>
      <c r="E6" s="566"/>
      <c r="F6" s="567"/>
      <c r="G6" s="567"/>
      <c r="H6" s="568"/>
      <c r="I6" s="568"/>
    </row>
    <row r="7" spans="1:9" ht="21.75">
      <c r="A7" s="569" t="s">
        <v>171</v>
      </c>
      <c r="B7" s="571"/>
      <c r="C7" s="571"/>
      <c r="D7" s="572"/>
      <c r="E7" s="573"/>
      <c r="F7" s="574"/>
      <c r="G7" s="575">
        <v>70378000</v>
      </c>
      <c r="H7" s="577">
        <f>SUM(B7:G7)</f>
        <v>70378000</v>
      </c>
      <c r="I7" s="576" t="s">
        <v>79</v>
      </c>
    </row>
    <row r="8" spans="1:9" ht="41.25" customHeight="1">
      <c r="A8" s="170" t="s">
        <v>569</v>
      </c>
      <c r="B8" s="207"/>
      <c r="C8" s="205"/>
      <c r="D8" s="205"/>
      <c r="E8" s="205"/>
      <c r="F8" s="205"/>
      <c r="G8" s="211" t="s">
        <v>32</v>
      </c>
      <c r="H8" s="206"/>
      <c r="I8" s="208"/>
    </row>
    <row r="9" spans="1:9" ht="28.5" customHeight="1">
      <c r="A9" s="744" t="s">
        <v>175</v>
      </c>
      <c r="B9" s="214">
        <v>3901004.45</v>
      </c>
      <c r="C9" s="302">
        <v>155264881.23</v>
      </c>
      <c r="D9" s="205"/>
      <c r="E9" s="205"/>
      <c r="F9" s="205"/>
      <c r="G9" s="205"/>
      <c r="H9" s="206">
        <f>SUM(B9:G9)</f>
        <v>159165885.67999998</v>
      </c>
      <c r="I9" s="373" t="s">
        <v>116</v>
      </c>
    </row>
    <row r="10" spans="1:11" ht="22.5" customHeight="1">
      <c r="A10" s="745"/>
      <c r="B10" s="214">
        <v>4964020.45</v>
      </c>
      <c r="C10" s="302">
        <v>86879714.73</v>
      </c>
      <c r="D10" s="312"/>
      <c r="E10" s="211"/>
      <c r="F10" s="205"/>
      <c r="G10" s="211"/>
      <c r="H10" s="206">
        <f>SUM(B10:G10)</f>
        <v>91843735.18</v>
      </c>
      <c r="I10" s="446" t="s">
        <v>233</v>
      </c>
      <c r="J10" s="99">
        <f>H10+H9</f>
        <v>251009620.85999998</v>
      </c>
      <c r="K10" s="99"/>
    </row>
    <row r="11" spans="1:9" ht="21.75">
      <c r="A11" s="169" t="s">
        <v>47</v>
      </c>
      <c r="B11" s="370"/>
      <c r="C11" s="211"/>
      <c r="D11" s="370"/>
      <c r="E11" s="370"/>
      <c r="F11" s="205"/>
      <c r="G11" s="370"/>
      <c r="H11" s="205"/>
      <c r="I11" s="208"/>
    </row>
    <row r="12" spans="1:11" ht="21.75">
      <c r="A12" s="742" t="s">
        <v>92</v>
      </c>
      <c r="B12" s="205">
        <v>1220000</v>
      </c>
      <c r="C12" s="371"/>
      <c r="D12" s="371"/>
      <c r="E12" s="371"/>
      <c r="F12" s="371"/>
      <c r="G12" s="451"/>
      <c r="H12" s="206">
        <f>SUM(B12:G12)</f>
        <v>1220000</v>
      </c>
      <c r="I12" s="210" t="s">
        <v>117</v>
      </c>
      <c r="K12" s="99"/>
    </row>
    <row r="13" spans="1:11" ht="21.75">
      <c r="A13" s="743"/>
      <c r="B13" s="371"/>
      <c r="C13" s="371"/>
      <c r="D13" s="371"/>
      <c r="E13" s="371"/>
      <c r="F13" s="371"/>
      <c r="G13" s="452">
        <v>2643721</v>
      </c>
      <c r="H13" s="206">
        <f>SUM(B13:G13)</f>
        <v>2643721</v>
      </c>
      <c r="I13" s="212" t="s">
        <v>79</v>
      </c>
      <c r="J13" s="100"/>
      <c r="K13" s="99"/>
    </row>
    <row r="14" spans="1:11" ht="46.5">
      <c r="A14" s="661" t="s">
        <v>368</v>
      </c>
      <c r="B14" s="211"/>
      <c r="C14" s="211"/>
      <c r="D14" s="210"/>
      <c r="E14" s="210"/>
      <c r="F14" s="662"/>
      <c r="G14" s="211"/>
      <c r="H14" s="300"/>
      <c r="I14" s="208"/>
      <c r="J14" s="142"/>
      <c r="K14" s="226">
        <v>7226180</v>
      </c>
    </row>
    <row r="15" spans="1:11" ht="21.75">
      <c r="A15" s="249" t="s">
        <v>74</v>
      </c>
      <c r="B15" s="211">
        <v>3781200</v>
      </c>
      <c r="C15" s="211">
        <v>2048000</v>
      </c>
      <c r="D15" s="211">
        <v>20186</v>
      </c>
      <c r="E15" s="211">
        <v>3020186</v>
      </c>
      <c r="F15" s="210"/>
      <c r="G15" s="660">
        <v>211302</v>
      </c>
      <c r="H15" s="300">
        <f aca="true" t="shared" si="0" ref="H15:H24">SUM(B15:G15)</f>
        <v>9080874</v>
      </c>
      <c r="I15" s="210" t="s">
        <v>126</v>
      </c>
      <c r="J15" s="142"/>
      <c r="K15" s="226">
        <v>7711511</v>
      </c>
    </row>
    <row r="16" spans="1:11" ht="21.75">
      <c r="A16" s="298" t="s">
        <v>586</v>
      </c>
      <c r="B16" s="211">
        <v>7430000</v>
      </c>
      <c r="C16" s="211">
        <v>4573000</v>
      </c>
      <c r="D16" s="211">
        <v>2060000</v>
      </c>
      <c r="E16" s="211">
        <v>120000</v>
      </c>
      <c r="F16" s="210"/>
      <c r="G16" s="660">
        <v>6578900</v>
      </c>
      <c r="H16" s="300">
        <f>SUM(B16:G16)</f>
        <v>20761900</v>
      </c>
      <c r="I16" s="210" t="s">
        <v>126</v>
      </c>
      <c r="J16" s="142"/>
      <c r="K16" s="226"/>
    </row>
    <row r="17" spans="1:11" ht="21.75">
      <c r="A17" s="663" t="s">
        <v>73</v>
      </c>
      <c r="B17" s="211">
        <f>2590969.26-183000</f>
        <v>2407969.26</v>
      </c>
      <c r="C17" s="211">
        <v>952017.87</v>
      </c>
      <c r="D17" s="211">
        <v>999479.86</v>
      </c>
      <c r="E17" s="211">
        <v>616800</v>
      </c>
      <c r="F17" s="211">
        <v>623708</v>
      </c>
      <c r="G17" s="211">
        <v>3402240</v>
      </c>
      <c r="H17" s="300">
        <f t="shared" si="0"/>
        <v>9002214.99</v>
      </c>
      <c r="I17" s="210" t="s">
        <v>118</v>
      </c>
      <c r="K17" s="226">
        <v>4467531.61</v>
      </c>
    </row>
    <row r="18" spans="1:11" ht="21.75">
      <c r="A18" s="249" t="s">
        <v>83</v>
      </c>
      <c r="B18" s="211">
        <v>1142761</v>
      </c>
      <c r="C18" s="211">
        <v>605752</v>
      </c>
      <c r="D18" s="211">
        <v>1541000</v>
      </c>
      <c r="E18" s="211">
        <v>374000</v>
      </c>
      <c r="F18" s="211">
        <v>494000</v>
      </c>
      <c r="G18" s="211">
        <v>3186734</v>
      </c>
      <c r="H18" s="300">
        <f t="shared" si="0"/>
        <v>7344247</v>
      </c>
      <c r="I18" s="210" t="s">
        <v>119</v>
      </c>
      <c r="K18" s="226">
        <v>73943331</v>
      </c>
    </row>
    <row r="19" spans="1:11" ht="21.75">
      <c r="A19" s="249" t="s">
        <v>585</v>
      </c>
      <c r="B19" s="211">
        <v>880226</v>
      </c>
      <c r="C19" s="211">
        <v>0</v>
      </c>
      <c r="D19" s="211">
        <v>0</v>
      </c>
      <c r="E19" s="211">
        <v>1000000</v>
      </c>
      <c r="F19" s="211">
        <v>0</v>
      </c>
      <c r="G19" s="211">
        <v>156000</v>
      </c>
      <c r="H19" s="300">
        <f>SUM(B19:G19)</f>
        <v>2036226</v>
      </c>
      <c r="I19" s="210" t="s">
        <v>126</v>
      </c>
      <c r="K19" s="226"/>
    </row>
    <row r="20" spans="1:11" ht="21.75">
      <c r="A20" s="215" t="s">
        <v>111</v>
      </c>
      <c r="B20" s="211">
        <v>240000</v>
      </c>
      <c r="C20" s="211">
        <v>9000</v>
      </c>
      <c r="D20" s="211">
        <v>120000</v>
      </c>
      <c r="E20" s="211">
        <v>0</v>
      </c>
      <c r="F20" s="211">
        <v>0</v>
      </c>
      <c r="G20" s="211">
        <v>706000</v>
      </c>
      <c r="H20" s="300">
        <f t="shared" si="0"/>
        <v>1075000</v>
      </c>
      <c r="I20" s="210" t="s">
        <v>126</v>
      </c>
      <c r="K20" s="226"/>
    </row>
    <row r="21" spans="1:11" ht="21.75">
      <c r="A21" s="742" t="s">
        <v>92</v>
      </c>
      <c r="B21" s="211">
        <v>25621170.33</v>
      </c>
      <c r="C21" s="211">
        <v>5905128.5</v>
      </c>
      <c r="D21" s="211">
        <v>21148650.95</v>
      </c>
      <c r="E21" s="211">
        <v>8419541.5</v>
      </c>
      <c r="F21" s="211">
        <v>8306508.92</v>
      </c>
      <c r="G21" s="211">
        <v>50635114.41</v>
      </c>
      <c r="H21" s="300">
        <f>SUM(B21:G21)</f>
        <v>120036114.61</v>
      </c>
      <c r="I21" s="210" t="s">
        <v>126</v>
      </c>
      <c r="J21" s="251"/>
      <c r="K21" s="226">
        <v>12000</v>
      </c>
    </row>
    <row r="22" spans="1:11" ht="21.75">
      <c r="A22" s="743"/>
      <c r="B22" s="211"/>
      <c r="C22" s="211"/>
      <c r="D22" s="211"/>
      <c r="E22" s="211"/>
      <c r="F22" s="211"/>
      <c r="G22" s="211">
        <v>4077222.08</v>
      </c>
      <c r="H22" s="300">
        <f t="shared" si="0"/>
        <v>4077222.08</v>
      </c>
      <c r="I22" s="212" t="s">
        <v>79</v>
      </c>
      <c r="J22" s="480"/>
      <c r="K22" s="99">
        <f>93360553.61</f>
        <v>93360553.61</v>
      </c>
    </row>
    <row r="23" spans="1:11" ht="21" customHeight="1">
      <c r="A23" s="691" t="s">
        <v>215</v>
      </c>
      <c r="B23" s="671"/>
      <c r="C23" s="671"/>
      <c r="D23" s="671"/>
      <c r="E23" s="671"/>
      <c r="F23" s="671"/>
      <c r="G23" s="671"/>
      <c r="H23" s="454"/>
      <c r="I23" s="208"/>
      <c r="J23" s="99"/>
      <c r="K23" s="99">
        <f>J22-K22</f>
        <v>-93360553.61</v>
      </c>
    </row>
    <row r="24" spans="1:11" ht="21" customHeight="1">
      <c r="A24" s="455" t="s">
        <v>92</v>
      </c>
      <c r="B24" s="208"/>
      <c r="C24" s="205"/>
      <c r="D24" s="205"/>
      <c r="E24" s="205"/>
      <c r="F24" s="205"/>
      <c r="G24" s="447">
        <v>12700221.803999998</v>
      </c>
      <c r="H24" s="206">
        <f t="shared" si="0"/>
        <v>12700221.803999998</v>
      </c>
      <c r="I24" s="372" t="s">
        <v>172</v>
      </c>
      <c r="J24" s="99"/>
      <c r="K24" s="99"/>
    </row>
    <row r="25" spans="1:9" ht="20.25" customHeight="1">
      <c r="A25" s="213" t="s">
        <v>48</v>
      </c>
      <c r="B25" s="205"/>
      <c r="C25" s="205"/>
      <c r="D25" s="205"/>
      <c r="E25" s="205"/>
      <c r="F25" s="205"/>
      <c r="G25" s="205"/>
      <c r="H25" s="205"/>
      <c r="I25" s="208"/>
    </row>
    <row r="26" spans="1:11" ht="21.75">
      <c r="A26" s="455" t="s">
        <v>92</v>
      </c>
      <c r="B26" s="208"/>
      <c r="C26" s="205"/>
      <c r="D26" s="208"/>
      <c r="E26" s="208"/>
      <c r="F26" s="456"/>
      <c r="G26" s="448">
        <v>44830112.74999999</v>
      </c>
      <c r="H26" s="205">
        <f>SUM(B26:G26)</f>
        <v>44830112.74999999</v>
      </c>
      <c r="I26" s="372" t="s">
        <v>172</v>
      </c>
      <c r="K26" s="260"/>
    </row>
    <row r="27" spans="1:9" ht="21" customHeight="1">
      <c r="A27" s="213" t="s">
        <v>51</v>
      </c>
      <c r="B27" s="208"/>
      <c r="C27" s="208"/>
      <c r="D27" s="208"/>
      <c r="E27" s="208"/>
      <c r="F27" s="208"/>
      <c r="G27" s="448"/>
      <c r="H27" s="206"/>
      <c r="I27" s="208"/>
    </row>
    <row r="28" spans="1:9" ht="21" customHeight="1">
      <c r="A28" s="215" t="s">
        <v>99</v>
      </c>
      <c r="B28" s="205">
        <v>2360000</v>
      </c>
      <c r="C28" s="205">
        <v>3385967</v>
      </c>
      <c r="D28" s="205">
        <v>7933273</v>
      </c>
      <c r="E28" s="205">
        <v>6320760</v>
      </c>
      <c r="F28" s="205"/>
      <c r="G28" s="375"/>
      <c r="H28" s="206">
        <f>SUM(B28:G28)</f>
        <v>20000000</v>
      </c>
      <c r="I28" s="210" t="s">
        <v>173</v>
      </c>
    </row>
    <row r="29" spans="1:11" ht="21.75">
      <c r="A29" s="455" t="s">
        <v>92</v>
      </c>
      <c r="B29" s="205"/>
      <c r="C29" s="205"/>
      <c r="D29" s="205"/>
      <c r="E29" s="205"/>
      <c r="F29" s="205"/>
      <c r="G29" s="449">
        <v>3053461.6</v>
      </c>
      <c r="H29" s="206">
        <f>SUM(B29:G29)</f>
        <v>3053461.6</v>
      </c>
      <c r="I29" s="372" t="s">
        <v>172</v>
      </c>
      <c r="K29" s="99"/>
    </row>
    <row r="30" spans="1:9" ht="21.75">
      <c r="A30" s="213" t="s">
        <v>75</v>
      </c>
      <c r="B30" s="208"/>
      <c r="C30" s="208"/>
      <c r="D30" s="208"/>
      <c r="E30" s="208"/>
      <c r="F30" s="208"/>
      <c r="G30" s="208"/>
      <c r="H30" s="206"/>
      <c r="I30" s="208"/>
    </row>
    <row r="31" spans="1:9" ht="21.75">
      <c r="A31" s="400" t="s">
        <v>97</v>
      </c>
      <c r="B31" s="205"/>
      <c r="C31" s="205">
        <v>700678</v>
      </c>
      <c r="D31" s="208"/>
      <c r="E31" s="205"/>
      <c r="F31" s="208"/>
      <c r="G31" s="205"/>
      <c r="H31" s="206">
        <f>SUM(B31:G31)</f>
        <v>700678</v>
      </c>
      <c r="I31" s="210" t="s">
        <v>177</v>
      </c>
    </row>
    <row r="32" spans="1:9" ht="21.75">
      <c r="A32" s="252" t="s">
        <v>595</v>
      </c>
      <c r="B32" s="205"/>
      <c r="C32" s="205"/>
      <c r="D32" s="208"/>
      <c r="E32" s="205"/>
      <c r="F32" s="208"/>
      <c r="G32" s="205">
        <v>80600</v>
      </c>
      <c r="H32" s="206">
        <f>SUM(B32:G32)</f>
        <v>80600</v>
      </c>
      <c r="I32" s="210" t="s">
        <v>177</v>
      </c>
    </row>
    <row r="33" spans="1:11" ht="21" customHeight="1">
      <c r="A33" s="455" t="s">
        <v>127</v>
      </c>
      <c r="B33" s="208"/>
      <c r="C33" s="205"/>
      <c r="D33" s="205"/>
      <c r="E33" s="205"/>
      <c r="F33" s="205"/>
      <c r="G33" s="211">
        <v>21487729.6854</v>
      </c>
      <c r="H33" s="205">
        <f>SUM(B33:G33)</f>
        <v>21487729.6854</v>
      </c>
      <c r="I33" s="372" t="s">
        <v>172</v>
      </c>
      <c r="K33" s="99"/>
    </row>
    <row r="34" spans="1:9" ht="21" customHeight="1">
      <c r="A34" s="213" t="s">
        <v>52</v>
      </c>
      <c r="B34" s="205"/>
      <c r="C34" s="205"/>
      <c r="D34" s="205"/>
      <c r="E34" s="205"/>
      <c r="F34" s="205"/>
      <c r="G34" s="211"/>
      <c r="H34" s="205"/>
      <c r="I34" s="210"/>
    </row>
    <row r="35" spans="1:11" ht="20.25" customHeight="1">
      <c r="A35" s="450" t="s">
        <v>76</v>
      </c>
      <c r="B35" s="205">
        <v>1442313.25</v>
      </c>
      <c r="C35" s="205">
        <v>620665.25</v>
      </c>
      <c r="D35" s="205">
        <v>134456.25</v>
      </c>
      <c r="E35" s="205">
        <v>4456.25</v>
      </c>
      <c r="F35" s="205"/>
      <c r="G35" s="211"/>
      <c r="H35" s="205">
        <f>SUM(B35:G35)</f>
        <v>2201891</v>
      </c>
      <c r="I35" s="210" t="s">
        <v>115</v>
      </c>
      <c r="K35" s="100"/>
    </row>
    <row r="36" spans="1:9" ht="21" customHeight="1">
      <c r="A36" s="213" t="s">
        <v>53</v>
      </c>
      <c r="B36" s="205"/>
      <c r="C36" s="205"/>
      <c r="D36" s="205"/>
      <c r="E36" s="205"/>
      <c r="F36" s="208"/>
      <c r="G36" s="211"/>
      <c r="H36" s="206"/>
      <c r="I36" s="210"/>
    </row>
    <row r="37" spans="1:11" ht="21" customHeight="1">
      <c r="A37" s="455" t="s">
        <v>127</v>
      </c>
      <c r="B37" s="205"/>
      <c r="C37" s="205"/>
      <c r="D37" s="205"/>
      <c r="E37" s="208"/>
      <c r="F37" s="208"/>
      <c r="G37" s="457">
        <v>81870890.6</v>
      </c>
      <c r="H37" s="206">
        <f>SUM(B37:G37)</f>
        <v>81870890.6</v>
      </c>
      <c r="I37" s="372" t="s">
        <v>172</v>
      </c>
      <c r="K37" s="99"/>
    </row>
    <row r="38" spans="1:9" ht="21" customHeight="1">
      <c r="A38" s="458" t="s">
        <v>57</v>
      </c>
      <c r="B38" s="265"/>
      <c r="C38" s="265"/>
      <c r="D38" s="581"/>
      <c r="E38" s="582"/>
      <c r="F38" s="582"/>
      <c r="G38" s="582"/>
      <c r="H38" s="460"/>
      <c r="I38" s="461"/>
    </row>
    <row r="39" spans="1:9" ht="19.5" customHeight="1">
      <c r="A39" s="209" t="s">
        <v>83</v>
      </c>
      <c r="B39" s="583">
        <v>1593900</v>
      </c>
      <c r="C39" s="583">
        <v>0</v>
      </c>
      <c r="D39" s="583">
        <v>420000</v>
      </c>
      <c r="E39" s="583">
        <v>0</v>
      </c>
      <c r="F39" s="583"/>
      <c r="G39" s="583">
        <v>180000</v>
      </c>
      <c r="H39" s="300">
        <f>SUM(B39:G39)</f>
        <v>2193900</v>
      </c>
      <c r="I39" s="210" t="s">
        <v>114</v>
      </c>
    </row>
    <row r="40" spans="1:11" ht="21" customHeight="1">
      <c r="A40" s="462" t="s">
        <v>151</v>
      </c>
      <c r="B40" s="204"/>
      <c r="C40" s="204"/>
      <c r="D40" s="459"/>
      <c r="E40" s="192"/>
      <c r="F40" s="192"/>
      <c r="G40" s="192">
        <v>101353650.27759999</v>
      </c>
      <c r="H40" s="206">
        <f>SUM(B40:G40)</f>
        <v>101353650.27759999</v>
      </c>
      <c r="I40" s="212" t="s">
        <v>79</v>
      </c>
      <c r="K40" s="99">
        <f>25163886/24</f>
        <v>1048495.25</v>
      </c>
    </row>
    <row r="41" spans="1:9" ht="21" customHeight="1">
      <c r="A41" s="463" t="s">
        <v>55</v>
      </c>
      <c r="B41" s="205"/>
      <c r="C41" s="205"/>
      <c r="D41" s="459"/>
      <c r="E41" s="192"/>
      <c r="F41" s="192"/>
      <c r="G41" s="476"/>
      <c r="H41" s="206"/>
      <c r="I41" s="210"/>
    </row>
    <row r="42" spans="1:9" ht="21" customHeight="1">
      <c r="A42" s="215" t="s">
        <v>111</v>
      </c>
      <c r="B42" s="205">
        <v>303868</v>
      </c>
      <c r="C42" s="205">
        <v>2725925</v>
      </c>
      <c r="D42" s="459">
        <v>185278.82</v>
      </c>
      <c r="E42" s="192"/>
      <c r="F42" s="192"/>
      <c r="G42" s="464"/>
      <c r="H42" s="206">
        <f>SUM(B42:G42)</f>
        <v>3215071.82</v>
      </c>
      <c r="I42" s="210" t="s">
        <v>114</v>
      </c>
    </row>
    <row r="43" spans="1:11" ht="21" customHeight="1">
      <c r="A43" s="462" t="s">
        <v>151</v>
      </c>
      <c r="B43" s="205"/>
      <c r="C43" s="205"/>
      <c r="D43" s="459"/>
      <c r="E43" s="192"/>
      <c r="F43" s="192"/>
      <c r="G43" s="465">
        <v>24350094.16</v>
      </c>
      <c r="H43" s="206">
        <f>SUM(B43:G43)</f>
        <v>24350094.16</v>
      </c>
      <c r="I43" s="466" t="s">
        <v>79</v>
      </c>
      <c r="K43" s="99"/>
    </row>
    <row r="44" spans="1:11" ht="21" customHeight="1">
      <c r="A44" s="657" t="s">
        <v>49</v>
      </c>
      <c r="B44" s="205"/>
      <c r="C44" s="205"/>
      <c r="D44" s="459"/>
      <c r="E44" s="192"/>
      <c r="F44" s="192"/>
      <c r="G44" s="467"/>
      <c r="H44" s="206"/>
      <c r="I44" s="466"/>
      <c r="K44" s="99"/>
    </row>
    <row r="45" spans="1:11" ht="21" customHeight="1">
      <c r="A45" s="215" t="s">
        <v>222</v>
      </c>
      <c r="B45" s="205"/>
      <c r="C45" s="205"/>
      <c r="D45" s="459"/>
      <c r="E45" s="192"/>
      <c r="F45" s="192"/>
      <c r="G45" s="467">
        <f>1586138.87+2128123.04+19658.8+328352.11+3369390</f>
        <v>7431662.82</v>
      </c>
      <c r="H45" s="206">
        <f>SUM(B45:G45)</f>
        <v>7431662.82</v>
      </c>
      <c r="I45" s="466" t="s">
        <v>79</v>
      </c>
      <c r="K45" s="99"/>
    </row>
    <row r="46" spans="1:11" ht="21" customHeight="1">
      <c r="A46" s="744" t="s">
        <v>151</v>
      </c>
      <c r="B46" s="205">
        <v>2039013.33</v>
      </c>
      <c r="C46" s="205">
        <v>2039013.33</v>
      </c>
      <c r="D46" s="459">
        <v>2039013.34</v>
      </c>
      <c r="E46" s="192"/>
      <c r="F46" s="192"/>
      <c r="G46" s="467"/>
      <c r="H46" s="206">
        <f>SUM(B46:G46)</f>
        <v>6117040</v>
      </c>
      <c r="I46" s="210" t="s">
        <v>573</v>
      </c>
      <c r="K46" s="99"/>
    </row>
    <row r="47" spans="1:11" ht="21" customHeight="1">
      <c r="A47" s="745"/>
      <c r="B47" s="205"/>
      <c r="C47" s="205"/>
      <c r="D47" s="459"/>
      <c r="E47" s="192"/>
      <c r="F47" s="192"/>
      <c r="G47" s="467">
        <f>32169.07+630000+439943+46792.35+162700+30794.25+152837.4</f>
        <v>1495236.0699999998</v>
      </c>
      <c r="H47" s="206">
        <f>SUM(B47:G47)</f>
        <v>1495236.0699999998</v>
      </c>
      <c r="I47" s="466" t="s">
        <v>79</v>
      </c>
      <c r="K47" s="99"/>
    </row>
    <row r="48" spans="1:11" ht="46.5">
      <c r="A48" s="699" t="s">
        <v>298</v>
      </c>
      <c r="B48" s="205"/>
      <c r="C48" s="205"/>
      <c r="D48" s="459"/>
      <c r="E48" s="192"/>
      <c r="F48" s="192"/>
      <c r="G48" s="467"/>
      <c r="H48" s="206"/>
      <c r="I48" s="466"/>
      <c r="K48" s="99"/>
    </row>
    <row r="49" spans="1:11" ht="21" customHeight="1">
      <c r="A49" s="462" t="s">
        <v>151</v>
      </c>
      <c r="B49" s="205"/>
      <c r="C49" s="205"/>
      <c r="D49" s="459"/>
      <c r="E49" s="192"/>
      <c r="F49" s="192"/>
      <c r="G49" s="467">
        <v>8627800</v>
      </c>
      <c r="H49" s="206">
        <f>SUM(B49:G49)</f>
        <v>8627800</v>
      </c>
      <c r="I49" s="466" t="s">
        <v>79</v>
      </c>
      <c r="K49" s="99"/>
    </row>
    <row r="50" spans="1:9" ht="21" customHeight="1">
      <c r="A50" s="469" t="s">
        <v>46</v>
      </c>
      <c r="B50" s="205"/>
      <c r="C50" s="205"/>
      <c r="D50" s="214"/>
      <c r="E50" s="192"/>
      <c r="F50" s="192"/>
      <c r="G50" s="467"/>
      <c r="H50" s="206"/>
      <c r="I50" s="470"/>
    </row>
    <row r="51" spans="1:11" ht="21.75">
      <c r="A51" s="462" t="s">
        <v>175</v>
      </c>
      <c r="B51" s="205"/>
      <c r="C51" s="205">
        <v>378037808.09</v>
      </c>
      <c r="D51" s="214"/>
      <c r="E51" s="204"/>
      <c r="F51" s="204"/>
      <c r="G51" s="467"/>
      <c r="H51" s="206">
        <f>SUM(B51:G51)</f>
        <v>378037808.09</v>
      </c>
      <c r="I51" s="471" t="s">
        <v>157</v>
      </c>
      <c r="K51" s="99"/>
    </row>
    <row r="52" spans="1:11" ht="21.75">
      <c r="A52" s="462" t="s">
        <v>151</v>
      </c>
      <c r="B52" s="205"/>
      <c r="C52" s="207"/>
      <c r="D52" s="214"/>
      <c r="E52" s="204"/>
      <c r="F52" s="204"/>
      <c r="G52" s="467">
        <v>5371172.01</v>
      </c>
      <c r="H52" s="206">
        <f>SUM(B52:G52)</f>
        <v>5371172.01</v>
      </c>
      <c r="I52" s="466" t="s">
        <v>79</v>
      </c>
      <c r="K52" s="99"/>
    </row>
    <row r="53" spans="1:11" ht="23.25">
      <c r="A53" s="469" t="s">
        <v>54</v>
      </c>
      <c r="B53" s="205"/>
      <c r="C53" s="207"/>
      <c r="D53" s="214"/>
      <c r="E53" s="205"/>
      <c r="F53" s="205"/>
      <c r="G53" s="467"/>
      <c r="H53" s="206"/>
      <c r="I53" s="471"/>
      <c r="K53" s="99"/>
    </row>
    <row r="54" spans="1:11" ht="21.75">
      <c r="A54" s="472" t="s">
        <v>78</v>
      </c>
      <c r="B54" s="205"/>
      <c r="C54" s="205"/>
      <c r="D54" s="459"/>
      <c r="E54" s="192"/>
      <c r="F54" s="192"/>
      <c r="G54" s="467">
        <v>938762.1599999999</v>
      </c>
      <c r="H54" s="206">
        <f>SUM(B54:G54)</f>
        <v>938762.1599999999</v>
      </c>
      <c r="I54" s="466" t="s">
        <v>79</v>
      </c>
      <c r="K54" s="99"/>
    </row>
    <row r="55" spans="1:11" ht="23.25">
      <c r="A55" s="469" t="s">
        <v>59</v>
      </c>
      <c r="B55" s="205"/>
      <c r="C55" s="205"/>
      <c r="D55" s="473"/>
      <c r="E55" s="474"/>
      <c r="F55" s="474"/>
      <c r="G55" s="467"/>
      <c r="H55" s="206"/>
      <c r="I55" s="466"/>
      <c r="K55" s="99"/>
    </row>
    <row r="56" spans="1:11" ht="21.75">
      <c r="A56" s="249" t="s">
        <v>570</v>
      </c>
      <c r="B56" s="205">
        <v>33694</v>
      </c>
      <c r="C56" s="205"/>
      <c r="D56" s="473"/>
      <c r="E56" s="474">
        <v>33694</v>
      </c>
      <c r="F56" s="474"/>
      <c r="G56" s="474">
        <v>101082</v>
      </c>
      <c r="H56" s="206">
        <f>SUM(B56:G56)</f>
        <v>168470</v>
      </c>
      <c r="I56" s="177" t="s">
        <v>273</v>
      </c>
      <c r="K56" s="99"/>
    </row>
    <row r="57" spans="1:11" ht="21.75">
      <c r="A57" s="462" t="s">
        <v>78</v>
      </c>
      <c r="B57" s="205"/>
      <c r="C57" s="205"/>
      <c r="D57" s="473"/>
      <c r="E57" s="474"/>
      <c r="F57" s="474"/>
      <c r="G57" s="467">
        <v>598406.63</v>
      </c>
      <c r="H57" s="206">
        <f>SUM(B57:G57)</f>
        <v>598406.63</v>
      </c>
      <c r="I57" s="466" t="s">
        <v>79</v>
      </c>
      <c r="K57" s="99"/>
    </row>
    <row r="58" spans="1:11" ht="23.25">
      <c r="A58" s="469" t="s">
        <v>58</v>
      </c>
      <c r="B58" s="205"/>
      <c r="C58" s="205"/>
      <c r="D58" s="214"/>
      <c r="E58" s="205"/>
      <c r="F58" s="205"/>
      <c r="G58" s="467"/>
      <c r="H58" s="206"/>
      <c r="I58" s="212"/>
      <c r="K58" s="99"/>
    </row>
    <row r="59" spans="1:11" ht="21.75">
      <c r="A59" s="249" t="s">
        <v>631</v>
      </c>
      <c r="B59" s="205">
        <v>161949.09</v>
      </c>
      <c r="C59" s="205">
        <v>161949.09</v>
      </c>
      <c r="D59" s="214">
        <v>161949.09</v>
      </c>
      <c r="E59" s="205">
        <v>0</v>
      </c>
      <c r="F59" s="214">
        <v>161949.09</v>
      </c>
      <c r="G59" s="467">
        <f>F59*12</f>
        <v>1943389.08</v>
      </c>
      <c r="H59" s="206">
        <f>SUM(B59:G59)</f>
        <v>2591185.44</v>
      </c>
      <c r="I59" s="210" t="s">
        <v>150</v>
      </c>
      <c r="K59" s="99"/>
    </row>
    <row r="60" spans="1:11" ht="21.75">
      <c r="A60" s="472" t="s">
        <v>78</v>
      </c>
      <c r="B60" s="205"/>
      <c r="C60" s="205"/>
      <c r="D60" s="214"/>
      <c r="E60" s="205"/>
      <c r="F60" s="205"/>
      <c r="G60" s="467">
        <v>8753274.33</v>
      </c>
      <c r="H60" s="206">
        <f>SUM(B60:G60)</f>
        <v>8753274.33</v>
      </c>
      <c r="I60" s="212" t="s">
        <v>79</v>
      </c>
      <c r="K60" s="99"/>
    </row>
    <row r="61" spans="1:9" ht="21.75">
      <c r="A61" s="216" t="s">
        <v>56</v>
      </c>
      <c r="B61" s="205"/>
      <c r="C61" s="207"/>
      <c r="D61" s="208"/>
      <c r="E61" s="205"/>
      <c r="F61" s="204"/>
      <c r="G61" s="375"/>
      <c r="H61" s="206"/>
      <c r="I61" s="372"/>
    </row>
    <row r="62" spans="1:9" ht="21.75">
      <c r="A62" s="249" t="s">
        <v>74</v>
      </c>
      <c r="B62" s="205"/>
      <c r="C62" s="207">
        <v>1520000</v>
      </c>
      <c r="D62" s="205">
        <v>114000</v>
      </c>
      <c r="E62" s="205"/>
      <c r="F62" s="204"/>
      <c r="G62" s="205"/>
      <c r="H62" s="206">
        <f aca="true" t="shared" si="1" ref="H62:H72">SUM(B62:G62)</f>
        <v>1634000</v>
      </c>
      <c r="I62" s="372" t="s">
        <v>157</v>
      </c>
    </row>
    <row r="63" spans="1:9" ht="21.75">
      <c r="A63" s="298" t="s">
        <v>586</v>
      </c>
      <c r="B63" s="205"/>
      <c r="C63" s="207"/>
      <c r="D63" s="603">
        <v>350000</v>
      </c>
      <c r="E63" s="603"/>
      <c r="F63" s="603"/>
      <c r="G63" s="603"/>
      <c r="H63" s="659">
        <f t="shared" si="1"/>
        <v>350000</v>
      </c>
      <c r="I63" s="372" t="s">
        <v>179</v>
      </c>
    </row>
    <row r="64" spans="1:9" ht="21.75">
      <c r="A64" s="453" t="s">
        <v>73</v>
      </c>
      <c r="B64" s="205"/>
      <c r="C64" s="447">
        <v>314092.82</v>
      </c>
      <c r="D64" s="264"/>
      <c r="E64" s="265">
        <v>299997</v>
      </c>
      <c r="F64" s="204">
        <v>130000</v>
      </c>
      <c r="G64" s="205">
        <v>428530</v>
      </c>
      <c r="H64" s="659">
        <f t="shared" si="1"/>
        <v>1172619.82</v>
      </c>
      <c r="I64" s="374" t="s">
        <v>582</v>
      </c>
    </row>
    <row r="65" spans="1:9" ht="21.75">
      <c r="A65" s="215" t="s">
        <v>111</v>
      </c>
      <c r="B65" s="205"/>
      <c r="C65" s="299">
        <v>691005.15</v>
      </c>
      <c r="D65" s="205">
        <v>1299999.76</v>
      </c>
      <c r="E65" s="205"/>
      <c r="F65" s="204"/>
      <c r="G65" s="265">
        <v>1569900.95</v>
      </c>
      <c r="H65" s="659">
        <f t="shared" si="1"/>
        <v>3560905.8600000003</v>
      </c>
      <c r="I65" s="374" t="s">
        <v>582</v>
      </c>
    </row>
    <row r="66" spans="1:10" ht="21" customHeight="1">
      <c r="A66" s="249" t="s">
        <v>152</v>
      </c>
      <c r="B66" s="205">
        <v>920319</v>
      </c>
      <c r="C66" s="205">
        <v>530000</v>
      </c>
      <c r="D66" s="205"/>
      <c r="E66" s="205">
        <v>940059</v>
      </c>
      <c r="F66" s="205"/>
      <c r="G66" s="299">
        <f>1150000+300800+300800</f>
        <v>1751600</v>
      </c>
      <c r="H66" s="659">
        <f t="shared" si="1"/>
        <v>4141978</v>
      </c>
      <c r="I66" s="248" t="s">
        <v>587</v>
      </c>
      <c r="J66" s="106"/>
    </row>
    <row r="67" spans="1:10" ht="21" customHeight="1">
      <c r="A67" s="209" t="s">
        <v>83</v>
      </c>
      <c r="B67" s="205">
        <v>2341330</v>
      </c>
      <c r="C67" s="205">
        <v>3810617</v>
      </c>
      <c r="D67" s="205">
        <v>3438011</v>
      </c>
      <c r="E67" s="426">
        <v>341330</v>
      </c>
      <c r="F67" s="205">
        <v>3899752.3</v>
      </c>
      <c r="G67" s="427">
        <v>7614492.2700000005</v>
      </c>
      <c r="H67" s="300">
        <f t="shared" si="1"/>
        <v>21445532.57</v>
      </c>
      <c r="I67" s="374" t="s">
        <v>583</v>
      </c>
      <c r="J67" s="106"/>
    </row>
    <row r="68" spans="1:10" ht="21" customHeight="1">
      <c r="A68" s="298" t="s">
        <v>589</v>
      </c>
      <c r="B68" s="205"/>
      <c r="C68" s="207">
        <v>45000</v>
      </c>
      <c r="D68" s="603"/>
      <c r="E68" s="603"/>
      <c r="F68" s="603"/>
      <c r="G68" s="603"/>
      <c r="H68" s="659">
        <f>SUM(B68:G68)</f>
        <v>45000</v>
      </c>
      <c r="I68" s="372" t="s">
        <v>179</v>
      </c>
      <c r="J68" s="106"/>
    </row>
    <row r="69" spans="1:10" ht="21" customHeight="1">
      <c r="A69" s="746" t="s">
        <v>78</v>
      </c>
      <c r="B69" s="205"/>
      <c r="C69" s="205"/>
      <c r="D69" s="205">
        <v>799992</v>
      </c>
      <c r="E69" s="205"/>
      <c r="F69" s="205"/>
      <c r="G69" s="427"/>
      <c r="H69" s="659">
        <f t="shared" si="1"/>
        <v>799992</v>
      </c>
      <c r="I69" s="248" t="s">
        <v>179</v>
      </c>
      <c r="J69" s="106"/>
    </row>
    <row r="70" spans="1:11" ht="21.75">
      <c r="A70" s="747"/>
      <c r="B70" s="211"/>
      <c r="C70" s="211"/>
      <c r="D70" s="211"/>
      <c r="E70" s="267"/>
      <c r="F70" s="211"/>
      <c r="G70" s="658">
        <v>92602490.06</v>
      </c>
      <c r="H70" s="659">
        <f t="shared" si="1"/>
        <v>92602490.06</v>
      </c>
      <c r="I70" s="470" t="s">
        <v>79</v>
      </c>
      <c r="J70" s="106"/>
      <c r="K70" s="99"/>
    </row>
    <row r="71" spans="1:11" ht="21" customHeight="1">
      <c r="A71" s="213" t="s">
        <v>77</v>
      </c>
      <c r="B71" s="672"/>
      <c r="C71" s="672"/>
      <c r="D71" s="672"/>
      <c r="E71" s="672"/>
      <c r="F71" s="672"/>
      <c r="G71" s="672"/>
      <c r="H71" s="206"/>
      <c r="I71" s="212"/>
      <c r="K71" s="201"/>
    </row>
    <row r="72" spans="1:11" ht="43.5">
      <c r="A72" s="475" t="s">
        <v>590</v>
      </c>
      <c r="B72" s="211">
        <v>131956600</v>
      </c>
      <c r="C72" s="211">
        <v>45095200</v>
      </c>
      <c r="D72" s="211">
        <v>31111700</v>
      </c>
      <c r="E72" s="267">
        <v>10057100</v>
      </c>
      <c r="F72" s="211">
        <v>760800</v>
      </c>
      <c r="G72" s="300">
        <f>321804700-218981400</f>
        <v>102823300</v>
      </c>
      <c r="H72" s="206">
        <f t="shared" si="1"/>
        <v>321804700</v>
      </c>
      <c r="I72" s="374" t="s">
        <v>174</v>
      </c>
      <c r="K72" s="428"/>
    </row>
    <row r="73" spans="1:11" ht="21.75">
      <c r="A73" s="217" t="s">
        <v>78</v>
      </c>
      <c r="B73" s="211"/>
      <c r="C73" s="211"/>
      <c r="D73" s="211"/>
      <c r="E73" s="267"/>
      <c r="F73" s="211"/>
      <c r="G73" s="604">
        <v>42387071.145500004</v>
      </c>
      <c r="H73" s="604">
        <f>SUM(B73:G73)</f>
        <v>42387071.145500004</v>
      </c>
      <c r="I73" s="212" t="s">
        <v>79</v>
      </c>
      <c r="J73" s="137" t="s">
        <v>32</v>
      </c>
      <c r="K73" s="428"/>
    </row>
    <row r="74" spans="1:11" ht="21.75" thickBot="1">
      <c r="A74" s="218" t="s">
        <v>80</v>
      </c>
      <c r="B74" s="250">
        <f>SUM(B7:B73)</f>
        <v>194741338.16</v>
      </c>
      <c r="C74" s="250">
        <f aca="true" t="shared" si="2" ref="C74:H74">SUM(C7:C73)</f>
        <v>695915415.0600001</v>
      </c>
      <c r="D74" s="250">
        <f t="shared" si="2"/>
        <v>73876990.07000001</v>
      </c>
      <c r="E74" s="250">
        <f t="shared" si="2"/>
        <v>31547923.75</v>
      </c>
      <c r="F74" s="250">
        <f t="shared" si="2"/>
        <v>14376718.309999999</v>
      </c>
      <c r="G74" s="250">
        <f t="shared" si="2"/>
        <v>716320163.8924999</v>
      </c>
      <c r="H74" s="250">
        <f t="shared" si="2"/>
        <v>1726778549.2424998</v>
      </c>
      <c r="I74" s="219"/>
      <c r="K74" s="226"/>
    </row>
    <row r="75" spans="1:11" ht="21.75" thickTop="1">
      <c r="A75" s="736"/>
      <c r="B75" s="702"/>
      <c r="C75" s="702"/>
      <c r="D75" s="702"/>
      <c r="E75" s="702"/>
      <c r="F75" s="702"/>
      <c r="G75" s="702"/>
      <c r="H75" s="702"/>
      <c r="I75" s="704"/>
      <c r="K75" s="226"/>
    </row>
    <row r="76" spans="1:11" ht="21">
      <c r="A76" s="736"/>
      <c r="B76" s="702"/>
      <c r="C76" s="702"/>
      <c r="D76" s="702"/>
      <c r="E76" s="702"/>
      <c r="F76" s="702"/>
      <c r="G76" s="702"/>
      <c r="H76" s="702"/>
      <c r="I76" s="704"/>
      <c r="K76" s="226"/>
    </row>
    <row r="77" spans="1:11" ht="21">
      <c r="A77" s="736"/>
      <c r="B77" s="702"/>
      <c r="C77" s="702"/>
      <c r="D77" s="702"/>
      <c r="E77" s="702"/>
      <c r="F77" s="702"/>
      <c r="G77" s="702"/>
      <c r="H77" s="702"/>
      <c r="I77" s="704"/>
      <c r="K77" s="226"/>
    </row>
    <row r="79" spans="2:8" ht="24">
      <c r="B79" s="99"/>
      <c r="G79" s="226"/>
      <c r="H79" s="735" t="s">
        <v>712</v>
      </c>
    </row>
    <row r="80" spans="2:7" ht="24">
      <c r="B80" s="99"/>
      <c r="G80" s="99"/>
    </row>
  </sheetData>
  <sheetProtection/>
  <mergeCells count="11">
    <mergeCell ref="A1:I1"/>
    <mergeCell ref="A2:I2"/>
    <mergeCell ref="A4:A5"/>
    <mergeCell ref="B4:G4"/>
    <mergeCell ref="H4:H5"/>
    <mergeCell ref="I4:I5"/>
    <mergeCell ref="A12:A13"/>
    <mergeCell ref="A9:A10"/>
    <mergeCell ref="A46:A47"/>
    <mergeCell ref="A69:A70"/>
    <mergeCell ref="A21:A22"/>
  </mergeCells>
  <printOptions horizontalCentered="1"/>
  <pageMargins left="0.275590551181102" right="0.196850393700787" top="0.15748031496063" bottom="0" header="0.31496062992126" footer="0.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1"/>
  <sheetViews>
    <sheetView showGridLines="0" zoomScalePageLayoutView="0" workbookViewId="0" topLeftCell="A1">
      <pane xSplit="1" ySplit="5" topLeftCell="D6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L8" sqref="L8"/>
    </sheetView>
  </sheetViews>
  <sheetFormatPr defaultColWidth="9.140625" defaultRowHeight="21.75"/>
  <cols>
    <col min="1" max="1" width="57.140625" style="324" customWidth="1"/>
    <col min="2" max="2" width="14.421875" style="324" customWidth="1"/>
    <col min="3" max="3" width="13.140625" style="324" customWidth="1"/>
    <col min="4" max="4" width="12.8515625" style="324" customWidth="1"/>
    <col min="5" max="5" width="14.140625" style="324" customWidth="1"/>
    <col min="6" max="6" width="11.57421875" style="324" customWidth="1"/>
    <col min="7" max="7" width="13.140625" style="324" customWidth="1"/>
    <col min="8" max="8" width="15.140625" style="324" customWidth="1"/>
    <col min="9" max="9" width="15.421875" style="324" customWidth="1"/>
    <col min="10" max="10" width="12.7109375" style="324" customWidth="1"/>
    <col min="11" max="11" width="13.57421875" style="324" customWidth="1"/>
    <col min="12" max="12" width="11.421875" style="324" customWidth="1"/>
    <col min="13" max="14" width="9.140625" style="324" customWidth="1"/>
    <col min="15" max="15" width="13.28125" style="324" customWidth="1"/>
    <col min="16" max="16384" width="9.140625" style="324" customWidth="1"/>
  </cols>
  <sheetData>
    <row r="1" spans="1:12" ht="23.25">
      <c r="A1" s="798" t="s">
        <v>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</row>
    <row r="2" spans="1:13" ht="23.25">
      <c r="A2" s="799" t="s">
        <v>241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</row>
    <row r="3" ht="21.75" customHeight="1"/>
    <row r="4" spans="1:12" ht="37.5" customHeight="1">
      <c r="A4" s="800" t="s">
        <v>1</v>
      </c>
      <c r="B4" s="802" t="s">
        <v>12</v>
      </c>
      <c r="C4" s="803"/>
      <c r="D4" s="803"/>
      <c r="E4" s="803"/>
      <c r="F4" s="803"/>
      <c r="G4" s="803"/>
      <c r="H4" s="804" t="s">
        <v>60</v>
      </c>
      <c r="I4" s="804" t="s">
        <v>13</v>
      </c>
      <c r="J4" s="800" t="s">
        <v>6</v>
      </c>
      <c r="K4" s="806" t="s">
        <v>7</v>
      </c>
      <c r="L4" s="806" t="s">
        <v>31</v>
      </c>
    </row>
    <row r="5" spans="1:12" ht="26.25" customHeight="1">
      <c r="A5" s="801"/>
      <c r="B5" s="477" t="s">
        <v>8</v>
      </c>
      <c r="C5" s="477" t="s">
        <v>9</v>
      </c>
      <c r="D5" s="477" t="s">
        <v>166</v>
      </c>
      <c r="E5" s="477" t="s">
        <v>10</v>
      </c>
      <c r="F5" s="478" t="s">
        <v>19</v>
      </c>
      <c r="G5" s="477" t="s">
        <v>18</v>
      </c>
      <c r="H5" s="805"/>
      <c r="I5" s="805"/>
      <c r="J5" s="801"/>
      <c r="K5" s="807"/>
      <c r="L5" s="807"/>
    </row>
    <row r="6" spans="1:12" ht="21.75">
      <c r="A6" s="325" t="s">
        <v>87</v>
      </c>
      <c r="B6" s="8"/>
      <c r="C6" s="8"/>
      <c r="D6" s="8"/>
      <c r="E6" s="8"/>
      <c r="F6" s="247"/>
      <c r="G6" s="8"/>
      <c r="H6" s="8"/>
      <c r="I6" s="8"/>
      <c r="J6" s="326"/>
      <c r="K6" s="326"/>
      <c r="L6" s="327"/>
    </row>
    <row r="7" spans="1:12" ht="21.75">
      <c r="A7" s="330" t="s">
        <v>161</v>
      </c>
      <c r="B7" s="280"/>
      <c r="C7" s="278"/>
      <c r="D7" s="278"/>
      <c r="E7" s="278"/>
      <c r="F7" s="278"/>
      <c r="G7" s="331"/>
      <c r="H7" s="331"/>
      <c r="I7" s="278"/>
      <c r="J7" s="332"/>
      <c r="K7" s="332"/>
      <c r="L7" s="333"/>
    </row>
    <row r="8" spans="1:12" ht="28.5" customHeight="1">
      <c r="A8" s="328" t="s">
        <v>103</v>
      </c>
      <c r="B8" s="280"/>
      <c r="C8" s="278"/>
      <c r="D8" s="278"/>
      <c r="E8" s="278"/>
      <c r="F8" s="278"/>
      <c r="G8" s="278"/>
      <c r="H8" s="278">
        <f>46201132.76*76/100</f>
        <v>35112860.897599995</v>
      </c>
      <c r="I8" s="278">
        <f aca="true" t="shared" si="0" ref="I8:I22">SUM(B8:H8)</f>
        <v>35112860.897599995</v>
      </c>
      <c r="J8" s="332" t="s">
        <v>28</v>
      </c>
      <c r="K8" s="334" t="s">
        <v>82</v>
      </c>
      <c r="L8" s="738">
        <v>0.76</v>
      </c>
    </row>
    <row r="9" spans="1:12" ht="65.25">
      <c r="A9" s="328" t="s">
        <v>109</v>
      </c>
      <c r="B9" s="280"/>
      <c r="C9" s="278"/>
      <c r="D9" s="278"/>
      <c r="E9" s="278"/>
      <c r="F9" s="278"/>
      <c r="G9" s="278"/>
      <c r="H9" s="279">
        <v>1600000</v>
      </c>
      <c r="I9" s="278">
        <f t="shared" si="0"/>
        <v>1600000</v>
      </c>
      <c r="J9" s="332" t="s">
        <v>28</v>
      </c>
      <c r="K9" s="334" t="s">
        <v>82</v>
      </c>
      <c r="L9" s="333"/>
    </row>
    <row r="10" spans="1:12" ht="43.5">
      <c r="A10" s="328" t="s">
        <v>110</v>
      </c>
      <c r="B10" s="280"/>
      <c r="C10" s="278"/>
      <c r="D10" s="278"/>
      <c r="E10" s="278"/>
      <c r="F10" s="278"/>
      <c r="G10" s="278"/>
      <c r="H10" s="278">
        <v>4573200</v>
      </c>
      <c r="I10" s="278">
        <f t="shared" si="0"/>
        <v>4573200</v>
      </c>
      <c r="J10" s="332" t="s">
        <v>28</v>
      </c>
      <c r="K10" s="334" t="s">
        <v>82</v>
      </c>
      <c r="L10" s="333"/>
    </row>
    <row r="11" spans="1:12" ht="65.25">
      <c r="A11" s="328" t="s">
        <v>104</v>
      </c>
      <c r="B11" s="280"/>
      <c r="C11" s="278"/>
      <c r="D11" s="278"/>
      <c r="E11" s="278"/>
      <c r="F11" s="278"/>
      <c r="G11" s="278"/>
      <c r="H11" s="278">
        <v>610800</v>
      </c>
      <c r="I11" s="278">
        <f t="shared" si="0"/>
        <v>610800</v>
      </c>
      <c r="J11" s="332" t="s">
        <v>28</v>
      </c>
      <c r="K11" s="334" t="s">
        <v>82</v>
      </c>
      <c r="L11" s="333"/>
    </row>
    <row r="12" spans="1:12" ht="65.25">
      <c r="A12" s="328" t="s">
        <v>105</v>
      </c>
      <c r="B12" s="280"/>
      <c r="C12" s="278"/>
      <c r="D12" s="278"/>
      <c r="E12" s="278"/>
      <c r="F12" s="278"/>
      <c r="G12" s="278"/>
      <c r="H12" s="278">
        <v>61999.98</v>
      </c>
      <c r="I12" s="278">
        <f t="shared" si="0"/>
        <v>61999.98</v>
      </c>
      <c r="J12" s="332" t="s">
        <v>28</v>
      </c>
      <c r="K12" s="334" t="s">
        <v>82</v>
      </c>
      <c r="L12" s="333"/>
    </row>
    <row r="13" spans="1:12" ht="108.75">
      <c r="A13" s="328" t="s">
        <v>146</v>
      </c>
      <c r="B13" s="280"/>
      <c r="C13" s="278"/>
      <c r="D13" s="278"/>
      <c r="E13" s="278"/>
      <c r="F13" s="278"/>
      <c r="G13" s="278"/>
      <c r="H13" s="278">
        <v>1500000</v>
      </c>
      <c r="I13" s="278">
        <f t="shared" si="0"/>
        <v>1500000</v>
      </c>
      <c r="J13" s="332" t="s">
        <v>28</v>
      </c>
      <c r="K13" s="334" t="s">
        <v>82</v>
      </c>
      <c r="L13" s="333"/>
    </row>
    <row r="14" spans="1:12" ht="65.25">
      <c r="A14" s="329" t="s">
        <v>106</v>
      </c>
      <c r="B14" s="280"/>
      <c r="C14" s="278"/>
      <c r="D14" s="278"/>
      <c r="E14" s="278"/>
      <c r="F14" s="278"/>
      <c r="G14" s="278"/>
      <c r="H14" s="278">
        <v>3049200</v>
      </c>
      <c r="I14" s="278">
        <f t="shared" si="0"/>
        <v>3049200</v>
      </c>
      <c r="J14" s="332" t="s">
        <v>28</v>
      </c>
      <c r="K14" s="334" t="s">
        <v>82</v>
      </c>
      <c r="L14" s="333"/>
    </row>
    <row r="15" spans="1:12" ht="43.5" customHeight="1">
      <c r="A15" s="329" t="s">
        <v>235</v>
      </c>
      <c r="B15" s="280"/>
      <c r="C15" s="278"/>
      <c r="D15" s="278"/>
      <c r="E15" s="278"/>
      <c r="F15" s="278"/>
      <c r="G15" s="278"/>
      <c r="H15" s="278">
        <v>3048403</v>
      </c>
      <c r="I15" s="278">
        <f t="shared" si="0"/>
        <v>3048403</v>
      </c>
      <c r="J15" s="332" t="s">
        <v>28</v>
      </c>
      <c r="K15" s="334" t="s">
        <v>82</v>
      </c>
      <c r="L15" s="333"/>
    </row>
    <row r="16" spans="1:12" ht="43.5">
      <c r="A16" s="329" t="s">
        <v>144</v>
      </c>
      <c r="B16" s="280"/>
      <c r="C16" s="278"/>
      <c r="D16" s="278"/>
      <c r="E16" s="278"/>
      <c r="F16" s="278"/>
      <c r="G16" s="278"/>
      <c r="H16" s="278">
        <v>47611349.31</v>
      </c>
      <c r="I16" s="278">
        <f t="shared" si="0"/>
        <v>47611349.31</v>
      </c>
      <c r="J16" s="332" t="s">
        <v>28</v>
      </c>
      <c r="K16" s="334" t="s">
        <v>82</v>
      </c>
      <c r="L16" s="333"/>
    </row>
    <row r="17" spans="1:12" ht="43.5">
      <c r="A17" s="329" t="s">
        <v>145</v>
      </c>
      <c r="B17" s="280"/>
      <c r="C17" s="278"/>
      <c r="D17" s="278"/>
      <c r="E17" s="278"/>
      <c r="F17" s="278"/>
      <c r="G17" s="278"/>
      <c r="H17" s="278">
        <v>3049200</v>
      </c>
      <c r="I17" s="278">
        <f t="shared" si="0"/>
        <v>3049200</v>
      </c>
      <c r="J17" s="332" t="s">
        <v>28</v>
      </c>
      <c r="K17" s="334" t="s">
        <v>82</v>
      </c>
      <c r="L17" s="333"/>
    </row>
    <row r="18" spans="1:12" ht="43.5">
      <c r="A18" s="329" t="s">
        <v>277</v>
      </c>
      <c r="B18" s="280"/>
      <c r="C18" s="278"/>
      <c r="D18" s="278"/>
      <c r="E18" s="278"/>
      <c r="F18" s="278"/>
      <c r="G18" s="278"/>
      <c r="H18" s="278">
        <v>1136637.09</v>
      </c>
      <c r="I18" s="278">
        <f t="shared" si="0"/>
        <v>1136637.09</v>
      </c>
      <c r="J18" s="407"/>
      <c r="K18" s="334"/>
      <c r="L18" s="333"/>
    </row>
    <row r="19" spans="1:12" ht="27.75" customHeight="1">
      <c r="A19" s="408" t="s">
        <v>278</v>
      </c>
      <c r="B19" s="280"/>
      <c r="C19" s="280"/>
      <c r="D19" s="280"/>
      <c r="E19" s="280"/>
      <c r="F19" s="280"/>
      <c r="G19" s="280"/>
      <c r="H19" s="280"/>
      <c r="I19" s="278"/>
      <c r="J19" s="407"/>
      <c r="K19" s="334"/>
      <c r="L19" s="333"/>
    </row>
    <row r="20" spans="1:12" ht="87">
      <c r="A20" s="406" t="s">
        <v>279</v>
      </c>
      <c r="B20" s="280">
        <f>144900*11</f>
        <v>1593900</v>
      </c>
      <c r="C20" s="280"/>
      <c r="D20" s="280"/>
      <c r="E20" s="280"/>
      <c r="F20" s="280"/>
      <c r="G20" s="280"/>
      <c r="H20" s="280"/>
      <c r="I20" s="278">
        <f t="shared" si="0"/>
        <v>1593900</v>
      </c>
      <c r="J20" s="407" t="s">
        <v>28</v>
      </c>
      <c r="K20" s="334" t="s">
        <v>39</v>
      </c>
      <c r="L20" s="333"/>
    </row>
    <row r="21" spans="1:12" ht="21.75">
      <c r="A21" s="408" t="s">
        <v>280</v>
      </c>
      <c r="B21" s="280"/>
      <c r="C21" s="280"/>
      <c r="D21" s="280"/>
      <c r="E21" s="280"/>
      <c r="F21" s="280"/>
      <c r="G21" s="280"/>
      <c r="H21" s="280"/>
      <c r="I21" s="278"/>
      <c r="J21" s="407"/>
      <c r="K21" s="334"/>
      <c r="L21" s="333"/>
    </row>
    <row r="22" spans="1:12" ht="43.5">
      <c r="A22" s="406" t="s">
        <v>281</v>
      </c>
      <c r="B22" s="280"/>
      <c r="C22" s="280"/>
      <c r="D22" s="280">
        <f>10000+300000+110000</f>
        <v>420000</v>
      </c>
      <c r="E22" s="280"/>
      <c r="F22" s="280"/>
      <c r="G22" s="280">
        <v>180000</v>
      </c>
      <c r="H22" s="280"/>
      <c r="I22" s="278">
        <f t="shared" si="0"/>
        <v>600000</v>
      </c>
      <c r="J22" s="407" t="s">
        <v>28</v>
      </c>
      <c r="K22" s="334" t="s">
        <v>282</v>
      </c>
      <c r="L22" s="333"/>
    </row>
    <row r="23" spans="1:12" ht="22.5" thickBot="1">
      <c r="A23" s="335" t="s">
        <v>2</v>
      </c>
      <c r="B23" s="96">
        <f aca="true" t="shared" si="1" ref="B23:I23">SUM(B7:B22)</f>
        <v>1593900</v>
      </c>
      <c r="C23" s="96">
        <f t="shared" si="1"/>
        <v>0</v>
      </c>
      <c r="D23" s="96">
        <f t="shared" si="1"/>
        <v>420000</v>
      </c>
      <c r="E23" s="96">
        <f t="shared" si="1"/>
        <v>0</v>
      </c>
      <c r="F23" s="96">
        <f t="shared" si="1"/>
        <v>0</v>
      </c>
      <c r="G23" s="96">
        <f t="shared" si="1"/>
        <v>180000</v>
      </c>
      <c r="H23" s="96">
        <f t="shared" si="1"/>
        <v>101353650.27759999</v>
      </c>
      <c r="I23" s="96">
        <f t="shared" si="1"/>
        <v>103547550.27759999</v>
      </c>
      <c r="J23" s="336"/>
      <c r="K23" s="336"/>
      <c r="L23" s="336"/>
    </row>
    <row r="24" ht="22.5" thickTop="1"/>
    <row r="25" spans="7:11" ht="21.75">
      <c r="G25" s="337"/>
      <c r="H25" s="337"/>
      <c r="I25" s="338"/>
      <c r="K25" s="339"/>
    </row>
    <row r="26" spans="3:9" ht="21.75" customHeight="1">
      <c r="C26" s="2"/>
      <c r="D26" s="337"/>
      <c r="E26" s="337"/>
      <c r="F26" s="337"/>
      <c r="G26" s="337"/>
      <c r="H26" s="2"/>
      <c r="I26" s="338"/>
    </row>
    <row r="27" spans="2:9" ht="21.75">
      <c r="B27" s="337"/>
      <c r="C27" s="2"/>
      <c r="G27" s="337"/>
      <c r="H27" s="337"/>
      <c r="I27" s="337"/>
    </row>
    <row r="28" spans="3:9" ht="21.75">
      <c r="C28" s="2"/>
      <c r="I28" s="337"/>
    </row>
    <row r="29" ht="21.75" customHeight="1">
      <c r="C29" s="2"/>
    </row>
    <row r="30" ht="21.75" customHeight="1">
      <c r="C30" s="2"/>
    </row>
    <row r="32" ht="21.75">
      <c r="G32" s="110"/>
    </row>
    <row r="41" ht="21.75" customHeight="1">
      <c r="L41" s="340"/>
    </row>
  </sheetData>
  <sheetProtection/>
  <mergeCells count="9">
    <mergeCell ref="A1:L1"/>
    <mergeCell ref="A2:M2"/>
    <mergeCell ref="A4:A5"/>
    <mergeCell ref="B4:G4"/>
    <mergeCell ref="H4:H5"/>
    <mergeCell ref="I4:I5"/>
    <mergeCell ref="J4:J5"/>
    <mergeCell ref="K4:K5"/>
    <mergeCell ref="L4:L5"/>
  </mergeCells>
  <printOptions/>
  <pageMargins left="0.590551181102362" right="0.748031496062992" top="0.78740157480315" bottom="0.196850393700787" header="0.669291338582677" footer="0.15748031496063"/>
  <pageSetup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showGridLines="0" zoomScalePageLayoutView="0" workbookViewId="0" topLeftCell="A4">
      <selection activeCell="G8" sqref="G8"/>
    </sheetView>
  </sheetViews>
  <sheetFormatPr defaultColWidth="9.140625" defaultRowHeight="21.75"/>
  <cols>
    <col min="1" max="1" width="50.421875" style="324" customWidth="1"/>
    <col min="2" max="2" width="11.140625" style="324" customWidth="1"/>
    <col min="3" max="3" width="10.8515625" style="324" customWidth="1"/>
    <col min="4" max="5" width="12.140625" style="324" customWidth="1"/>
    <col min="6" max="6" width="12.28125" style="324" customWidth="1"/>
    <col min="7" max="7" width="15.140625" style="324" customWidth="1"/>
    <col min="8" max="8" width="12.8515625" style="324" customWidth="1"/>
    <col min="9" max="9" width="12.7109375" style="324" customWidth="1"/>
    <col min="10" max="10" width="13.00390625" style="324" customWidth="1"/>
    <col min="11" max="11" width="12.140625" style="324" customWidth="1"/>
    <col min="12" max="12" width="9.140625" style="324" customWidth="1"/>
    <col min="13" max="13" width="11.00390625" style="324" bestFit="1" customWidth="1"/>
    <col min="14" max="14" width="13.28125" style="324" customWidth="1"/>
    <col min="15" max="16384" width="9.140625" style="324" customWidth="1"/>
  </cols>
  <sheetData>
    <row r="1" spans="1:11" ht="23.25">
      <c r="A1" s="798" t="s">
        <v>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</row>
    <row r="2" spans="1:11" ht="23.25">
      <c r="A2" s="799" t="s">
        <v>241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</row>
    <row r="3" ht="15.75" customHeight="1"/>
    <row r="4" spans="1:11" ht="21.75">
      <c r="A4" s="800" t="s">
        <v>1</v>
      </c>
      <c r="B4" s="802" t="s">
        <v>12</v>
      </c>
      <c r="C4" s="803"/>
      <c r="D4" s="803"/>
      <c r="E4" s="803"/>
      <c r="F4" s="443"/>
      <c r="G4" s="804" t="s">
        <v>86</v>
      </c>
      <c r="H4" s="804" t="s">
        <v>13</v>
      </c>
      <c r="I4" s="800" t="s">
        <v>6</v>
      </c>
      <c r="J4" s="806" t="s">
        <v>7</v>
      </c>
      <c r="K4" s="806" t="s">
        <v>31</v>
      </c>
    </row>
    <row r="5" spans="1:11" ht="48" customHeight="1">
      <c r="A5" s="801"/>
      <c r="B5" s="504" t="s">
        <v>8</v>
      </c>
      <c r="C5" s="504" t="s">
        <v>9</v>
      </c>
      <c r="D5" s="504" t="s">
        <v>153</v>
      </c>
      <c r="E5" s="504" t="s">
        <v>10</v>
      </c>
      <c r="F5" s="505" t="s">
        <v>33</v>
      </c>
      <c r="G5" s="805"/>
      <c r="H5" s="805"/>
      <c r="I5" s="801"/>
      <c r="J5" s="807"/>
      <c r="K5" s="807"/>
    </row>
    <row r="6" spans="1:11" ht="21.75">
      <c r="A6" s="325" t="s">
        <v>293</v>
      </c>
      <c r="B6" s="8"/>
      <c r="C6" s="8"/>
      <c r="D6" s="8"/>
      <c r="E6" s="8"/>
      <c r="F6" s="8"/>
      <c r="G6" s="8"/>
      <c r="H6" s="8"/>
      <c r="I6" s="326"/>
      <c r="J6" s="326"/>
      <c r="K6" s="327"/>
    </row>
    <row r="7" spans="1:11" ht="21.75">
      <c r="A7" s="506" t="s">
        <v>294</v>
      </c>
      <c r="B7" s="57"/>
      <c r="C7" s="57"/>
      <c r="D7" s="39"/>
      <c r="E7" s="39"/>
      <c r="F7" s="39"/>
      <c r="G7" s="39"/>
      <c r="H7" s="39"/>
      <c r="I7" s="508"/>
      <c r="J7" s="509"/>
      <c r="K7" s="510"/>
    </row>
    <row r="8" spans="1:11" ht="43.5">
      <c r="A8" s="507" t="s">
        <v>295</v>
      </c>
      <c r="B8" s="39"/>
      <c r="C8" s="12"/>
      <c r="D8" s="343"/>
      <c r="E8" s="343"/>
      <c r="F8" s="343"/>
      <c r="G8" s="355">
        <v>8000000</v>
      </c>
      <c r="H8" s="39">
        <f>SUM(B8:G8)</f>
        <v>8000000</v>
      </c>
      <c r="I8" s="508" t="s">
        <v>36</v>
      </c>
      <c r="J8" s="509" t="s">
        <v>82</v>
      </c>
      <c r="K8" s="511"/>
    </row>
    <row r="9" spans="1:11" ht="21.75">
      <c r="A9" s="506" t="s">
        <v>296</v>
      </c>
      <c r="B9" s="39"/>
      <c r="C9" s="12"/>
      <c r="D9" s="343"/>
      <c r="E9" s="343"/>
      <c r="F9" s="343"/>
      <c r="G9" s="355"/>
      <c r="H9" s="39"/>
      <c r="I9" s="508"/>
      <c r="J9" s="509"/>
      <c r="K9" s="511"/>
    </row>
    <row r="10" spans="1:13" ht="54" customHeight="1">
      <c r="A10" s="507" t="s">
        <v>297</v>
      </c>
      <c r="B10" s="158"/>
      <c r="C10" s="158"/>
      <c r="D10" s="158"/>
      <c r="E10" s="158"/>
      <c r="F10" s="158"/>
      <c r="G10" s="158">
        <v>627800</v>
      </c>
      <c r="H10" s="39">
        <f>SUM(B10:G10)</f>
        <v>627800</v>
      </c>
      <c r="I10" s="508" t="s">
        <v>36</v>
      </c>
      <c r="J10" s="512" t="s">
        <v>143</v>
      </c>
      <c r="K10" s="511"/>
      <c r="M10" s="338"/>
    </row>
    <row r="11" spans="1:11" ht="24.75" customHeight="1">
      <c r="A11" s="513"/>
      <c r="B11" s="82"/>
      <c r="C11" s="17"/>
      <c r="D11" s="17"/>
      <c r="E11" s="514"/>
      <c r="F11" s="515"/>
      <c r="G11" s="514"/>
      <c r="H11" s="39"/>
      <c r="I11" s="516"/>
      <c r="J11" s="517"/>
      <c r="K11" s="333"/>
    </row>
    <row r="12" spans="1:11" ht="22.5" thickBot="1">
      <c r="A12" s="518" t="s">
        <v>2</v>
      </c>
      <c r="B12" s="96">
        <f aca="true" t="shared" si="0" ref="B12:H12">SUM(B7:B11)</f>
        <v>0</v>
      </c>
      <c r="C12" s="96">
        <f t="shared" si="0"/>
        <v>0</v>
      </c>
      <c r="D12" s="96">
        <f t="shared" si="0"/>
        <v>0</v>
      </c>
      <c r="E12" s="96">
        <f t="shared" si="0"/>
        <v>0</v>
      </c>
      <c r="F12" s="96">
        <f t="shared" si="0"/>
        <v>0</v>
      </c>
      <c r="G12" s="96">
        <f t="shared" si="0"/>
        <v>8627800</v>
      </c>
      <c r="H12" s="96">
        <f t="shared" si="0"/>
        <v>8627800</v>
      </c>
      <c r="I12" s="336"/>
      <c r="J12" s="336"/>
      <c r="K12" s="336"/>
    </row>
    <row r="13" ht="22.5" thickTop="1"/>
    <row r="14" spans="6:10" ht="21.75">
      <c r="F14" s="338"/>
      <c r="G14" s="337"/>
      <c r="J14" s="339"/>
    </row>
    <row r="15" spans="3:7" ht="21.75">
      <c r="C15" s="2"/>
      <c r="D15" s="337"/>
      <c r="E15" s="337"/>
      <c r="F15" s="337"/>
      <c r="G15" s="337"/>
    </row>
    <row r="16" ht="21.75">
      <c r="C16" s="2"/>
    </row>
    <row r="17" ht="21.75">
      <c r="C17" s="2"/>
    </row>
    <row r="18" ht="21.75">
      <c r="C18" s="2"/>
    </row>
    <row r="19" ht="21.75">
      <c r="C19" s="2"/>
    </row>
    <row r="30" ht="21.75">
      <c r="K30" s="340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 horizontalCentered="1" verticalCentered="1"/>
  <pageMargins left="0.47244094488189" right="0.354330708661417" top="0.62992125984252" bottom="0.511811023622047" header="0.669291338582677" footer="0.15748031496063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90"/>
  <sheetViews>
    <sheetView showGridLines="0" workbookViewId="0" topLeftCell="A1">
      <pane xSplit="1" ySplit="5" topLeftCell="C6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E183" sqref="E183"/>
    </sheetView>
  </sheetViews>
  <sheetFormatPr defaultColWidth="9.140625" defaultRowHeight="21.75"/>
  <cols>
    <col min="1" max="1" width="40.421875" style="68" customWidth="1"/>
    <col min="2" max="2" width="14.28125" style="68" customWidth="1"/>
    <col min="3" max="5" width="13.8515625" style="68" customWidth="1"/>
    <col min="6" max="6" width="13.57421875" style="68" customWidth="1"/>
    <col min="7" max="7" width="14.421875" style="68" customWidth="1"/>
    <col min="8" max="8" width="15.8515625" style="68" customWidth="1"/>
    <col min="9" max="9" width="15.421875" style="68" customWidth="1"/>
    <col min="10" max="10" width="12.28125" style="68" customWidth="1"/>
    <col min="11" max="11" width="17.421875" style="68" customWidth="1"/>
    <col min="12" max="12" width="13.00390625" style="68" customWidth="1"/>
    <col min="13" max="16384" width="9.140625" style="67" customWidth="1"/>
  </cols>
  <sheetData>
    <row r="1" spans="1:12" ht="23.25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</row>
    <row r="2" spans="1:12" ht="23.25">
      <c r="A2" s="809" t="s">
        <v>243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</row>
    <row r="3" spans="1:12" ht="23.2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8.25" customHeight="1">
      <c r="A4" s="810" t="s">
        <v>1</v>
      </c>
      <c r="B4" s="812" t="s">
        <v>12</v>
      </c>
      <c r="C4" s="813"/>
      <c r="D4" s="813"/>
      <c r="E4" s="813"/>
      <c r="F4" s="813"/>
      <c r="G4" s="814"/>
      <c r="H4" s="767" t="s">
        <v>86</v>
      </c>
      <c r="I4" s="810" t="s">
        <v>95</v>
      </c>
      <c r="J4" s="810" t="s">
        <v>6</v>
      </c>
      <c r="K4" s="810" t="s">
        <v>7</v>
      </c>
      <c r="L4" s="779" t="s">
        <v>31</v>
      </c>
    </row>
    <row r="5" spans="1:12" ht="30" customHeight="1">
      <c r="A5" s="811"/>
      <c r="B5" s="692" t="s">
        <v>8</v>
      </c>
      <c r="C5" s="693" t="s">
        <v>9</v>
      </c>
      <c r="D5" s="694" t="s">
        <v>153</v>
      </c>
      <c r="E5" s="692" t="s">
        <v>10</v>
      </c>
      <c r="F5" s="692" t="s">
        <v>19</v>
      </c>
      <c r="G5" s="692" t="s">
        <v>33</v>
      </c>
      <c r="H5" s="778"/>
      <c r="I5" s="811"/>
      <c r="J5" s="811"/>
      <c r="K5" s="811"/>
      <c r="L5" s="780"/>
    </row>
    <row r="6" spans="1:12" ht="24" customHeight="1">
      <c r="A6" s="417" t="s">
        <v>34</v>
      </c>
      <c r="B6" s="418"/>
      <c r="C6" s="418"/>
      <c r="D6" s="418"/>
      <c r="E6" s="418"/>
      <c r="F6" s="418"/>
      <c r="G6" s="418"/>
      <c r="H6" s="418"/>
      <c r="I6" s="419"/>
      <c r="J6" s="420"/>
      <c r="K6" s="420"/>
      <c r="L6" s="421"/>
    </row>
    <row r="7" spans="1:12" ht="24" customHeight="1">
      <c r="A7" s="170" t="s">
        <v>98</v>
      </c>
      <c r="B7" s="275"/>
      <c r="C7" s="275"/>
      <c r="D7" s="275"/>
      <c r="E7" s="275"/>
      <c r="F7" s="275"/>
      <c r="G7" s="275"/>
      <c r="H7" s="275"/>
      <c r="I7" s="422"/>
      <c r="J7" s="423"/>
      <c r="K7" s="423"/>
      <c r="L7" s="276"/>
    </row>
    <row r="8" spans="1:12" ht="180" customHeight="1">
      <c r="A8" s="176" t="s">
        <v>371</v>
      </c>
      <c r="B8" s="301">
        <f>236400+544800</f>
        <v>781200</v>
      </c>
      <c r="C8" s="301"/>
      <c r="D8" s="301"/>
      <c r="E8" s="301"/>
      <c r="F8" s="301"/>
      <c r="G8" s="301"/>
      <c r="H8" s="301"/>
      <c r="I8" s="184">
        <f>SUM(B8:H8)</f>
        <v>781200</v>
      </c>
      <c r="J8" s="162" t="s">
        <v>147</v>
      </c>
      <c r="K8" s="298" t="s">
        <v>372</v>
      </c>
      <c r="L8" s="276"/>
    </row>
    <row r="9" spans="1:12" ht="94.5" customHeight="1">
      <c r="A9" s="176" t="s">
        <v>373</v>
      </c>
      <c r="B9" s="301">
        <v>121700</v>
      </c>
      <c r="C9" s="301"/>
      <c r="D9" s="301"/>
      <c r="E9" s="301"/>
      <c r="F9" s="301"/>
      <c r="G9" s="301"/>
      <c r="H9" s="301"/>
      <c r="I9" s="171">
        <f aca="true" t="shared" si="0" ref="I9:I19">SUM(B9:H9)</f>
        <v>121700</v>
      </c>
      <c r="J9" s="162" t="s">
        <v>27</v>
      </c>
      <c r="K9" s="298" t="s">
        <v>374</v>
      </c>
      <c r="L9" s="276"/>
    </row>
    <row r="10" spans="1:12" ht="65.25">
      <c r="A10" s="172" t="s">
        <v>375</v>
      </c>
      <c r="B10" s="275">
        <v>473200</v>
      </c>
      <c r="C10" s="275"/>
      <c r="D10" s="275"/>
      <c r="E10" s="275"/>
      <c r="F10" s="275"/>
      <c r="G10" s="275"/>
      <c r="H10" s="275"/>
      <c r="I10" s="171">
        <f t="shared" si="0"/>
        <v>473200</v>
      </c>
      <c r="J10" s="162" t="s">
        <v>28</v>
      </c>
      <c r="K10" s="191" t="s">
        <v>376</v>
      </c>
      <c r="L10" s="276"/>
    </row>
    <row r="11" spans="1:12" ht="65.25">
      <c r="A11" s="172" t="s">
        <v>377</v>
      </c>
      <c r="B11" s="275"/>
      <c r="C11" s="275">
        <v>360000</v>
      </c>
      <c r="D11" s="275">
        <f>360000+192000</f>
        <v>552000</v>
      </c>
      <c r="E11" s="275">
        <v>192000</v>
      </c>
      <c r="F11" s="275"/>
      <c r="G11" s="275">
        <f>360000+192000+192000+192000</f>
        <v>936000</v>
      </c>
      <c r="H11" s="275"/>
      <c r="I11" s="171">
        <f t="shared" si="0"/>
        <v>2040000</v>
      </c>
      <c r="J11" s="162" t="s">
        <v>28</v>
      </c>
      <c r="K11" s="191" t="s">
        <v>217</v>
      </c>
      <c r="L11" s="276"/>
    </row>
    <row r="12" spans="1:12" ht="108.75">
      <c r="A12" s="172" t="s">
        <v>378</v>
      </c>
      <c r="B12" s="275"/>
      <c r="C12" s="275"/>
      <c r="D12" s="275"/>
      <c r="E12" s="275"/>
      <c r="F12" s="275"/>
      <c r="G12" s="301"/>
      <c r="H12" s="301">
        <v>185885.5</v>
      </c>
      <c r="I12" s="171">
        <f t="shared" si="0"/>
        <v>185885.5</v>
      </c>
      <c r="J12" s="160" t="s">
        <v>36</v>
      </c>
      <c r="K12" s="176" t="s">
        <v>113</v>
      </c>
      <c r="L12" s="276"/>
    </row>
    <row r="13" spans="1:12" ht="65.25">
      <c r="A13" s="172" t="s">
        <v>381</v>
      </c>
      <c r="B13" s="275"/>
      <c r="C13" s="275"/>
      <c r="D13" s="275"/>
      <c r="E13" s="275"/>
      <c r="F13" s="275"/>
      <c r="G13" s="275"/>
      <c r="H13" s="275">
        <v>16585</v>
      </c>
      <c r="I13" s="440">
        <f t="shared" si="0"/>
        <v>16585</v>
      </c>
      <c r="J13" s="160" t="s">
        <v>36</v>
      </c>
      <c r="K13" s="176" t="s">
        <v>113</v>
      </c>
      <c r="L13" s="276"/>
    </row>
    <row r="14" spans="1:12" ht="65.25">
      <c r="A14" s="172" t="s">
        <v>379</v>
      </c>
      <c r="B14" s="275"/>
      <c r="C14" s="275"/>
      <c r="D14" s="301"/>
      <c r="E14" s="301"/>
      <c r="F14" s="301"/>
      <c r="G14" s="301"/>
      <c r="H14" s="275">
        <v>156950</v>
      </c>
      <c r="I14" s="440">
        <f t="shared" si="0"/>
        <v>156950</v>
      </c>
      <c r="J14" s="160" t="s">
        <v>36</v>
      </c>
      <c r="K14" s="176" t="s">
        <v>113</v>
      </c>
      <c r="L14" s="276"/>
    </row>
    <row r="15" spans="1:12" ht="87">
      <c r="A15" s="172" t="s">
        <v>380</v>
      </c>
      <c r="B15" s="275"/>
      <c r="C15" s="275"/>
      <c r="D15" s="275"/>
      <c r="E15" s="275"/>
      <c r="F15" s="275"/>
      <c r="G15" s="301"/>
      <c r="H15" s="301">
        <v>51739.88</v>
      </c>
      <c r="I15" s="171">
        <f t="shared" si="0"/>
        <v>51739.88</v>
      </c>
      <c r="J15" s="160" t="s">
        <v>36</v>
      </c>
      <c r="K15" s="176" t="s">
        <v>113</v>
      </c>
      <c r="L15" s="276"/>
    </row>
    <row r="16" spans="1:64" s="94" customFormat="1" ht="87">
      <c r="A16" s="172" t="s">
        <v>382</v>
      </c>
      <c r="B16" s="366"/>
      <c r="C16" s="366"/>
      <c r="D16" s="366"/>
      <c r="E16" s="366"/>
      <c r="F16" s="366"/>
      <c r="G16" s="366"/>
      <c r="H16" s="366">
        <v>11730</v>
      </c>
      <c r="I16" s="171">
        <f t="shared" si="0"/>
        <v>11730</v>
      </c>
      <c r="J16" s="160" t="s">
        <v>36</v>
      </c>
      <c r="K16" s="176" t="s">
        <v>113</v>
      </c>
      <c r="L16" s="367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64" s="94" customFormat="1" ht="65.25">
      <c r="A17" s="172" t="s">
        <v>383</v>
      </c>
      <c r="B17" s="173"/>
      <c r="C17" s="366"/>
      <c r="D17" s="366"/>
      <c r="E17" s="366"/>
      <c r="F17" s="366"/>
      <c r="G17" s="366"/>
      <c r="H17" s="366">
        <v>58540</v>
      </c>
      <c r="I17" s="171">
        <f t="shared" si="0"/>
        <v>58540</v>
      </c>
      <c r="J17" s="160" t="s">
        <v>36</v>
      </c>
      <c r="K17" s="176" t="s">
        <v>113</v>
      </c>
      <c r="L17" s="367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s="94" customFormat="1" ht="65.25">
      <c r="A18" s="176" t="s">
        <v>384</v>
      </c>
      <c r="B18" s="173"/>
      <c r="C18" s="173"/>
      <c r="D18" s="173"/>
      <c r="E18" s="173"/>
      <c r="F18" s="173"/>
      <c r="G18" s="173"/>
      <c r="H18" s="173">
        <v>24966</v>
      </c>
      <c r="I18" s="171">
        <f t="shared" si="0"/>
        <v>24966</v>
      </c>
      <c r="J18" s="160" t="s">
        <v>36</v>
      </c>
      <c r="K18" s="176" t="s">
        <v>113</v>
      </c>
      <c r="L18" s="36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64" s="94" customFormat="1" ht="65.25">
      <c r="A19" s="172" t="s">
        <v>385</v>
      </c>
      <c r="B19" s="366"/>
      <c r="C19" s="366"/>
      <c r="D19" s="366"/>
      <c r="E19" s="366"/>
      <c r="F19" s="366"/>
      <c r="G19" s="366"/>
      <c r="H19" s="366">
        <v>6454.6</v>
      </c>
      <c r="I19" s="171">
        <f t="shared" si="0"/>
        <v>6454.6</v>
      </c>
      <c r="J19" s="160" t="s">
        <v>36</v>
      </c>
      <c r="K19" s="176" t="s">
        <v>113</v>
      </c>
      <c r="L19" s="367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s="94" customFormat="1" ht="43.5">
      <c r="A20" s="172" t="s">
        <v>386</v>
      </c>
      <c r="B20" s="366"/>
      <c r="C20" s="366"/>
      <c r="D20" s="173"/>
      <c r="E20" s="366"/>
      <c r="F20" s="366"/>
      <c r="G20" s="173"/>
      <c r="H20" s="366">
        <v>100000</v>
      </c>
      <c r="I20" s="171">
        <f>SUM(B20:H20)</f>
        <v>100000</v>
      </c>
      <c r="J20" s="160" t="s">
        <v>36</v>
      </c>
      <c r="K20" s="176" t="s">
        <v>113</v>
      </c>
      <c r="L20" s="367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64" s="94" customFormat="1" ht="21.75">
      <c r="A21" s="170" t="s">
        <v>387</v>
      </c>
      <c r="B21" s="173"/>
      <c r="C21" s="173"/>
      <c r="D21" s="173"/>
      <c r="E21" s="173"/>
      <c r="F21" s="173"/>
      <c r="G21" s="173"/>
      <c r="H21" s="366"/>
      <c r="I21" s="171"/>
      <c r="J21" s="160"/>
      <c r="K21" s="176"/>
      <c r="L21" s="367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2" spans="1:64" s="94" customFormat="1" ht="65.25">
      <c r="A22" s="172" t="s">
        <v>388</v>
      </c>
      <c r="B22" s="173">
        <v>1600000</v>
      </c>
      <c r="C22" s="173">
        <v>1800000</v>
      </c>
      <c r="D22" s="173">
        <v>3400000</v>
      </c>
      <c r="E22" s="173">
        <v>1000000</v>
      </c>
      <c r="F22" s="173">
        <v>400000</v>
      </c>
      <c r="G22" s="173">
        <f>200000+1800000</f>
        <v>2000000</v>
      </c>
      <c r="H22" s="173"/>
      <c r="I22" s="171">
        <f aca="true" t="shared" si="1" ref="I22:I32">SUM(B22:H22)</f>
        <v>10200000</v>
      </c>
      <c r="J22" s="160" t="s">
        <v>36</v>
      </c>
      <c r="K22" s="176" t="s">
        <v>391</v>
      </c>
      <c r="L22" s="224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64" s="94" customFormat="1" ht="108.75">
      <c r="A23" s="172" t="s">
        <v>389</v>
      </c>
      <c r="B23" s="173">
        <v>600000</v>
      </c>
      <c r="C23" s="173"/>
      <c r="D23" s="173"/>
      <c r="E23" s="173"/>
      <c r="F23" s="173"/>
      <c r="G23" s="173"/>
      <c r="H23" s="173"/>
      <c r="I23" s="171">
        <f t="shared" si="1"/>
        <v>600000</v>
      </c>
      <c r="J23" s="162" t="s">
        <v>36</v>
      </c>
      <c r="K23" s="176" t="s">
        <v>390</v>
      </c>
      <c r="L23" s="224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s="94" customFormat="1" ht="87">
      <c r="A24" s="172" t="s">
        <v>392</v>
      </c>
      <c r="B24" s="173"/>
      <c r="C24" s="173">
        <v>200000</v>
      </c>
      <c r="D24" s="173"/>
      <c r="E24" s="173"/>
      <c r="F24" s="173"/>
      <c r="G24" s="173"/>
      <c r="H24" s="173"/>
      <c r="I24" s="171">
        <f t="shared" si="1"/>
        <v>200000</v>
      </c>
      <c r="J24" s="162" t="s">
        <v>36</v>
      </c>
      <c r="K24" s="176" t="s">
        <v>393</v>
      </c>
      <c r="L24" s="224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64" s="94" customFormat="1" ht="87">
      <c r="A25" s="172" t="s">
        <v>394</v>
      </c>
      <c r="B25" s="173"/>
      <c r="C25" s="173">
        <f>18300+24180+3000</f>
        <v>45480</v>
      </c>
      <c r="D25" s="173"/>
      <c r="E25" s="173"/>
      <c r="F25" s="173"/>
      <c r="G25" s="173"/>
      <c r="H25" s="173"/>
      <c r="I25" s="171">
        <f t="shared" si="1"/>
        <v>45480</v>
      </c>
      <c r="J25" s="162" t="s">
        <v>27</v>
      </c>
      <c r="K25" s="176" t="s">
        <v>395</v>
      </c>
      <c r="L25" s="224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s="94" customFormat="1" ht="87">
      <c r="A26" s="172" t="s">
        <v>396</v>
      </c>
      <c r="B26" s="173">
        <f>222679.26</f>
        <v>222679.26</v>
      </c>
      <c r="C26" s="173">
        <f>((222679.29*3))+174500</f>
        <v>842537.87</v>
      </c>
      <c r="D26" s="173">
        <f>(222679.29*3)+0</f>
        <v>668037.87</v>
      </c>
      <c r="E26" s="173">
        <v>349000</v>
      </c>
      <c r="F26" s="173">
        <v>174500</v>
      </c>
      <c r="G26" s="173"/>
      <c r="H26" s="173"/>
      <c r="I26" s="171">
        <f t="shared" si="1"/>
        <v>2256755</v>
      </c>
      <c r="J26" s="162" t="s">
        <v>27</v>
      </c>
      <c r="K26" s="176" t="s">
        <v>397</v>
      </c>
      <c r="L26" s="224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s="94" customFormat="1" ht="21.75">
      <c r="A27" s="170" t="s">
        <v>398</v>
      </c>
      <c r="B27" s="173"/>
      <c r="C27" s="173"/>
      <c r="D27" s="173"/>
      <c r="E27" s="173"/>
      <c r="F27" s="173"/>
      <c r="G27" s="173"/>
      <c r="H27" s="173"/>
      <c r="I27" s="171">
        <f t="shared" si="1"/>
        <v>0</v>
      </c>
      <c r="J27" s="162"/>
      <c r="K27" s="176"/>
      <c r="L27" s="224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64" s="94" customFormat="1" ht="43.5">
      <c r="A28" s="172" t="s">
        <v>399</v>
      </c>
      <c r="B28" s="173"/>
      <c r="C28" s="173"/>
      <c r="D28" s="173"/>
      <c r="E28" s="173"/>
      <c r="F28" s="173"/>
      <c r="G28" s="173"/>
      <c r="H28" s="173">
        <v>12345</v>
      </c>
      <c r="I28" s="171">
        <f t="shared" si="1"/>
        <v>12345</v>
      </c>
      <c r="J28" s="162" t="s">
        <v>36</v>
      </c>
      <c r="K28" s="176" t="s">
        <v>113</v>
      </c>
      <c r="L28" s="224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s="94" customFormat="1" ht="108.75">
      <c r="A29" s="172" t="s">
        <v>400</v>
      </c>
      <c r="B29" s="173">
        <f>322402+1155475+1345775</f>
        <v>2823652</v>
      </c>
      <c r="C29" s="173"/>
      <c r="D29" s="173"/>
      <c r="E29" s="173"/>
      <c r="F29" s="173"/>
      <c r="G29" s="173"/>
      <c r="H29" s="173"/>
      <c r="I29" s="171">
        <f t="shared" si="1"/>
        <v>2823652</v>
      </c>
      <c r="J29" s="162" t="s">
        <v>36</v>
      </c>
      <c r="K29" s="176" t="s">
        <v>218</v>
      </c>
      <c r="L29" s="224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s="94" customFormat="1" ht="65.25">
      <c r="A30" s="172" t="s">
        <v>401</v>
      </c>
      <c r="B30" s="173"/>
      <c r="C30" s="173"/>
      <c r="D30" s="173">
        <v>200500</v>
      </c>
      <c r="E30" s="173"/>
      <c r="F30" s="173"/>
      <c r="G30" s="173">
        <f>337400+402100</f>
        <v>739500</v>
      </c>
      <c r="H30" s="173"/>
      <c r="I30" s="171">
        <f t="shared" si="1"/>
        <v>940000</v>
      </c>
      <c r="J30" s="162" t="s">
        <v>36</v>
      </c>
      <c r="K30" s="176" t="s">
        <v>221</v>
      </c>
      <c r="L30" s="224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</row>
    <row r="31" spans="1:64" s="94" customFormat="1" ht="65.25">
      <c r="A31" s="172" t="s">
        <v>402</v>
      </c>
      <c r="B31" s="173">
        <f>148290+168200</f>
        <v>316490</v>
      </c>
      <c r="C31" s="173">
        <v>10500</v>
      </c>
      <c r="D31" s="173"/>
      <c r="E31" s="173">
        <f>171700+4600</f>
        <v>176300</v>
      </c>
      <c r="F31" s="173">
        <v>24700</v>
      </c>
      <c r="G31" s="173">
        <f>5000+5000+20281+67079+7000+6000+50560+37130+6000+1900+151000</f>
        <v>356950</v>
      </c>
      <c r="H31" s="173"/>
      <c r="I31" s="171">
        <f t="shared" si="1"/>
        <v>884940</v>
      </c>
      <c r="J31" s="162" t="s">
        <v>27</v>
      </c>
      <c r="K31" s="176" t="s">
        <v>225</v>
      </c>
      <c r="L31" s="224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s="94" customFormat="1" ht="108.75">
      <c r="A32" s="172" t="s">
        <v>403</v>
      </c>
      <c r="B32" s="173"/>
      <c r="C32" s="173"/>
      <c r="D32" s="173"/>
      <c r="E32" s="173"/>
      <c r="F32" s="173"/>
      <c r="G32" s="173">
        <f>1028232+2328832+3129332</f>
        <v>6486396</v>
      </c>
      <c r="H32" s="173"/>
      <c r="I32" s="171">
        <f t="shared" si="1"/>
        <v>6486396</v>
      </c>
      <c r="J32" s="162" t="s">
        <v>36</v>
      </c>
      <c r="K32" s="176" t="s">
        <v>404</v>
      </c>
      <c r="L32" s="224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1:64" s="94" customFormat="1" ht="21.75">
      <c r="A33" s="170" t="s">
        <v>405</v>
      </c>
      <c r="B33" s="173"/>
      <c r="C33" s="173"/>
      <c r="D33" s="173"/>
      <c r="E33" s="173"/>
      <c r="F33" s="173"/>
      <c r="G33" s="173"/>
      <c r="H33" s="173"/>
      <c r="I33" s="171"/>
      <c r="J33" s="162"/>
      <c r="K33" s="176"/>
      <c r="L33" s="224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64" s="94" customFormat="1" ht="195.75">
      <c r="A34" s="172" t="s">
        <v>428</v>
      </c>
      <c r="B34" s="173">
        <f>958000+2428000</f>
        <v>3386000</v>
      </c>
      <c r="C34" s="173"/>
      <c r="D34" s="173"/>
      <c r="E34" s="173"/>
      <c r="F34" s="173"/>
      <c r="G34" s="173"/>
      <c r="H34" s="173"/>
      <c r="I34" s="171">
        <f>SUM(B34:H34)</f>
        <v>3386000</v>
      </c>
      <c r="J34" s="162" t="s">
        <v>36</v>
      </c>
      <c r="K34" s="176" t="s">
        <v>406</v>
      </c>
      <c r="L34" s="224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s="94" customFormat="1" ht="21.75">
      <c r="A35" s="170" t="s">
        <v>409</v>
      </c>
      <c r="B35" s="173"/>
      <c r="C35" s="173"/>
      <c r="D35" s="173"/>
      <c r="E35" s="173"/>
      <c r="F35" s="173"/>
      <c r="G35" s="173"/>
      <c r="H35" s="173"/>
      <c r="I35" s="171"/>
      <c r="J35" s="162"/>
      <c r="K35" s="176"/>
      <c r="L35" s="224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s="94" customFormat="1" ht="65.25">
      <c r="A36" s="501" t="s">
        <v>407</v>
      </c>
      <c r="B36" s="425">
        <v>400000</v>
      </c>
      <c r="C36" s="425"/>
      <c r="D36" s="425"/>
      <c r="E36" s="425"/>
      <c r="F36" s="425"/>
      <c r="G36" s="425"/>
      <c r="H36" s="425"/>
      <c r="I36" s="639">
        <f>SUM(B36:H36)</f>
        <v>400000</v>
      </c>
      <c r="J36" s="352" t="s">
        <v>36</v>
      </c>
      <c r="K36" s="501" t="s">
        <v>408</v>
      </c>
      <c r="L36" s="640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64" s="94" customFormat="1" ht="21.75">
      <c r="A37" s="641" t="s">
        <v>410</v>
      </c>
      <c r="B37" s="301"/>
      <c r="C37" s="301"/>
      <c r="D37" s="301"/>
      <c r="E37" s="301"/>
      <c r="F37" s="301"/>
      <c r="G37" s="301"/>
      <c r="H37" s="301"/>
      <c r="I37" s="171"/>
      <c r="J37" s="162"/>
      <c r="K37" s="162"/>
      <c r="L37" s="64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s="94" customFormat="1" ht="65.25">
      <c r="A38" s="172" t="s">
        <v>411</v>
      </c>
      <c r="B38" s="173"/>
      <c r="C38" s="173">
        <v>137752</v>
      </c>
      <c r="D38" s="173"/>
      <c r="E38" s="173"/>
      <c r="F38" s="173"/>
      <c r="G38" s="173"/>
      <c r="H38" s="173"/>
      <c r="I38" s="171">
        <f>SUM(B38:H38)</f>
        <v>137752</v>
      </c>
      <c r="J38" s="162" t="s">
        <v>28</v>
      </c>
      <c r="K38" s="176" t="s">
        <v>107</v>
      </c>
      <c r="L38" s="224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s="94" customFormat="1" ht="108.75">
      <c r="A39" s="172" t="s">
        <v>412</v>
      </c>
      <c r="B39" s="173">
        <f>36575+129980+130024+132982</f>
        <v>429561</v>
      </c>
      <c r="C39" s="173"/>
      <c r="D39" s="173"/>
      <c r="E39" s="173"/>
      <c r="F39" s="173"/>
      <c r="G39" s="173"/>
      <c r="H39" s="173"/>
      <c r="I39" s="171">
        <f>SUM(B39:H39)</f>
        <v>429561</v>
      </c>
      <c r="J39" s="162" t="s">
        <v>28</v>
      </c>
      <c r="K39" s="361" t="s">
        <v>413</v>
      </c>
      <c r="L39" s="224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</row>
    <row r="40" spans="1:64" s="357" customFormat="1" ht="87">
      <c r="A40" s="172" t="s">
        <v>414</v>
      </c>
      <c r="B40" s="309"/>
      <c r="C40" s="309"/>
      <c r="D40" s="309"/>
      <c r="E40" s="309"/>
      <c r="F40" s="309"/>
      <c r="G40" s="309">
        <v>60000</v>
      </c>
      <c r="H40" s="309"/>
      <c r="I40" s="667">
        <f>SUM(B40:H40)</f>
        <v>60000</v>
      </c>
      <c r="J40" s="176" t="s">
        <v>352</v>
      </c>
      <c r="K40" s="200" t="s">
        <v>219</v>
      </c>
      <c r="L40" s="668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</row>
    <row r="41" spans="1:64" s="94" customFormat="1" ht="30" customHeight="1">
      <c r="A41" s="643" t="s">
        <v>415</v>
      </c>
      <c r="B41" s="301"/>
      <c r="C41" s="301"/>
      <c r="D41" s="301"/>
      <c r="E41" s="301"/>
      <c r="F41" s="301"/>
      <c r="G41" s="301"/>
      <c r="H41" s="301"/>
      <c r="I41" s="171"/>
      <c r="J41" s="162"/>
      <c r="K41" s="162"/>
      <c r="L41" s="64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</row>
    <row r="42" spans="1:64" s="94" customFormat="1" ht="87">
      <c r="A42" s="172" t="s">
        <v>688</v>
      </c>
      <c r="B42" s="173"/>
      <c r="C42" s="173"/>
      <c r="D42" s="173"/>
      <c r="E42" s="173"/>
      <c r="F42" s="173"/>
      <c r="G42" s="173">
        <v>5840000</v>
      </c>
      <c r="H42" s="173"/>
      <c r="I42" s="171">
        <f>SUM(B42:H42)</f>
        <v>5840000</v>
      </c>
      <c r="J42" s="162" t="s">
        <v>416</v>
      </c>
      <c r="K42" s="162" t="s">
        <v>417</v>
      </c>
      <c r="L42" s="224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</row>
    <row r="43" spans="1:64" s="94" customFormat="1" ht="42">
      <c r="A43" s="551" t="s">
        <v>418</v>
      </c>
      <c r="B43" s="173"/>
      <c r="C43" s="173"/>
      <c r="D43" s="173"/>
      <c r="E43" s="173"/>
      <c r="F43" s="173"/>
      <c r="G43" s="173"/>
      <c r="H43" s="173"/>
      <c r="I43" s="171"/>
      <c r="J43" s="162"/>
      <c r="K43" s="162"/>
      <c r="L43" s="224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</row>
    <row r="44" spans="1:64" s="94" customFormat="1" ht="44.25" customHeight="1">
      <c r="A44" s="172" t="s">
        <v>419</v>
      </c>
      <c r="B44" s="173"/>
      <c r="C44" s="173"/>
      <c r="D44" s="173"/>
      <c r="E44" s="173"/>
      <c r="F44" s="173"/>
      <c r="G44" s="173">
        <v>183290</v>
      </c>
      <c r="H44" s="173"/>
      <c r="I44" s="171">
        <f aca="true" t="shared" si="2" ref="I44:I51">SUM(B44:H44)</f>
        <v>183290</v>
      </c>
      <c r="J44" s="162" t="s">
        <v>27</v>
      </c>
      <c r="K44" s="162" t="s">
        <v>420</v>
      </c>
      <c r="L44" s="224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</row>
    <row r="45" spans="1:64" s="94" customFormat="1" ht="43.5">
      <c r="A45" s="172" t="s">
        <v>421</v>
      </c>
      <c r="B45" s="173"/>
      <c r="C45" s="173"/>
      <c r="D45" s="173"/>
      <c r="E45" s="173"/>
      <c r="F45" s="173">
        <v>109508</v>
      </c>
      <c r="G45" s="173"/>
      <c r="H45" s="173"/>
      <c r="I45" s="667">
        <f t="shared" si="2"/>
        <v>109508</v>
      </c>
      <c r="J45" s="176" t="s">
        <v>27</v>
      </c>
      <c r="K45" s="176" t="s">
        <v>220</v>
      </c>
      <c r="L45" s="224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6" spans="1:64" s="94" customFormat="1" ht="21.75">
      <c r="A46" s="643" t="s">
        <v>422</v>
      </c>
      <c r="B46" s="301"/>
      <c r="C46" s="301"/>
      <c r="D46" s="301"/>
      <c r="E46" s="301"/>
      <c r="F46" s="301"/>
      <c r="G46" s="301"/>
      <c r="H46" s="301"/>
      <c r="I46" s="171"/>
      <c r="J46" s="162"/>
      <c r="K46" s="162"/>
      <c r="L46" s="64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7" spans="1:64" s="94" customFormat="1" ht="43.5">
      <c r="A47" s="172" t="s">
        <v>423</v>
      </c>
      <c r="B47" s="173"/>
      <c r="C47" s="173"/>
      <c r="D47" s="173"/>
      <c r="E47" s="173"/>
      <c r="F47" s="173"/>
      <c r="G47" s="173"/>
      <c r="H47" s="173">
        <v>718850</v>
      </c>
      <c r="I47" s="171">
        <f t="shared" si="2"/>
        <v>718850</v>
      </c>
      <c r="J47" s="162" t="s">
        <v>36</v>
      </c>
      <c r="K47" s="176" t="s">
        <v>82</v>
      </c>
      <c r="L47" s="224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</row>
    <row r="48" spans="1:64" s="94" customFormat="1" ht="43.5">
      <c r="A48" s="172" t="s">
        <v>424</v>
      </c>
      <c r="B48" s="173"/>
      <c r="C48" s="173"/>
      <c r="D48" s="173"/>
      <c r="E48" s="173"/>
      <c r="F48" s="173"/>
      <c r="G48" s="173"/>
      <c r="H48" s="173">
        <v>158800</v>
      </c>
      <c r="I48" s="171">
        <f t="shared" si="2"/>
        <v>158800</v>
      </c>
      <c r="J48" s="162" t="s">
        <v>36</v>
      </c>
      <c r="K48" s="176" t="s">
        <v>82</v>
      </c>
      <c r="L48" s="224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</row>
    <row r="49" spans="1:64" s="94" customFormat="1" ht="43.5">
      <c r="A49" s="172" t="s">
        <v>425</v>
      </c>
      <c r="B49" s="173"/>
      <c r="C49" s="173"/>
      <c r="D49" s="173"/>
      <c r="E49" s="173"/>
      <c r="F49" s="173"/>
      <c r="G49" s="173"/>
      <c r="H49" s="173">
        <v>11628</v>
      </c>
      <c r="I49" s="171">
        <f t="shared" si="2"/>
        <v>11628</v>
      </c>
      <c r="J49" s="162" t="s">
        <v>36</v>
      </c>
      <c r="K49" s="176" t="s">
        <v>82</v>
      </c>
      <c r="L49" s="224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</row>
    <row r="50" spans="1:64" s="94" customFormat="1" ht="43.5">
      <c r="A50" s="172" t="s">
        <v>426</v>
      </c>
      <c r="B50" s="173"/>
      <c r="C50" s="479"/>
      <c r="D50" s="173"/>
      <c r="E50" s="173"/>
      <c r="F50" s="173"/>
      <c r="G50" s="173"/>
      <c r="H50" s="173">
        <v>27391</v>
      </c>
      <c r="I50" s="171">
        <f t="shared" si="2"/>
        <v>27391</v>
      </c>
      <c r="J50" s="162" t="s">
        <v>36</v>
      </c>
      <c r="K50" s="176" t="s">
        <v>82</v>
      </c>
      <c r="L50" s="224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</row>
    <row r="51" spans="1:64" s="94" customFormat="1" ht="43.5">
      <c r="A51" s="172" t="s">
        <v>427</v>
      </c>
      <c r="B51" s="173"/>
      <c r="C51" s="173"/>
      <c r="D51" s="173"/>
      <c r="E51" s="173"/>
      <c r="F51" s="173"/>
      <c r="G51" s="173"/>
      <c r="H51" s="173">
        <v>38517</v>
      </c>
      <c r="I51" s="667">
        <f t="shared" si="2"/>
        <v>38517</v>
      </c>
      <c r="J51" s="176" t="s">
        <v>36</v>
      </c>
      <c r="K51" s="176" t="s">
        <v>82</v>
      </c>
      <c r="L51" s="224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64" s="94" customFormat="1" ht="21.75">
      <c r="A52" s="643" t="s">
        <v>429</v>
      </c>
      <c r="B52" s="301"/>
      <c r="C52" s="301"/>
      <c r="D52" s="301"/>
      <c r="E52" s="301"/>
      <c r="F52" s="301"/>
      <c r="G52" s="301"/>
      <c r="H52" s="301"/>
      <c r="I52" s="171"/>
      <c r="J52" s="162"/>
      <c r="K52" s="162"/>
      <c r="L52" s="64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s="94" customFormat="1" ht="108.75">
      <c r="A53" s="172" t="s">
        <v>431</v>
      </c>
      <c r="B53" s="173"/>
      <c r="C53" s="173"/>
      <c r="D53" s="173">
        <v>20186</v>
      </c>
      <c r="E53" s="173">
        <v>20186</v>
      </c>
      <c r="F53" s="173"/>
      <c r="G53" s="173">
        <f>20186*7</f>
        <v>141302</v>
      </c>
      <c r="H53" s="173"/>
      <c r="I53" s="667">
        <f aca="true" t="shared" si="3" ref="I53:I183">SUM(B53:H53)</f>
        <v>181674</v>
      </c>
      <c r="J53" s="176" t="s">
        <v>147</v>
      </c>
      <c r="K53" s="176" t="s">
        <v>430</v>
      </c>
      <c r="L53" s="224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s="94" customFormat="1" ht="42">
      <c r="A54" s="643" t="s">
        <v>432</v>
      </c>
      <c r="B54" s="301"/>
      <c r="C54" s="301"/>
      <c r="D54" s="301"/>
      <c r="E54" s="301"/>
      <c r="F54" s="301"/>
      <c r="G54" s="301"/>
      <c r="H54" s="301"/>
      <c r="I54" s="171"/>
      <c r="J54" s="162"/>
      <c r="K54" s="162"/>
      <c r="L54" s="642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64" s="94" customFormat="1" ht="87">
      <c r="A55" s="172" t="s">
        <v>433</v>
      </c>
      <c r="B55" s="173">
        <f>32263*4</f>
        <v>129052</v>
      </c>
      <c r="C55" s="173"/>
      <c r="D55" s="173">
        <f>32263*7</f>
        <v>225841</v>
      </c>
      <c r="E55" s="173">
        <v>129052</v>
      </c>
      <c r="F55" s="173">
        <v>387155</v>
      </c>
      <c r="G55" s="173">
        <v>1290500</v>
      </c>
      <c r="H55" s="173"/>
      <c r="I55" s="171">
        <f t="shared" si="3"/>
        <v>2161600</v>
      </c>
      <c r="J55" s="162" t="s">
        <v>36</v>
      </c>
      <c r="K55" s="162" t="s">
        <v>434</v>
      </c>
      <c r="L55" s="224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64" s="94" customFormat="1" ht="32.25" customHeight="1">
      <c r="A56" s="176" t="s">
        <v>435</v>
      </c>
      <c r="B56" s="173"/>
      <c r="C56" s="173"/>
      <c r="D56" s="173"/>
      <c r="E56" s="173"/>
      <c r="F56" s="173"/>
      <c r="G56" s="173">
        <v>30000</v>
      </c>
      <c r="H56" s="173"/>
      <c r="I56" s="171">
        <f t="shared" si="3"/>
        <v>30000</v>
      </c>
      <c r="J56" s="162" t="s">
        <v>27</v>
      </c>
      <c r="K56" s="162" t="s">
        <v>436</v>
      </c>
      <c r="L56" s="224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64" s="94" customFormat="1" ht="55.5" customHeight="1">
      <c r="A57" s="172" t="s">
        <v>687</v>
      </c>
      <c r="B57" s="173"/>
      <c r="C57" s="173"/>
      <c r="D57" s="173"/>
      <c r="E57" s="173"/>
      <c r="F57" s="173"/>
      <c r="G57" s="173">
        <v>264000</v>
      </c>
      <c r="H57" s="173"/>
      <c r="I57" s="171">
        <f t="shared" si="3"/>
        <v>264000</v>
      </c>
      <c r="J57" s="162" t="s">
        <v>27</v>
      </c>
      <c r="K57" s="162" t="s">
        <v>390</v>
      </c>
      <c r="L57" s="224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</row>
    <row r="58" spans="1:64" s="94" customFormat="1" ht="108.75">
      <c r="A58" s="172" t="s">
        <v>689</v>
      </c>
      <c r="B58" s="173">
        <v>2277147.83</v>
      </c>
      <c r="C58" s="173"/>
      <c r="D58" s="173"/>
      <c r="E58" s="173"/>
      <c r="F58" s="173"/>
      <c r="G58" s="173"/>
      <c r="H58" s="173"/>
      <c r="I58" s="171">
        <f t="shared" si="3"/>
        <v>2277147.83</v>
      </c>
      <c r="J58" s="162" t="s">
        <v>36</v>
      </c>
      <c r="K58" s="162" t="s">
        <v>437</v>
      </c>
      <c r="L58" s="224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1:64" s="94" customFormat="1" ht="89.25" customHeight="1">
      <c r="A59" s="176" t="s">
        <v>438</v>
      </c>
      <c r="B59" s="173"/>
      <c r="C59" s="173"/>
      <c r="D59" s="173"/>
      <c r="E59" s="173"/>
      <c r="F59" s="173"/>
      <c r="G59" s="173">
        <v>70000</v>
      </c>
      <c r="H59" s="173"/>
      <c r="I59" s="171">
        <f t="shared" si="3"/>
        <v>70000</v>
      </c>
      <c r="J59" s="162" t="s">
        <v>147</v>
      </c>
      <c r="K59" s="162" t="s">
        <v>439</v>
      </c>
      <c r="L59" s="224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64" s="94" customFormat="1" ht="46.5" customHeight="1">
      <c r="A60" s="552" t="s">
        <v>440</v>
      </c>
      <c r="B60" s="173"/>
      <c r="C60" s="173"/>
      <c r="D60" s="173"/>
      <c r="E60" s="173"/>
      <c r="F60" s="173"/>
      <c r="G60" s="173">
        <v>195000</v>
      </c>
      <c r="H60" s="173"/>
      <c r="I60" s="171">
        <f t="shared" si="3"/>
        <v>195000</v>
      </c>
      <c r="J60" s="162" t="s">
        <v>28</v>
      </c>
      <c r="K60" s="162" t="s">
        <v>441</v>
      </c>
      <c r="L60" s="224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s="94" customFormat="1" ht="24.75" customHeight="1">
      <c r="A61" s="172" t="s">
        <v>443</v>
      </c>
      <c r="B61" s="173"/>
      <c r="C61" s="173"/>
      <c r="D61" s="173"/>
      <c r="E61" s="173"/>
      <c r="F61" s="173"/>
      <c r="G61" s="173">
        <v>100000</v>
      </c>
      <c r="H61" s="173"/>
      <c r="I61" s="171">
        <f t="shared" si="3"/>
        <v>100000</v>
      </c>
      <c r="J61" s="162" t="s">
        <v>28</v>
      </c>
      <c r="K61" s="162" t="s">
        <v>442</v>
      </c>
      <c r="L61" s="224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s="94" customFormat="1" ht="43.5">
      <c r="A62" s="172" t="s">
        <v>444</v>
      </c>
      <c r="B62" s="173"/>
      <c r="C62" s="173"/>
      <c r="D62" s="173"/>
      <c r="E62" s="173"/>
      <c r="F62" s="173"/>
      <c r="G62" s="173">
        <v>50000</v>
      </c>
      <c r="H62" s="173"/>
      <c r="I62" s="171">
        <f t="shared" si="3"/>
        <v>50000</v>
      </c>
      <c r="J62" s="162" t="s">
        <v>28</v>
      </c>
      <c r="K62" s="162" t="s">
        <v>445</v>
      </c>
      <c r="L62" s="224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64" s="94" customFormat="1" ht="68.25" customHeight="1">
      <c r="A63" s="172" t="s">
        <v>446</v>
      </c>
      <c r="B63" s="173"/>
      <c r="C63" s="173"/>
      <c r="D63" s="173"/>
      <c r="E63" s="173"/>
      <c r="F63" s="173"/>
      <c r="G63" s="173">
        <v>12000</v>
      </c>
      <c r="H63" s="173"/>
      <c r="I63" s="171">
        <f t="shared" si="3"/>
        <v>12000</v>
      </c>
      <c r="J63" s="162" t="s">
        <v>28</v>
      </c>
      <c r="K63" s="162" t="s">
        <v>447</v>
      </c>
      <c r="L63" s="224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64" s="94" customFormat="1" ht="22.5" customHeight="1">
      <c r="A64" s="172" t="s">
        <v>448</v>
      </c>
      <c r="B64" s="173"/>
      <c r="C64" s="173"/>
      <c r="D64" s="173"/>
      <c r="E64" s="173"/>
      <c r="F64" s="173"/>
      <c r="G64" s="173"/>
      <c r="H64" s="173">
        <v>33470.75</v>
      </c>
      <c r="I64" s="171">
        <f t="shared" si="3"/>
        <v>33470.75</v>
      </c>
      <c r="J64" s="162" t="s">
        <v>36</v>
      </c>
      <c r="K64" s="162" t="s">
        <v>113</v>
      </c>
      <c r="L64" s="224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64" s="94" customFormat="1" ht="24.75" customHeight="1">
      <c r="A65" s="172" t="s">
        <v>449</v>
      </c>
      <c r="B65" s="173"/>
      <c r="C65" s="173"/>
      <c r="D65" s="173"/>
      <c r="E65" s="173"/>
      <c r="F65" s="173"/>
      <c r="G65" s="173"/>
      <c r="H65" s="173">
        <v>18730</v>
      </c>
      <c r="I65" s="171">
        <f t="shared" si="3"/>
        <v>18730</v>
      </c>
      <c r="J65" s="162" t="s">
        <v>36</v>
      </c>
      <c r="K65" s="162" t="s">
        <v>113</v>
      </c>
      <c r="L65" s="224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s="94" customFormat="1" ht="23.25" customHeight="1">
      <c r="A66" s="176" t="s">
        <v>399</v>
      </c>
      <c r="B66" s="173"/>
      <c r="C66" s="173"/>
      <c r="D66" s="173"/>
      <c r="E66" s="173"/>
      <c r="F66" s="173"/>
      <c r="G66" s="173"/>
      <c r="H66" s="173">
        <v>30056</v>
      </c>
      <c r="I66" s="667">
        <f t="shared" si="3"/>
        <v>30056</v>
      </c>
      <c r="J66" s="176" t="s">
        <v>36</v>
      </c>
      <c r="K66" s="176" t="s">
        <v>113</v>
      </c>
      <c r="L66" s="164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s="94" customFormat="1" ht="21.75">
      <c r="A67" s="643" t="s">
        <v>450</v>
      </c>
      <c r="B67" s="301"/>
      <c r="C67" s="301"/>
      <c r="D67" s="301"/>
      <c r="E67" s="301"/>
      <c r="F67" s="301"/>
      <c r="G67" s="301"/>
      <c r="H67" s="301"/>
      <c r="I67" s="171"/>
      <c r="J67" s="162"/>
      <c r="K67" s="162"/>
      <c r="L67" s="64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64" s="94" customFormat="1" ht="69.75" customHeight="1">
      <c r="A68" s="176" t="s">
        <v>451</v>
      </c>
      <c r="B68" s="173"/>
      <c r="C68" s="173">
        <v>9000</v>
      </c>
      <c r="D68" s="173"/>
      <c r="E68" s="173"/>
      <c r="F68" s="173"/>
      <c r="G68" s="173"/>
      <c r="H68" s="173"/>
      <c r="I68" s="667">
        <f t="shared" si="3"/>
        <v>9000</v>
      </c>
      <c r="J68" s="176" t="s">
        <v>352</v>
      </c>
      <c r="K68" s="176" t="s">
        <v>452</v>
      </c>
      <c r="L68" s="164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s="94" customFormat="1" ht="42">
      <c r="A69" s="670" t="s">
        <v>453</v>
      </c>
      <c r="B69" s="301"/>
      <c r="C69" s="301"/>
      <c r="D69" s="301"/>
      <c r="E69" s="301"/>
      <c r="F69" s="301"/>
      <c r="G69" s="301"/>
      <c r="H69" s="301"/>
      <c r="I69" s="171"/>
      <c r="J69" s="162"/>
      <c r="K69" s="162"/>
      <c r="L69" s="64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64" s="94" customFormat="1" ht="108.75">
      <c r="A70" s="172" t="s">
        <v>454</v>
      </c>
      <c r="B70" s="173">
        <v>1040000</v>
      </c>
      <c r="C70" s="173"/>
      <c r="D70" s="173"/>
      <c r="E70" s="173"/>
      <c r="F70" s="173"/>
      <c r="G70" s="173"/>
      <c r="H70" s="173"/>
      <c r="I70" s="171">
        <f t="shared" si="3"/>
        <v>1040000</v>
      </c>
      <c r="J70" s="162" t="s">
        <v>27</v>
      </c>
      <c r="K70" s="176" t="s">
        <v>455</v>
      </c>
      <c r="L70" s="224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64" s="94" customFormat="1" ht="29.25" customHeight="1">
      <c r="A71" s="174" t="s">
        <v>456</v>
      </c>
      <c r="B71" s="173"/>
      <c r="C71" s="173"/>
      <c r="D71" s="173"/>
      <c r="E71" s="173"/>
      <c r="F71" s="173"/>
      <c r="G71" s="173"/>
      <c r="H71" s="173"/>
      <c r="I71" s="171"/>
      <c r="J71" s="162"/>
      <c r="K71" s="176"/>
      <c r="L71" s="224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64" s="94" customFormat="1" ht="43.5">
      <c r="A72" s="172" t="s">
        <v>399</v>
      </c>
      <c r="B72" s="173"/>
      <c r="C72" s="173"/>
      <c r="D72" s="173"/>
      <c r="E72" s="173"/>
      <c r="F72" s="173"/>
      <c r="G72" s="173"/>
      <c r="H72" s="173">
        <v>11347.5</v>
      </c>
      <c r="I72" s="171">
        <f t="shared" si="3"/>
        <v>11347.5</v>
      </c>
      <c r="J72" s="162" t="s">
        <v>36</v>
      </c>
      <c r="K72" s="176" t="s">
        <v>113</v>
      </c>
      <c r="L72" s="224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64" s="94" customFormat="1" ht="87">
      <c r="A73" s="176" t="s">
        <v>458</v>
      </c>
      <c r="B73" s="173">
        <v>183000</v>
      </c>
      <c r="C73" s="173"/>
      <c r="D73" s="173"/>
      <c r="E73" s="173"/>
      <c r="F73" s="173"/>
      <c r="G73" s="173"/>
      <c r="H73" s="173"/>
      <c r="I73" s="667">
        <f t="shared" si="3"/>
        <v>183000</v>
      </c>
      <c r="J73" s="176" t="s">
        <v>27</v>
      </c>
      <c r="K73" s="176" t="s">
        <v>457</v>
      </c>
      <c r="L73" s="224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64" s="94" customFormat="1" ht="21.75">
      <c r="A74" s="643" t="s">
        <v>459</v>
      </c>
      <c r="B74" s="630"/>
      <c r="C74" s="630"/>
      <c r="D74" s="630"/>
      <c r="E74" s="630"/>
      <c r="F74" s="630"/>
      <c r="G74" s="630"/>
      <c r="H74" s="301"/>
      <c r="I74" s="171"/>
      <c r="J74" s="162"/>
      <c r="K74" s="162"/>
      <c r="L74" s="644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64" s="94" customFormat="1" ht="43.5">
      <c r="A75" s="176" t="s">
        <v>460</v>
      </c>
      <c r="B75" s="173">
        <v>478638.5</v>
      </c>
      <c r="C75" s="173">
        <v>478638.5</v>
      </c>
      <c r="D75" s="173">
        <v>478638.5</v>
      </c>
      <c r="E75" s="173">
        <v>478638.5</v>
      </c>
      <c r="F75" s="173">
        <v>478638.5</v>
      </c>
      <c r="G75" s="173">
        <v>3829107.5</v>
      </c>
      <c r="H75" s="173"/>
      <c r="I75" s="667">
        <f t="shared" si="3"/>
        <v>6222300</v>
      </c>
      <c r="J75" s="176" t="s">
        <v>36</v>
      </c>
      <c r="K75" s="176" t="s">
        <v>461</v>
      </c>
      <c r="L75" s="224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64" s="94" customFormat="1" ht="21.75">
      <c r="A76" s="643" t="s">
        <v>462</v>
      </c>
      <c r="B76" s="301"/>
      <c r="C76" s="301"/>
      <c r="D76" s="301"/>
      <c r="E76" s="301"/>
      <c r="F76" s="301"/>
      <c r="G76" s="301"/>
      <c r="H76" s="301"/>
      <c r="I76" s="171"/>
      <c r="J76" s="162"/>
      <c r="K76" s="162"/>
      <c r="L76" s="64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64" s="94" customFormat="1" ht="41.25" customHeight="1">
      <c r="A77" s="172" t="s">
        <v>463</v>
      </c>
      <c r="B77" s="173"/>
      <c r="C77" s="173"/>
      <c r="D77" s="173"/>
      <c r="E77" s="173"/>
      <c r="F77" s="173"/>
      <c r="G77" s="173"/>
      <c r="H77" s="173"/>
      <c r="I77" s="171"/>
      <c r="J77" s="162"/>
      <c r="K77" s="176"/>
      <c r="L77" s="224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64" s="94" customFormat="1" ht="43.5">
      <c r="A78" s="172" t="s">
        <v>465</v>
      </c>
      <c r="B78" s="173">
        <f>120000+224000+132000+220000+220000</f>
        <v>916000</v>
      </c>
      <c r="C78" s="173"/>
      <c r="D78" s="173">
        <f>224000+156000+156000</f>
        <v>536000</v>
      </c>
      <c r="E78" s="173">
        <f>120000+50000</f>
        <v>170000</v>
      </c>
      <c r="F78" s="173"/>
      <c r="G78" s="173">
        <f>120000+50000</f>
        <v>170000</v>
      </c>
      <c r="H78" s="173"/>
      <c r="I78" s="553">
        <f>SUM(B78:H78)</f>
        <v>1792000</v>
      </c>
      <c r="J78" s="162" t="s">
        <v>36</v>
      </c>
      <c r="K78" s="176" t="s">
        <v>565</v>
      </c>
      <c r="L78" s="224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</row>
    <row r="79" spans="1:64" s="94" customFormat="1" ht="43.5">
      <c r="A79" s="172" t="s">
        <v>468</v>
      </c>
      <c r="B79" s="173">
        <f>120000+120000</f>
        <v>240000</v>
      </c>
      <c r="C79" s="173"/>
      <c r="D79" s="173">
        <v>112000</v>
      </c>
      <c r="E79" s="173">
        <f>91000+91000</f>
        <v>182000</v>
      </c>
      <c r="F79" s="173"/>
      <c r="G79" s="173">
        <f>120000+200000+50000+240000+91000+240000+100000</f>
        <v>1041000</v>
      </c>
      <c r="H79" s="173"/>
      <c r="I79" s="553">
        <f>SUM(B79:H79)</f>
        <v>1575000</v>
      </c>
      <c r="J79" s="162" t="s">
        <v>28</v>
      </c>
      <c r="K79" s="176" t="s">
        <v>566</v>
      </c>
      <c r="L79" s="224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</row>
    <row r="80" spans="1:64" s="94" customFormat="1" ht="43.5">
      <c r="A80" s="172" t="s">
        <v>464</v>
      </c>
      <c r="B80" s="173">
        <f>120000+120000</f>
        <v>240000</v>
      </c>
      <c r="C80" s="173"/>
      <c r="D80" s="173"/>
      <c r="E80" s="173">
        <v>120000</v>
      </c>
      <c r="F80" s="173"/>
      <c r="G80" s="173">
        <f>156000+132000+132000</f>
        <v>420000</v>
      </c>
      <c r="H80" s="173"/>
      <c r="I80" s="553">
        <f>SUM(B80:H80)</f>
        <v>780000</v>
      </c>
      <c r="J80" s="162" t="s">
        <v>416</v>
      </c>
      <c r="K80" s="176" t="s">
        <v>94</v>
      </c>
      <c r="L80" s="538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s="94" customFormat="1" ht="43.5">
      <c r="A81" s="172" t="s">
        <v>464</v>
      </c>
      <c r="B81" s="173">
        <v>120000</v>
      </c>
      <c r="C81" s="173"/>
      <c r="D81" s="173"/>
      <c r="E81" s="173"/>
      <c r="F81" s="173"/>
      <c r="G81" s="173">
        <v>156000</v>
      </c>
      <c r="H81" s="173"/>
      <c r="I81" s="553">
        <f>SUM(B81:H81)</f>
        <v>276000</v>
      </c>
      <c r="J81" s="162" t="s">
        <v>466</v>
      </c>
      <c r="K81" s="176" t="s">
        <v>467</v>
      </c>
      <c r="L81" s="538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s="94" customFormat="1" ht="43.5">
      <c r="A82" s="172" t="s">
        <v>469</v>
      </c>
      <c r="B82" s="173">
        <f>120000+120000+120000</f>
        <v>360000</v>
      </c>
      <c r="C82" s="173"/>
      <c r="D82" s="173">
        <v>120000</v>
      </c>
      <c r="E82" s="173"/>
      <c r="F82" s="173">
        <f>112000+91000+112000</f>
        <v>315000</v>
      </c>
      <c r="G82" s="173">
        <f>120000+112000+91000+91000+120000+120000</f>
        <v>654000</v>
      </c>
      <c r="H82" s="173"/>
      <c r="I82" s="553">
        <f>SUM(B82:H82)</f>
        <v>1449000</v>
      </c>
      <c r="J82" s="162" t="s">
        <v>27</v>
      </c>
      <c r="K82" s="176" t="s">
        <v>567</v>
      </c>
      <c r="L82" s="538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</row>
    <row r="83" spans="1:64" s="94" customFormat="1" ht="43.5">
      <c r="A83" s="172" t="s">
        <v>464</v>
      </c>
      <c r="B83" s="173">
        <v>240000</v>
      </c>
      <c r="C83" s="173"/>
      <c r="D83" s="173">
        <v>120000</v>
      </c>
      <c r="E83" s="173"/>
      <c r="F83" s="173"/>
      <c r="G83" s="173"/>
      <c r="H83" s="173"/>
      <c r="I83" s="669">
        <f aca="true" t="shared" si="4" ref="I83:I92">SUM(B83:H83)</f>
        <v>360000</v>
      </c>
      <c r="J83" s="176" t="s">
        <v>470</v>
      </c>
      <c r="K83" s="176" t="s">
        <v>390</v>
      </c>
      <c r="L83" s="538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s="94" customFormat="1" ht="24" customHeight="1">
      <c r="A84" s="643" t="s">
        <v>471</v>
      </c>
      <c r="B84" s="301"/>
      <c r="C84" s="301"/>
      <c r="D84" s="301"/>
      <c r="E84" s="301"/>
      <c r="F84" s="301"/>
      <c r="G84" s="301"/>
      <c r="H84" s="301"/>
      <c r="I84" s="553"/>
      <c r="J84" s="162"/>
      <c r="K84" s="162"/>
      <c r="L84" s="645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s="94" customFormat="1" ht="108.75">
      <c r="A85" s="176" t="s">
        <v>690</v>
      </c>
      <c r="B85" s="173">
        <v>3000000</v>
      </c>
      <c r="C85" s="173"/>
      <c r="D85" s="173"/>
      <c r="E85" s="173"/>
      <c r="F85" s="173"/>
      <c r="G85" s="173"/>
      <c r="H85" s="173"/>
      <c r="I85" s="171">
        <f t="shared" si="4"/>
        <v>3000000</v>
      </c>
      <c r="J85" s="162" t="s">
        <v>147</v>
      </c>
      <c r="K85" s="176" t="s">
        <v>564</v>
      </c>
      <c r="L85" s="224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</row>
    <row r="86" spans="1:64" s="94" customFormat="1" ht="43.5">
      <c r="A86" s="176" t="s">
        <v>464</v>
      </c>
      <c r="B86" s="173">
        <v>3000000</v>
      </c>
      <c r="C86" s="173"/>
      <c r="D86" s="173"/>
      <c r="E86" s="173"/>
      <c r="F86" s="173"/>
      <c r="G86" s="173"/>
      <c r="H86" s="173"/>
      <c r="I86" s="171">
        <f t="shared" si="4"/>
        <v>3000000</v>
      </c>
      <c r="J86" s="162" t="s">
        <v>36</v>
      </c>
      <c r="K86" s="176" t="s">
        <v>564</v>
      </c>
      <c r="L86" s="224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s="94" customFormat="1" ht="50.25" customHeight="1">
      <c r="A87" s="176" t="s">
        <v>472</v>
      </c>
      <c r="B87" s="173"/>
      <c r="C87" s="173">
        <v>2000000</v>
      </c>
      <c r="D87" s="173"/>
      <c r="E87" s="173">
        <v>3000000</v>
      </c>
      <c r="F87" s="173"/>
      <c r="G87" s="173"/>
      <c r="H87" s="173"/>
      <c r="I87" s="171">
        <f t="shared" si="4"/>
        <v>5000000</v>
      </c>
      <c r="J87" s="162" t="s">
        <v>147</v>
      </c>
      <c r="K87" s="176" t="s">
        <v>691</v>
      </c>
      <c r="L87" s="224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</row>
    <row r="88" spans="1:64" s="94" customFormat="1" ht="56.25" customHeight="1">
      <c r="A88" s="176" t="s">
        <v>472</v>
      </c>
      <c r="B88" s="173"/>
      <c r="C88" s="173"/>
      <c r="D88" s="173"/>
      <c r="E88" s="173">
        <v>1000000</v>
      </c>
      <c r="F88" s="173"/>
      <c r="G88" s="173"/>
      <c r="H88" s="173"/>
      <c r="I88" s="667">
        <f t="shared" si="4"/>
        <v>1000000</v>
      </c>
      <c r="J88" s="176" t="s">
        <v>38</v>
      </c>
      <c r="K88" s="176" t="s">
        <v>692</v>
      </c>
      <c r="L88" s="224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</row>
    <row r="89" spans="1:64" s="94" customFormat="1" ht="21.75">
      <c r="A89" s="643" t="s">
        <v>473</v>
      </c>
      <c r="B89" s="301"/>
      <c r="C89" s="301"/>
      <c r="D89" s="301"/>
      <c r="E89" s="301"/>
      <c r="F89" s="301"/>
      <c r="G89" s="301"/>
      <c r="H89" s="301"/>
      <c r="I89" s="171"/>
      <c r="J89" s="162"/>
      <c r="K89" s="162"/>
      <c r="L89" s="642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</row>
    <row r="90" spans="1:64" s="94" customFormat="1" ht="72" customHeight="1">
      <c r="A90" s="176" t="s">
        <v>475</v>
      </c>
      <c r="B90" s="176"/>
      <c r="C90" s="176"/>
      <c r="D90" s="173"/>
      <c r="E90" s="173"/>
      <c r="F90" s="173"/>
      <c r="G90" s="173">
        <v>350000</v>
      </c>
      <c r="H90" s="173"/>
      <c r="I90" s="667">
        <f t="shared" si="4"/>
        <v>350000</v>
      </c>
      <c r="J90" s="176" t="s">
        <v>27</v>
      </c>
      <c r="K90" s="176" t="s">
        <v>474</v>
      </c>
      <c r="L90" s="164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</row>
    <row r="91" spans="1:64" s="94" customFormat="1" ht="42">
      <c r="A91" s="643" t="s">
        <v>476</v>
      </c>
      <c r="B91" s="301"/>
      <c r="C91" s="301"/>
      <c r="D91" s="301"/>
      <c r="E91" s="301"/>
      <c r="F91" s="301"/>
      <c r="G91" s="301"/>
      <c r="H91" s="301"/>
      <c r="I91" s="171"/>
      <c r="J91" s="162"/>
      <c r="K91" s="162"/>
      <c r="L91" s="642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</row>
    <row r="92" spans="1:64" s="94" customFormat="1" ht="68.25" customHeight="1">
      <c r="A92" s="172" t="s">
        <v>477</v>
      </c>
      <c r="B92" s="173"/>
      <c r="C92" s="173"/>
      <c r="D92" s="173"/>
      <c r="E92" s="173"/>
      <c r="F92" s="173"/>
      <c r="G92" s="173">
        <v>63000</v>
      </c>
      <c r="H92" s="173"/>
      <c r="I92" s="667">
        <f t="shared" si="4"/>
        <v>63000</v>
      </c>
      <c r="J92" s="176" t="s">
        <v>27</v>
      </c>
      <c r="K92" s="176" t="s">
        <v>693</v>
      </c>
      <c r="L92" s="224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</row>
    <row r="93" spans="1:64" s="94" customFormat="1" ht="42">
      <c r="A93" s="670" t="s">
        <v>478</v>
      </c>
      <c r="B93" s="301"/>
      <c r="C93" s="301"/>
      <c r="D93" s="301"/>
      <c r="E93" s="301"/>
      <c r="F93" s="301"/>
      <c r="G93" s="301"/>
      <c r="H93" s="301"/>
      <c r="I93" s="171"/>
      <c r="J93" s="162"/>
      <c r="K93" s="162"/>
      <c r="L93" s="642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</row>
    <row r="94" spans="1:64" s="94" customFormat="1" ht="43.5">
      <c r="A94" s="172" t="s">
        <v>479</v>
      </c>
      <c r="B94" s="173">
        <v>4511139</v>
      </c>
      <c r="C94" s="173"/>
      <c r="D94" s="173">
        <v>5183314</v>
      </c>
      <c r="E94" s="173">
        <v>1479031</v>
      </c>
      <c r="F94" s="173">
        <v>341100</v>
      </c>
      <c r="G94" s="173">
        <v>18385926</v>
      </c>
      <c r="H94" s="173"/>
      <c r="I94" s="171">
        <f>SUM(B94:H94)</f>
        <v>29900510</v>
      </c>
      <c r="J94" s="162" t="s">
        <v>36</v>
      </c>
      <c r="K94" s="176" t="s">
        <v>480</v>
      </c>
      <c r="L94" s="649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</row>
    <row r="95" spans="1:64" s="94" customFormat="1" ht="43.5">
      <c r="A95" s="172" t="s">
        <v>484</v>
      </c>
      <c r="B95" s="173"/>
      <c r="C95" s="173"/>
      <c r="D95" s="173"/>
      <c r="E95" s="173"/>
      <c r="F95" s="173"/>
      <c r="G95" s="173"/>
      <c r="H95" s="173">
        <v>11450</v>
      </c>
      <c r="I95" s="171">
        <f>SUM(B95:H95)</f>
        <v>11450</v>
      </c>
      <c r="J95" s="162" t="s">
        <v>36</v>
      </c>
      <c r="K95" s="176" t="s">
        <v>113</v>
      </c>
      <c r="L95" s="224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</row>
    <row r="96" spans="1:64" s="94" customFormat="1" ht="43.5">
      <c r="A96" s="172" t="s">
        <v>481</v>
      </c>
      <c r="B96" s="173"/>
      <c r="C96" s="173"/>
      <c r="D96" s="173"/>
      <c r="E96" s="173"/>
      <c r="F96" s="173"/>
      <c r="G96" s="173"/>
      <c r="H96" s="173">
        <v>206861.1</v>
      </c>
      <c r="I96" s="171">
        <f t="shared" si="3"/>
        <v>206861.1</v>
      </c>
      <c r="J96" s="162" t="s">
        <v>36</v>
      </c>
      <c r="K96" s="176" t="s">
        <v>113</v>
      </c>
      <c r="L96" s="224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</row>
    <row r="97" spans="1:64" s="94" customFormat="1" ht="43.5">
      <c r="A97" s="172" t="s">
        <v>482</v>
      </c>
      <c r="B97" s="173"/>
      <c r="C97" s="173"/>
      <c r="D97" s="173"/>
      <c r="E97" s="173"/>
      <c r="F97" s="173"/>
      <c r="G97" s="173"/>
      <c r="H97" s="173">
        <f>31750+33200</f>
        <v>64950</v>
      </c>
      <c r="I97" s="171">
        <f t="shared" si="3"/>
        <v>64950</v>
      </c>
      <c r="J97" s="162" t="s">
        <v>36</v>
      </c>
      <c r="K97" s="176" t="s">
        <v>113</v>
      </c>
      <c r="L97" s="224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</row>
    <row r="98" spans="1:64" s="94" customFormat="1" ht="43.5">
      <c r="A98" s="176" t="s">
        <v>483</v>
      </c>
      <c r="B98" s="173"/>
      <c r="C98" s="173"/>
      <c r="D98" s="173"/>
      <c r="E98" s="173"/>
      <c r="F98" s="173"/>
      <c r="G98" s="173"/>
      <c r="H98" s="173">
        <v>37794.41</v>
      </c>
      <c r="I98" s="667">
        <f t="shared" si="3"/>
        <v>37794.41</v>
      </c>
      <c r="J98" s="176" t="s">
        <v>36</v>
      </c>
      <c r="K98" s="176" t="s">
        <v>113</v>
      </c>
      <c r="L98" s="224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</row>
    <row r="99" spans="1:64" s="94" customFormat="1" ht="21.75">
      <c r="A99" s="643" t="s">
        <v>485</v>
      </c>
      <c r="B99" s="301"/>
      <c r="C99" s="301"/>
      <c r="D99" s="301"/>
      <c r="E99" s="301"/>
      <c r="F99" s="301"/>
      <c r="G99" s="301"/>
      <c r="H99" s="301"/>
      <c r="I99" s="171"/>
      <c r="J99" s="162"/>
      <c r="K99" s="162"/>
      <c r="L99" s="64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</row>
    <row r="100" spans="1:64" s="94" customFormat="1" ht="46.5" customHeight="1">
      <c r="A100" s="172" t="s">
        <v>486</v>
      </c>
      <c r="B100" s="173"/>
      <c r="C100" s="173">
        <v>48000</v>
      </c>
      <c r="D100" s="173"/>
      <c r="E100" s="173"/>
      <c r="F100" s="173"/>
      <c r="G100" s="173"/>
      <c r="H100" s="173"/>
      <c r="I100" s="171">
        <f t="shared" si="3"/>
        <v>48000</v>
      </c>
      <c r="J100" s="162" t="s">
        <v>147</v>
      </c>
      <c r="K100" s="176" t="s">
        <v>39</v>
      </c>
      <c r="L100" s="224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</row>
    <row r="101" spans="1:64" s="94" customFormat="1" ht="42">
      <c r="A101" s="551" t="s">
        <v>487</v>
      </c>
      <c r="B101" s="173"/>
      <c r="C101" s="173"/>
      <c r="D101" s="173"/>
      <c r="E101" s="173"/>
      <c r="F101" s="173"/>
      <c r="G101" s="173"/>
      <c r="H101" s="173"/>
      <c r="I101" s="171"/>
      <c r="J101" s="162"/>
      <c r="K101" s="176"/>
      <c r="L101" s="224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</row>
    <row r="102" spans="1:64" s="94" customFormat="1" ht="65.25">
      <c r="A102" s="172" t="s">
        <v>488</v>
      </c>
      <c r="B102" s="173">
        <v>899581</v>
      </c>
      <c r="C102" s="173"/>
      <c r="D102" s="173"/>
      <c r="E102" s="173"/>
      <c r="F102" s="173"/>
      <c r="G102" s="173"/>
      <c r="H102" s="173"/>
      <c r="I102" s="667">
        <f t="shared" si="3"/>
        <v>899581</v>
      </c>
      <c r="J102" s="176" t="s">
        <v>36</v>
      </c>
      <c r="K102" s="176" t="s">
        <v>474</v>
      </c>
      <c r="L102" s="224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</row>
    <row r="103" spans="1:64" s="94" customFormat="1" ht="42">
      <c r="A103" s="643" t="s">
        <v>478</v>
      </c>
      <c r="B103" s="301"/>
      <c r="C103" s="301"/>
      <c r="D103" s="301"/>
      <c r="E103" s="301"/>
      <c r="F103" s="301"/>
      <c r="G103" s="301"/>
      <c r="H103" s="301"/>
      <c r="I103" s="171"/>
      <c r="J103" s="162"/>
      <c r="K103" s="162"/>
      <c r="L103" s="642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</row>
    <row r="104" spans="1:64" s="94" customFormat="1" ht="65.25">
      <c r="A104" s="176" t="s">
        <v>489</v>
      </c>
      <c r="B104" s="173"/>
      <c r="C104" s="173"/>
      <c r="D104" s="173"/>
      <c r="E104" s="173"/>
      <c r="F104" s="173"/>
      <c r="G104" s="173">
        <f>995000+419000</f>
        <v>1414000</v>
      </c>
      <c r="H104" s="173"/>
      <c r="I104" s="667">
        <f t="shared" si="3"/>
        <v>1414000</v>
      </c>
      <c r="J104" s="176" t="s">
        <v>27</v>
      </c>
      <c r="K104" s="176" t="s">
        <v>574</v>
      </c>
      <c r="L104" s="164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</row>
    <row r="105" spans="1:64" s="94" customFormat="1" ht="42">
      <c r="A105" s="643" t="s">
        <v>490</v>
      </c>
      <c r="B105" s="301"/>
      <c r="C105" s="301"/>
      <c r="D105" s="301"/>
      <c r="E105" s="301"/>
      <c r="F105" s="301"/>
      <c r="G105" s="301"/>
      <c r="H105" s="301"/>
      <c r="I105" s="171"/>
      <c r="J105" s="162"/>
      <c r="K105" s="162"/>
      <c r="L105" s="642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</row>
    <row r="106" spans="1:64" s="94" customFormat="1" ht="43.5">
      <c r="A106" s="172" t="s">
        <v>448</v>
      </c>
      <c r="B106" s="173"/>
      <c r="C106" s="173"/>
      <c r="D106" s="173"/>
      <c r="E106" s="173"/>
      <c r="F106" s="173"/>
      <c r="G106" s="173"/>
      <c r="H106" s="173">
        <v>27477.65</v>
      </c>
      <c r="I106" s="171">
        <f t="shared" si="3"/>
        <v>27477.65</v>
      </c>
      <c r="J106" s="162" t="s">
        <v>36</v>
      </c>
      <c r="K106" s="176" t="s">
        <v>113</v>
      </c>
      <c r="L106" s="224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</row>
    <row r="107" spans="1:64" s="94" customFormat="1" ht="43.5">
      <c r="A107" s="172" t="s">
        <v>491</v>
      </c>
      <c r="B107" s="173"/>
      <c r="C107" s="173"/>
      <c r="D107" s="173"/>
      <c r="E107" s="173"/>
      <c r="F107" s="173"/>
      <c r="G107" s="173"/>
      <c r="H107" s="173">
        <v>11808.75</v>
      </c>
      <c r="I107" s="171">
        <f t="shared" si="3"/>
        <v>11808.75</v>
      </c>
      <c r="J107" s="162" t="s">
        <v>36</v>
      </c>
      <c r="K107" s="176" t="s">
        <v>113</v>
      </c>
      <c r="L107" s="224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</row>
    <row r="108" spans="1:64" s="94" customFormat="1" ht="43.5">
      <c r="A108" s="172" t="s">
        <v>481</v>
      </c>
      <c r="B108" s="173"/>
      <c r="C108" s="173"/>
      <c r="D108" s="173"/>
      <c r="E108" s="173"/>
      <c r="F108" s="173"/>
      <c r="G108" s="173"/>
      <c r="H108" s="173">
        <v>216156.25</v>
      </c>
      <c r="I108" s="171">
        <f t="shared" si="3"/>
        <v>216156.25</v>
      </c>
      <c r="J108" s="162" t="s">
        <v>36</v>
      </c>
      <c r="K108" s="176" t="s">
        <v>113</v>
      </c>
      <c r="L108" s="224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</row>
    <row r="109" spans="1:64" s="94" customFormat="1" ht="43.5">
      <c r="A109" s="172" t="s">
        <v>492</v>
      </c>
      <c r="B109" s="173"/>
      <c r="C109" s="173"/>
      <c r="D109" s="173"/>
      <c r="E109" s="173"/>
      <c r="F109" s="173"/>
      <c r="G109" s="173"/>
      <c r="H109" s="173">
        <v>26000</v>
      </c>
      <c r="I109" s="171">
        <f t="shared" si="3"/>
        <v>26000</v>
      </c>
      <c r="J109" s="162" t="s">
        <v>36</v>
      </c>
      <c r="K109" s="176" t="s">
        <v>113</v>
      </c>
      <c r="L109" s="224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</row>
    <row r="110" spans="1:64" s="94" customFormat="1" ht="43.5">
      <c r="A110" s="172" t="s">
        <v>493</v>
      </c>
      <c r="B110" s="173"/>
      <c r="C110" s="173"/>
      <c r="D110" s="173"/>
      <c r="E110" s="173"/>
      <c r="F110" s="173"/>
      <c r="G110" s="173"/>
      <c r="H110" s="173">
        <v>158800</v>
      </c>
      <c r="I110" s="171">
        <f t="shared" si="3"/>
        <v>158800</v>
      </c>
      <c r="J110" s="162" t="s">
        <v>36</v>
      </c>
      <c r="K110" s="176" t="s">
        <v>113</v>
      </c>
      <c r="L110" s="224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</row>
    <row r="111" spans="1:64" s="94" customFormat="1" ht="43.5">
      <c r="A111" s="172" t="s">
        <v>494</v>
      </c>
      <c r="B111" s="173"/>
      <c r="C111" s="173"/>
      <c r="D111" s="173"/>
      <c r="E111" s="173"/>
      <c r="F111" s="173"/>
      <c r="G111" s="173"/>
      <c r="H111" s="173">
        <v>59000</v>
      </c>
      <c r="I111" s="667">
        <f t="shared" si="3"/>
        <v>59000</v>
      </c>
      <c r="J111" s="176" t="s">
        <v>36</v>
      </c>
      <c r="K111" s="176" t="s">
        <v>113</v>
      </c>
      <c r="L111" s="224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</row>
    <row r="112" spans="1:64" s="94" customFormat="1" ht="21.75">
      <c r="A112" s="643" t="s">
        <v>577</v>
      </c>
      <c r="B112" s="301"/>
      <c r="C112" s="301"/>
      <c r="D112" s="301"/>
      <c r="E112" s="301"/>
      <c r="F112" s="301"/>
      <c r="G112" s="301"/>
      <c r="H112" s="301"/>
      <c r="I112" s="171"/>
      <c r="J112" s="162"/>
      <c r="K112" s="162"/>
      <c r="L112" s="642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</row>
    <row r="113" spans="1:64" s="94" customFormat="1" ht="65.25">
      <c r="A113" s="172" t="s">
        <v>578</v>
      </c>
      <c r="B113" s="173"/>
      <c r="C113" s="173"/>
      <c r="D113" s="173"/>
      <c r="E113" s="173"/>
      <c r="F113" s="173"/>
      <c r="G113" s="173"/>
      <c r="H113" s="173">
        <f>900*31.21</f>
        <v>28089</v>
      </c>
      <c r="I113" s="667">
        <f t="shared" si="3"/>
        <v>28089</v>
      </c>
      <c r="J113" s="176" t="s">
        <v>36</v>
      </c>
      <c r="K113" s="176" t="s">
        <v>113</v>
      </c>
      <c r="L113" s="224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</row>
    <row r="114" spans="1:64" s="94" customFormat="1" ht="21.75">
      <c r="A114" s="643" t="s">
        <v>495</v>
      </c>
      <c r="B114" s="301"/>
      <c r="C114" s="301"/>
      <c r="D114" s="301"/>
      <c r="E114" s="301"/>
      <c r="F114" s="301"/>
      <c r="G114" s="301"/>
      <c r="H114" s="301"/>
      <c r="I114" s="171"/>
      <c r="J114" s="162"/>
      <c r="K114" s="162"/>
      <c r="L114" s="642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</row>
    <row r="115" spans="1:64" s="94" customFormat="1" ht="24.75" customHeight="1">
      <c r="A115" s="176" t="s">
        <v>496</v>
      </c>
      <c r="B115" s="173"/>
      <c r="C115" s="173"/>
      <c r="D115" s="173"/>
      <c r="E115" s="173"/>
      <c r="F115" s="173"/>
      <c r="G115" s="173"/>
      <c r="H115" s="173">
        <v>13655.88</v>
      </c>
      <c r="I115" s="667">
        <f t="shared" si="3"/>
        <v>13655.88</v>
      </c>
      <c r="J115" s="176" t="s">
        <v>36</v>
      </c>
      <c r="K115" s="176" t="s">
        <v>113</v>
      </c>
      <c r="L115" s="164" t="s">
        <v>82</v>
      </c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</row>
    <row r="116" spans="1:64" s="94" customFormat="1" ht="22.5" customHeight="1">
      <c r="A116" s="643" t="s">
        <v>497</v>
      </c>
      <c r="B116" s="301"/>
      <c r="C116" s="301"/>
      <c r="D116" s="301"/>
      <c r="E116" s="301"/>
      <c r="F116" s="301"/>
      <c r="G116" s="301"/>
      <c r="H116" s="301"/>
      <c r="I116" s="171"/>
      <c r="J116" s="162"/>
      <c r="K116" s="162"/>
      <c r="L116" s="160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</row>
    <row r="117" spans="1:64" s="94" customFormat="1" ht="117.75" customHeight="1">
      <c r="A117" s="176" t="s">
        <v>498</v>
      </c>
      <c r="B117" s="173">
        <f>97750+195500+195500</f>
        <v>488750</v>
      </c>
      <c r="C117" s="173"/>
      <c r="D117" s="173"/>
      <c r="E117" s="173"/>
      <c r="F117" s="173"/>
      <c r="G117" s="173"/>
      <c r="H117" s="173"/>
      <c r="I117" s="171">
        <f t="shared" si="3"/>
        <v>488750</v>
      </c>
      <c r="J117" s="162" t="s">
        <v>38</v>
      </c>
      <c r="K117" s="176" t="s">
        <v>500</v>
      </c>
      <c r="L117" s="164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</row>
    <row r="118" spans="1:64" s="94" customFormat="1" ht="22.5" customHeight="1">
      <c r="A118" s="172" t="s">
        <v>499</v>
      </c>
      <c r="B118" s="173"/>
      <c r="C118" s="173"/>
      <c r="D118" s="173">
        <v>110139.59</v>
      </c>
      <c r="E118" s="173"/>
      <c r="F118" s="173"/>
      <c r="G118" s="173"/>
      <c r="H118" s="173"/>
      <c r="I118" s="171">
        <f t="shared" si="3"/>
        <v>110139.59</v>
      </c>
      <c r="J118" s="162" t="s">
        <v>27</v>
      </c>
      <c r="K118" s="176" t="s">
        <v>376</v>
      </c>
      <c r="L118" s="164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</row>
    <row r="119" spans="1:64" s="94" customFormat="1" ht="22.5" customHeight="1">
      <c r="A119" s="172" t="s">
        <v>501</v>
      </c>
      <c r="B119" s="173"/>
      <c r="C119" s="173"/>
      <c r="D119" s="173"/>
      <c r="E119" s="173"/>
      <c r="F119" s="173"/>
      <c r="G119" s="173"/>
      <c r="H119" s="173">
        <v>25630.26</v>
      </c>
      <c r="I119" s="171">
        <f t="shared" si="3"/>
        <v>25630.26</v>
      </c>
      <c r="J119" s="162" t="s">
        <v>36</v>
      </c>
      <c r="K119" s="176" t="s">
        <v>113</v>
      </c>
      <c r="L119" s="164" t="s">
        <v>82</v>
      </c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</row>
    <row r="120" spans="1:64" s="94" customFormat="1" ht="43.5">
      <c r="A120" s="176" t="s">
        <v>502</v>
      </c>
      <c r="B120" s="173">
        <v>162000</v>
      </c>
      <c r="C120" s="173"/>
      <c r="D120" s="173"/>
      <c r="E120" s="173"/>
      <c r="F120" s="173"/>
      <c r="G120" s="173"/>
      <c r="H120" s="173"/>
      <c r="I120" s="667">
        <f t="shared" si="3"/>
        <v>162000</v>
      </c>
      <c r="J120" s="176" t="s">
        <v>27</v>
      </c>
      <c r="K120" s="176" t="s">
        <v>372</v>
      </c>
      <c r="L120" s="164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</row>
    <row r="121" spans="1:64" s="94" customFormat="1" ht="42">
      <c r="A121" s="643" t="s">
        <v>503</v>
      </c>
      <c r="B121" s="301"/>
      <c r="C121" s="301"/>
      <c r="D121" s="301"/>
      <c r="E121" s="301"/>
      <c r="F121" s="301"/>
      <c r="G121" s="301"/>
      <c r="H121" s="301"/>
      <c r="I121" s="171"/>
      <c r="J121" s="162"/>
      <c r="K121" s="162"/>
      <c r="L121" s="642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</row>
    <row r="122" spans="1:64" s="94" customFormat="1" ht="110.25" customHeight="1">
      <c r="A122" s="176" t="s">
        <v>504</v>
      </c>
      <c r="B122" s="173">
        <v>2310000</v>
      </c>
      <c r="C122" s="173"/>
      <c r="D122" s="173"/>
      <c r="E122" s="173"/>
      <c r="F122" s="173"/>
      <c r="G122" s="173"/>
      <c r="H122" s="173"/>
      <c r="I122" s="171">
        <f t="shared" si="3"/>
        <v>2310000</v>
      </c>
      <c r="J122" s="162" t="s">
        <v>416</v>
      </c>
      <c r="K122" s="176" t="s">
        <v>408</v>
      </c>
      <c r="L122" s="224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</row>
    <row r="123" spans="1:64" s="94" customFormat="1" ht="87">
      <c r="A123" s="172" t="s">
        <v>505</v>
      </c>
      <c r="B123" s="173"/>
      <c r="C123" s="173"/>
      <c r="D123" s="173">
        <v>2060000</v>
      </c>
      <c r="E123" s="173"/>
      <c r="F123" s="173"/>
      <c r="G123" s="173"/>
      <c r="H123" s="173"/>
      <c r="I123" s="171">
        <f t="shared" si="3"/>
        <v>2060000</v>
      </c>
      <c r="J123" s="162" t="s">
        <v>416</v>
      </c>
      <c r="K123" s="176" t="s">
        <v>408</v>
      </c>
      <c r="L123" s="224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</row>
    <row r="124" spans="1:64" s="94" customFormat="1" ht="87">
      <c r="A124" s="176" t="s">
        <v>506</v>
      </c>
      <c r="B124" s="173"/>
      <c r="C124" s="173">
        <v>4573000</v>
      </c>
      <c r="D124" s="173"/>
      <c r="E124" s="173"/>
      <c r="F124" s="173"/>
      <c r="G124" s="173"/>
      <c r="H124" s="173"/>
      <c r="I124" s="171">
        <f t="shared" si="3"/>
        <v>4573000</v>
      </c>
      <c r="J124" s="162" t="s">
        <v>416</v>
      </c>
      <c r="K124" s="176" t="s">
        <v>408</v>
      </c>
      <c r="L124" s="224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</row>
    <row r="125" spans="1:64" s="94" customFormat="1" ht="55.5" customHeight="1">
      <c r="A125" s="176" t="s">
        <v>507</v>
      </c>
      <c r="B125" s="173">
        <v>4880000</v>
      </c>
      <c r="C125" s="173"/>
      <c r="D125" s="173"/>
      <c r="E125" s="173"/>
      <c r="F125" s="173"/>
      <c r="G125" s="173"/>
      <c r="H125" s="173"/>
      <c r="I125" s="667">
        <f t="shared" si="3"/>
        <v>4880000</v>
      </c>
      <c r="J125" s="176" t="s">
        <v>416</v>
      </c>
      <c r="K125" s="176" t="s">
        <v>408</v>
      </c>
      <c r="L125" s="224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</row>
    <row r="126" spans="1:64" s="94" customFormat="1" ht="42">
      <c r="A126" s="643" t="s">
        <v>508</v>
      </c>
      <c r="B126" s="301"/>
      <c r="C126" s="301"/>
      <c r="D126" s="301"/>
      <c r="E126" s="301"/>
      <c r="F126" s="301"/>
      <c r="G126" s="301"/>
      <c r="H126" s="301"/>
      <c r="I126" s="171"/>
      <c r="J126" s="162"/>
      <c r="K126" s="162"/>
      <c r="L126" s="642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</row>
    <row r="127" spans="1:64" s="94" customFormat="1" ht="43.5">
      <c r="A127" s="176" t="s">
        <v>509</v>
      </c>
      <c r="B127" s="173"/>
      <c r="C127" s="173"/>
      <c r="D127" s="173"/>
      <c r="E127" s="173"/>
      <c r="F127" s="173"/>
      <c r="G127" s="173">
        <v>646000</v>
      </c>
      <c r="H127" s="173"/>
      <c r="I127" s="667">
        <f t="shared" si="3"/>
        <v>646000</v>
      </c>
      <c r="J127" s="176" t="s">
        <v>352</v>
      </c>
      <c r="K127" s="176" t="s">
        <v>376</v>
      </c>
      <c r="L127" s="164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</row>
    <row r="128" spans="1:64" s="94" customFormat="1" ht="42">
      <c r="A128" s="643" t="s">
        <v>510</v>
      </c>
      <c r="B128" s="301"/>
      <c r="C128" s="301"/>
      <c r="D128" s="301"/>
      <c r="E128" s="301"/>
      <c r="F128" s="301"/>
      <c r="G128" s="301"/>
      <c r="H128" s="301"/>
      <c r="I128" s="171"/>
      <c r="J128" s="162"/>
      <c r="K128" s="162"/>
      <c r="L128" s="642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</row>
    <row r="129" spans="1:64" s="94" customFormat="1" ht="69" customHeight="1">
      <c r="A129" s="176" t="s">
        <v>511</v>
      </c>
      <c r="B129" s="173"/>
      <c r="C129" s="173"/>
      <c r="D129" s="173"/>
      <c r="E129" s="173">
        <v>45000</v>
      </c>
      <c r="F129" s="173"/>
      <c r="G129" s="173"/>
      <c r="H129" s="173"/>
      <c r="I129" s="171">
        <f t="shared" si="3"/>
        <v>45000</v>
      </c>
      <c r="J129" s="162" t="s">
        <v>27</v>
      </c>
      <c r="K129" s="176" t="s">
        <v>15</v>
      </c>
      <c r="L129" s="224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</row>
    <row r="130" spans="1:64" s="94" customFormat="1" ht="57.75" customHeight="1">
      <c r="A130" s="176" t="s">
        <v>601</v>
      </c>
      <c r="B130" s="173">
        <v>2100</v>
      </c>
      <c r="C130" s="173"/>
      <c r="D130" s="173"/>
      <c r="E130" s="173"/>
      <c r="F130" s="173"/>
      <c r="G130" s="173"/>
      <c r="H130" s="173"/>
      <c r="I130" s="171">
        <f t="shared" si="3"/>
        <v>2100</v>
      </c>
      <c r="J130" s="162" t="s">
        <v>27</v>
      </c>
      <c r="K130" s="176" t="s">
        <v>15</v>
      </c>
      <c r="L130" s="224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</row>
    <row r="131" spans="1:64" s="94" customFormat="1" ht="65.25">
      <c r="A131" s="172" t="s">
        <v>512</v>
      </c>
      <c r="B131" s="173"/>
      <c r="C131" s="173">
        <f>46500/4</f>
        <v>11625</v>
      </c>
      <c r="D131" s="173"/>
      <c r="E131" s="173">
        <v>11625</v>
      </c>
      <c r="F131" s="173"/>
      <c r="G131" s="173">
        <f>11625+11625</f>
        <v>23250</v>
      </c>
      <c r="H131" s="173"/>
      <c r="I131" s="171">
        <f t="shared" si="3"/>
        <v>46500</v>
      </c>
      <c r="J131" s="162" t="s">
        <v>27</v>
      </c>
      <c r="K131" s="176" t="s">
        <v>15</v>
      </c>
      <c r="L131" s="224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</row>
    <row r="132" spans="1:64" s="94" customFormat="1" ht="65.25">
      <c r="A132" s="172" t="s">
        <v>513</v>
      </c>
      <c r="B132" s="173"/>
      <c r="C132" s="173">
        <f>67500/4</f>
        <v>16875</v>
      </c>
      <c r="D132" s="173"/>
      <c r="E132" s="173">
        <v>16875</v>
      </c>
      <c r="F132" s="173"/>
      <c r="G132" s="173">
        <f>16875*2</f>
        <v>33750</v>
      </c>
      <c r="H132" s="173"/>
      <c r="I132" s="171">
        <f t="shared" si="3"/>
        <v>67500</v>
      </c>
      <c r="J132" s="162" t="s">
        <v>27</v>
      </c>
      <c r="K132" s="176" t="s">
        <v>15</v>
      </c>
      <c r="L132" s="224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</row>
    <row r="133" spans="1:64" s="94" customFormat="1" ht="43.5">
      <c r="A133" s="172" t="s">
        <v>514</v>
      </c>
      <c r="B133" s="173"/>
      <c r="C133" s="173"/>
      <c r="D133" s="173"/>
      <c r="E133" s="173">
        <v>18000</v>
      </c>
      <c r="F133" s="173"/>
      <c r="G133" s="173"/>
      <c r="H133" s="173"/>
      <c r="I133" s="171">
        <f t="shared" si="3"/>
        <v>18000</v>
      </c>
      <c r="J133" s="162" t="s">
        <v>27</v>
      </c>
      <c r="K133" s="176" t="s">
        <v>15</v>
      </c>
      <c r="L133" s="224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</row>
    <row r="134" spans="1:64" s="94" customFormat="1" ht="21.75">
      <c r="A134" s="551" t="s">
        <v>515</v>
      </c>
      <c r="B134" s="173"/>
      <c r="C134" s="173"/>
      <c r="D134" s="173"/>
      <c r="E134" s="173"/>
      <c r="F134" s="173"/>
      <c r="G134" s="173"/>
      <c r="H134" s="173"/>
      <c r="I134" s="171"/>
      <c r="J134" s="162"/>
      <c r="K134" s="176"/>
      <c r="L134" s="224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</row>
    <row r="135" spans="1:64" s="94" customFormat="1" ht="65.25">
      <c r="A135" s="172" t="s">
        <v>516</v>
      </c>
      <c r="B135" s="173"/>
      <c r="C135" s="173"/>
      <c r="D135" s="173"/>
      <c r="E135" s="173"/>
      <c r="F135" s="173"/>
      <c r="G135" s="173">
        <f>(20067*2)+114100</f>
        <v>154234</v>
      </c>
      <c r="H135" s="173"/>
      <c r="I135" s="171">
        <f t="shared" si="3"/>
        <v>154234</v>
      </c>
      <c r="J135" s="162" t="s">
        <v>28</v>
      </c>
      <c r="K135" s="176" t="s">
        <v>39</v>
      </c>
      <c r="L135" s="224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</row>
    <row r="136" spans="1:64" s="94" customFormat="1" ht="43.5">
      <c r="A136" s="176" t="s">
        <v>491</v>
      </c>
      <c r="B136" s="173"/>
      <c r="C136" s="173"/>
      <c r="D136" s="173"/>
      <c r="E136" s="173"/>
      <c r="F136" s="173"/>
      <c r="G136" s="173"/>
      <c r="H136" s="173">
        <v>11400</v>
      </c>
      <c r="I136" s="667">
        <f t="shared" si="3"/>
        <v>11400</v>
      </c>
      <c r="J136" s="176" t="s">
        <v>36</v>
      </c>
      <c r="K136" s="176" t="s">
        <v>113</v>
      </c>
      <c r="L136" s="164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</row>
    <row r="137" spans="1:64" s="94" customFormat="1" ht="21.75">
      <c r="A137" s="643" t="s">
        <v>517</v>
      </c>
      <c r="B137" s="301"/>
      <c r="C137" s="301"/>
      <c r="D137" s="301"/>
      <c r="E137" s="301"/>
      <c r="F137" s="301"/>
      <c r="G137" s="301"/>
      <c r="H137" s="301"/>
      <c r="I137" s="171"/>
      <c r="J137" s="162"/>
      <c r="K137" s="162"/>
      <c r="L137" s="642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</row>
    <row r="138" spans="1:64" s="94" customFormat="1" ht="43.5">
      <c r="A138" s="172" t="s">
        <v>491</v>
      </c>
      <c r="B138" s="173"/>
      <c r="C138" s="173"/>
      <c r="D138" s="173"/>
      <c r="E138" s="173"/>
      <c r="F138" s="173"/>
      <c r="G138" s="173"/>
      <c r="H138" s="173">
        <v>11782.5</v>
      </c>
      <c r="I138" s="171">
        <f t="shared" si="3"/>
        <v>11782.5</v>
      </c>
      <c r="J138" s="162" t="s">
        <v>36</v>
      </c>
      <c r="K138" s="176" t="s">
        <v>113</v>
      </c>
      <c r="L138" s="224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</row>
    <row r="139" spans="1:64" s="94" customFormat="1" ht="43.5">
      <c r="A139" s="172" t="s">
        <v>518</v>
      </c>
      <c r="B139" s="173"/>
      <c r="C139" s="173"/>
      <c r="D139" s="173"/>
      <c r="E139" s="173"/>
      <c r="F139" s="173"/>
      <c r="G139" s="173"/>
      <c r="H139" s="173">
        <v>35015</v>
      </c>
      <c r="I139" s="171">
        <f t="shared" si="3"/>
        <v>35015</v>
      </c>
      <c r="J139" s="162" t="s">
        <v>36</v>
      </c>
      <c r="K139" s="176" t="s">
        <v>113</v>
      </c>
      <c r="L139" s="224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</row>
    <row r="140" spans="1:64" s="94" customFormat="1" ht="43.5">
      <c r="A140" s="172" t="s">
        <v>591</v>
      </c>
      <c r="B140" s="425"/>
      <c r="C140" s="425"/>
      <c r="D140" s="425"/>
      <c r="E140" s="425"/>
      <c r="F140" s="425"/>
      <c r="G140" s="425"/>
      <c r="H140" s="425">
        <v>105003.75</v>
      </c>
      <c r="I140" s="171">
        <f t="shared" si="3"/>
        <v>105003.75</v>
      </c>
      <c r="J140" s="162" t="s">
        <v>36</v>
      </c>
      <c r="K140" s="176" t="s">
        <v>113</v>
      </c>
      <c r="L140" s="640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</row>
    <row r="141" spans="1:64" s="94" customFormat="1" ht="43.5">
      <c r="A141" s="172" t="s">
        <v>479</v>
      </c>
      <c r="B141" s="173">
        <v>413200</v>
      </c>
      <c r="C141" s="173">
        <v>1789950</v>
      </c>
      <c r="D141" s="173">
        <v>6454100</v>
      </c>
      <c r="E141" s="173">
        <v>2173350</v>
      </c>
      <c r="F141" s="173">
        <v>2742000</v>
      </c>
      <c r="G141" s="173">
        <v>10090450</v>
      </c>
      <c r="H141" s="173"/>
      <c r="I141" s="667">
        <f t="shared" si="3"/>
        <v>23663050</v>
      </c>
      <c r="J141" s="176" t="s">
        <v>36</v>
      </c>
      <c r="K141" s="176" t="s">
        <v>306</v>
      </c>
      <c r="L141" s="224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</row>
    <row r="142" spans="1:64" s="94" customFormat="1" ht="42">
      <c r="A142" s="643" t="s">
        <v>519</v>
      </c>
      <c r="B142" s="301"/>
      <c r="C142" s="301"/>
      <c r="D142" s="301"/>
      <c r="E142" s="301"/>
      <c r="F142" s="301"/>
      <c r="G142" s="301"/>
      <c r="H142" s="301"/>
      <c r="I142" s="171"/>
      <c r="J142" s="162"/>
      <c r="K142" s="162"/>
      <c r="L142" s="642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</row>
    <row r="143" spans="1:64" s="94" customFormat="1" ht="43.5">
      <c r="A143" s="172" t="s">
        <v>520</v>
      </c>
      <c r="B143" s="173"/>
      <c r="C143" s="173"/>
      <c r="D143" s="173"/>
      <c r="E143" s="173"/>
      <c r="F143" s="173"/>
      <c r="G143" s="173"/>
      <c r="H143" s="173">
        <v>15000</v>
      </c>
      <c r="I143" s="171">
        <f t="shared" si="3"/>
        <v>15000</v>
      </c>
      <c r="J143" s="162" t="s">
        <v>36</v>
      </c>
      <c r="K143" s="176" t="s">
        <v>113</v>
      </c>
      <c r="L143" s="224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</row>
    <row r="144" spans="1:64" s="94" customFormat="1" ht="43.5">
      <c r="A144" s="172" t="s">
        <v>521</v>
      </c>
      <c r="B144" s="173"/>
      <c r="C144" s="173"/>
      <c r="D144" s="173"/>
      <c r="E144" s="173"/>
      <c r="F144" s="173"/>
      <c r="G144" s="173"/>
      <c r="H144" s="173">
        <v>10000</v>
      </c>
      <c r="I144" s="171">
        <f t="shared" si="3"/>
        <v>10000</v>
      </c>
      <c r="J144" s="162" t="s">
        <v>36</v>
      </c>
      <c r="K144" s="176" t="s">
        <v>113</v>
      </c>
      <c r="L144" s="224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</row>
    <row r="145" spans="1:64" s="94" customFormat="1" ht="43.5">
      <c r="A145" s="172" t="s">
        <v>522</v>
      </c>
      <c r="B145" s="173"/>
      <c r="C145" s="173"/>
      <c r="D145" s="173"/>
      <c r="E145" s="173"/>
      <c r="F145" s="173"/>
      <c r="G145" s="173"/>
      <c r="H145" s="173">
        <v>3300</v>
      </c>
      <c r="I145" s="171">
        <f t="shared" si="3"/>
        <v>3300</v>
      </c>
      <c r="J145" s="162" t="s">
        <v>36</v>
      </c>
      <c r="K145" s="176" t="s">
        <v>113</v>
      </c>
      <c r="L145" s="224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</row>
    <row r="146" spans="1:64" s="94" customFormat="1" ht="46.5" customHeight="1">
      <c r="A146" s="176" t="s">
        <v>523</v>
      </c>
      <c r="B146" s="173"/>
      <c r="C146" s="173"/>
      <c r="D146" s="173"/>
      <c r="E146" s="173"/>
      <c r="F146" s="173"/>
      <c r="G146" s="173"/>
      <c r="H146" s="173">
        <v>2500</v>
      </c>
      <c r="I146" s="171">
        <f t="shared" si="3"/>
        <v>2500</v>
      </c>
      <c r="J146" s="162" t="s">
        <v>36</v>
      </c>
      <c r="K146" s="176" t="s">
        <v>113</v>
      </c>
      <c r="L146" s="224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</row>
    <row r="147" spans="1:64" s="94" customFormat="1" ht="43.5">
      <c r="A147" s="172" t="s">
        <v>524</v>
      </c>
      <c r="B147" s="173"/>
      <c r="C147" s="173"/>
      <c r="D147" s="173"/>
      <c r="E147" s="173"/>
      <c r="F147" s="173"/>
      <c r="G147" s="173"/>
      <c r="H147" s="173">
        <v>50000</v>
      </c>
      <c r="I147" s="171">
        <f t="shared" si="3"/>
        <v>50000</v>
      </c>
      <c r="J147" s="162" t="s">
        <v>36</v>
      </c>
      <c r="K147" s="176" t="s">
        <v>113</v>
      </c>
      <c r="L147" s="224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</row>
    <row r="148" spans="1:64" s="94" customFormat="1" ht="43.5">
      <c r="A148" s="172" t="s">
        <v>525</v>
      </c>
      <c r="B148" s="173"/>
      <c r="C148" s="173"/>
      <c r="D148" s="173"/>
      <c r="E148" s="173"/>
      <c r="F148" s="173"/>
      <c r="G148" s="173"/>
      <c r="H148" s="173">
        <v>49400</v>
      </c>
      <c r="I148" s="171">
        <f t="shared" si="3"/>
        <v>49400</v>
      </c>
      <c r="J148" s="162" t="s">
        <v>36</v>
      </c>
      <c r="K148" s="176" t="s">
        <v>113</v>
      </c>
      <c r="L148" s="224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</row>
    <row r="149" spans="1:64" s="94" customFormat="1" ht="43.5">
      <c r="A149" s="172" t="s">
        <v>543</v>
      </c>
      <c r="B149" s="173"/>
      <c r="C149" s="173"/>
      <c r="D149" s="173"/>
      <c r="E149" s="173"/>
      <c r="F149" s="173"/>
      <c r="G149" s="173"/>
      <c r="H149" s="173">
        <v>16800</v>
      </c>
      <c r="I149" s="171">
        <f t="shared" si="3"/>
        <v>16800</v>
      </c>
      <c r="J149" s="162" t="s">
        <v>36</v>
      </c>
      <c r="K149" s="176" t="s">
        <v>113</v>
      </c>
      <c r="L149" s="224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</row>
    <row r="150" spans="1:64" s="94" customFormat="1" ht="43.5">
      <c r="A150" s="172" t="s">
        <v>526</v>
      </c>
      <c r="B150" s="173"/>
      <c r="C150" s="173"/>
      <c r="D150" s="173"/>
      <c r="E150" s="173"/>
      <c r="F150" s="173"/>
      <c r="G150" s="173"/>
      <c r="H150" s="173">
        <v>20000</v>
      </c>
      <c r="I150" s="171">
        <f t="shared" si="3"/>
        <v>20000</v>
      </c>
      <c r="J150" s="162" t="s">
        <v>36</v>
      </c>
      <c r="K150" s="176" t="s">
        <v>113</v>
      </c>
      <c r="L150" s="224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</row>
    <row r="151" spans="1:64" s="94" customFormat="1" ht="43.5">
      <c r="A151" s="172" t="s">
        <v>527</v>
      </c>
      <c r="B151" s="173"/>
      <c r="C151" s="173"/>
      <c r="D151" s="173"/>
      <c r="E151" s="173"/>
      <c r="F151" s="173"/>
      <c r="G151" s="173"/>
      <c r="H151" s="173">
        <v>45000</v>
      </c>
      <c r="I151" s="171">
        <f t="shared" si="3"/>
        <v>45000</v>
      </c>
      <c r="J151" s="162" t="s">
        <v>36</v>
      </c>
      <c r="K151" s="176" t="s">
        <v>113</v>
      </c>
      <c r="L151" s="224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</row>
    <row r="152" spans="1:64" s="94" customFormat="1" ht="43.5">
      <c r="A152" s="172" t="s">
        <v>522</v>
      </c>
      <c r="B152" s="173"/>
      <c r="C152" s="173"/>
      <c r="D152" s="173"/>
      <c r="E152" s="173"/>
      <c r="F152" s="173"/>
      <c r="G152" s="173"/>
      <c r="H152" s="173">
        <v>40000</v>
      </c>
      <c r="I152" s="171">
        <f t="shared" si="3"/>
        <v>40000</v>
      </c>
      <c r="J152" s="162" t="s">
        <v>36</v>
      </c>
      <c r="K152" s="176" t="s">
        <v>113</v>
      </c>
      <c r="L152" s="224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</row>
    <row r="153" spans="1:64" s="94" customFormat="1" ht="43.5">
      <c r="A153" s="172" t="s">
        <v>528</v>
      </c>
      <c r="B153" s="173"/>
      <c r="C153" s="173"/>
      <c r="D153" s="173"/>
      <c r="E153" s="173"/>
      <c r="F153" s="173"/>
      <c r="G153" s="173"/>
      <c r="H153" s="173">
        <v>56500</v>
      </c>
      <c r="I153" s="171">
        <f t="shared" si="3"/>
        <v>56500</v>
      </c>
      <c r="J153" s="162" t="s">
        <v>36</v>
      </c>
      <c r="K153" s="176" t="s">
        <v>113</v>
      </c>
      <c r="L153" s="224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</row>
    <row r="154" spans="1:64" s="94" customFormat="1" ht="43.5">
      <c r="A154" s="172" t="s">
        <v>529</v>
      </c>
      <c r="B154" s="173"/>
      <c r="C154" s="173"/>
      <c r="D154" s="173"/>
      <c r="E154" s="173"/>
      <c r="F154" s="173"/>
      <c r="G154" s="173"/>
      <c r="H154" s="173">
        <v>24000</v>
      </c>
      <c r="I154" s="171">
        <f t="shared" si="3"/>
        <v>24000</v>
      </c>
      <c r="J154" s="162" t="s">
        <v>36</v>
      </c>
      <c r="K154" s="176" t="s">
        <v>113</v>
      </c>
      <c r="L154" s="224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</row>
    <row r="155" spans="1:64" s="94" customFormat="1" ht="43.5">
      <c r="A155" s="172" t="s">
        <v>530</v>
      </c>
      <c r="B155" s="173"/>
      <c r="C155" s="173"/>
      <c r="D155" s="173"/>
      <c r="E155" s="173"/>
      <c r="F155" s="173"/>
      <c r="G155" s="173"/>
      <c r="H155" s="173">
        <v>12000</v>
      </c>
      <c r="I155" s="171">
        <f t="shared" si="3"/>
        <v>12000</v>
      </c>
      <c r="J155" s="162" t="s">
        <v>36</v>
      </c>
      <c r="K155" s="176" t="s">
        <v>113</v>
      </c>
      <c r="L155" s="224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</row>
    <row r="156" spans="1:64" s="94" customFormat="1" ht="43.5">
      <c r="A156" s="172" t="s">
        <v>531</v>
      </c>
      <c r="B156" s="173"/>
      <c r="C156" s="173"/>
      <c r="D156" s="173"/>
      <c r="E156" s="173"/>
      <c r="F156" s="173"/>
      <c r="G156" s="173"/>
      <c r="H156" s="173">
        <v>853000</v>
      </c>
      <c r="I156" s="171">
        <f t="shared" si="3"/>
        <v>853000</v>
      </c>
      <c r="J156" s="162" t="s">
        <v>36</v>
      </c>
      <c r="K156" s="176" t="s">
        <v>113</v>
      </c>
      <c r="L156" s="224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</row>
    <row r="157" spans="1:64" s="94" customFormat="1" ht="43.5">
      <c r="A157" s="172" t="s">
        <v>532</v>
      </c>
      <c r="B157" s="173"/>
      <c r="C157" s="173"/>
      <c r="D157" s="173"/>
      <c r="E157" s="173"/>
      <c r="F157" s="173"/>
      <c r="G157" s="173"/>
      <c r="H157" s="173">
        <v>27200</v>
      </c>
      <c r="I157" s="171">
        <f t="shared" si="3"/>
        <v>27200</v>
      </c>
      <c r="J157" s="162" t="s">
        <v>36</v>
      </c>
      <c r="K157" s="176" t="s">
        <v>113</v>
      </c>
      <c r="L157" s="224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</row>
    <row r="158" spans="1:64" s="94" customFormat="1" ht="65.25">
      <c r="A158" s="172" t="s">
        <v>533</v>
      </c>
      <c r="B158" s="173"/>
      <c r="C158" s="173"/>
      <c r="D158" s="173"/>
      <c r="E158" s="173"/>
      <c r="F158" s="173"/>
      <c r="G158" s="173"/>
      <c r="H158" s="173">
        <v>1200</v>
      </c>
      <c r="I158" s="171">
        <f t="shared" si="3"/>
        <v>1200</v>
      </c>
      <c r="J158" s="162" t="s">
        <v>36</v>
      </c>
      <c r="K158" s="176" t="s">
        <v>113</v>
      </c>
      <c r="L158" s="224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</row>
    <row r="159" spans="1:64" s="94" customFormat="1" ht="43.5">
      <c r="A159" s="172" t="s">
        <v>534</v>
      </c>
      <c r="B159" s="173"/>
      <c r="C159" s="173"/>
      <c r="D159" s="173"/>
      <c r="E159" s="173"/>
      <c r="F159" s="173"/>
      <c r="G159" s="173"/>
      <c r="H159" s="173">
        <v>5000</v>
      </c>
      <c r="I159" s="171">
        <f t="shared" si="3"/>
        <v>5000</v>
      </c>
      <c r="J159" s="162" t="s">
        <v>36</v>
      </c>
      <c r="K159" s="176" t="s">
        <v>113</v>
      </c>
      <c r="L159" s="224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</row>
    <row r="160" spans="1:64" s="94" customFormat="1" ht="43.5">
      <c r="A160" s="172" t="s">
        <v>535</v>
      </c>
      <c r="B160" s="173"/>
      <c r="C160" s="173"/>
      <c r="D160" s="173"/>
      <c r="E160" s="173"/>
      <c r="F160" s="173"/>
      <c r="G160" s="173"/>
      <c r="H160" s="173">
        <v>3600</v>
      </c>
      <c r="I160" s="171">
        <f t="shared" si="3"/>
        <v>3600</v>
      </c>
      <c r="J160" s="162" t="s">
        <v>36</v>
      </c>
      <c r="K160" s="176" t="s">
        <v>113</v>
      </c>
      <c r="L160" s="224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</row>
    <row r="161" spans="1:64" s="94" customFormat="1" ht="43.5">
      <c r="A161" s="172" t="s">
        <v>536</v>
      </c>
      <c r="B161" s="173"/>
      <c r="C161" s="173"/>
      <c r="D161" s="173"/>
      <c r="E161" s="173"/>
      <c r="F161" s="173"/>
      <c r="G161" s="173"/>
      <c r="H161" s="173">
        <v>3000</v>
      </c>
      <c r="I161" s="171">
        <f t="shared" si="3"/>
        <v>3000</v>
      </c>
      <c r="J161" s="162" t="s">
        <v>36</v>
      </c>
      <c r="K161" s="176" t="s">
        <v>113</v>
      </c>
      <c r="L161" s="224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</row>
    <row r="162" spans="1:64" s="94" customFormat="1" ht="43.5">
      <c r="A162" s="172" t="s">
        <v>542</v>
      </c>
      <c r="B162" s="173"/>
      <c r="C162" s="173"/>
      <c r="D162" s="173"/>
      <c r="E162" s="173"/>
      <c r="F162" s="173"/>
      <c r="G162" s="173"/>
      <c r="H162" s="173">
        <v>6000</v>
      </c>
      <c r="I162" s="171">
        <f t="shared" si="3"/>
        <v>6000</v>
      </c>
      <c r="J162" s="162" t="s">
        <v>36</v>
      </c>
      <c r="K162" s="176" t="s">
        <v>113</v>
      </c>
      <c r="L162" s="224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</row>
    <row r="163" spans="1:64" s="94" customFormat="1" ht="43.5">
      <c r="A163" s="172" t="s">
        <v>537</v>
      </c>
      <c r="B163" s="173"/>
      <c r="C163" s="173"/>
      <c r="D163" s="173"/>
      <c r="E163" s="173"/>
      <c r="F163" s="173"/>
      <c r="G163" s="173"/>
      <c r="H163" s="173">
        <v>3200</v>
      </c>
      <c r="I163" s="171">
        <f t="shared" si="3"/>
        <v>3200</v>
      </c>
      <c r="J163" s="162" t="s">
        <v>36</v>
      </c>
      <c r="K163" s="176" t="s">
        <v>113</v>
      </c>
      <c r="L163" s="224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</row>
    <row r="164" spans="1:64" s="94" customFormat="1" ht="43.5">
      <c r="A164" s="176" t="s">
        <v>538</v>
      </c>
      <c r="B164" s="173"/>
      <c r="C164" s="173"/>
      <c r="D164" s="173"/>
      <c r="E164" s="173"/>
      <c r="F164" s="173"/>
      <c r="G164" s="173"/>
      <c r="H164" s="173">
        <v>10000</v>
      </c>
      <c r="I164" s="171">
        <f t="shared" si="3"/>
        <v>10000</v>
      </c>
      <c r="J164" s="162" t="s">
        <v>36</v>
      </c>
      <c r="K164" s="176" t="s">
        <v>113</v>
      </c>
      <c r="L164" s="224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</row>
    <row r="165" spans="1:64" s="94" customFormat="1" ht="43.5">
      <c r="A165" s="172" t="s">
        <v>539</v>
      </c>
      <c r="B165" s="173"/>
      <c r="C165" s="173"/>
      <c r="D165" s="173"/>
      <c r="E165" s="173"/>
      <c r="F165" s="173"/>
      <c r="G165" s="173"/>
      <c r="H165" s="173">
        <v>5200</v>
      </c>
      <c r="I165" s="171">
        <f t="shared" si="3"/>
        <v>5200</v>
      </c>
      <c r="J165" s="162" t="s">
        <v>36</v>
      </c>
      <c r="K165" s="176" t="s">
        <v>113</v>
      </c>
      <c r="L165" s="224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</row>
    <row r="166" spans="1:64" s="94" customFormat="1" ht="43.5">
      <c r="A166" s="172" t="s">
        <v>540</v>
      </c>
      <c r="B166" s="173"/>
      <c r="C166" s="173"/>
      <c r="D166" s="173"/>
      <c r="E166" s="173"/>
      <c r="F166" s="173"/>
      <c r="G166" s="173"/>
      <c r="H166" s="173">
        <v>25000</v>
      </c>
      <c r="I166" s="171">
        <f t="shared" si="3"/>
        <v>25000</v>
      </c>
      <c r="J166" s="162" t="s">
        <v>36</v>
      </c>
      <c r="K166" s="176" t="s">
        <v>113</v>
      </c>
      <c r="L166" s="224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</row>
    <row r="167" spans="1:64" s="94" customFormat="1" ht="21.75">
      <c r="A167" s="172" t="s">
        <v>541</v>
      </c>
      <c r="B167" s="173"/>
      <c r="C167" s="173"/>
      <c r="D167" s="173"/>
      <c r="E167" s="173"/>
      <c r="F167" s="173"/>
      <c r="G167" s="173"/>
      <c r="H167" s="173">
        <v>7000</v>
      </c>
      <c r="I167" s="667">
        <f t="shared" si="3"/>
        <v>7000</v>
      </c>
      <c r="J167" s="176" t="s">
        <v>36</v>
      </c>
      <c r="K167" s="176" t="s">
        <v>113</v>
      </c>
      <c r="L167" s="224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</row>
    <row r="168" spans="1:64" s="94" customFormat="1" ht="21.75">
      <c r="A168" s="643" t="s">
        <v>544</v>
      </c>
      <c r="B168" s="301"/>
      <c r="C168" s="301"/>
      <c r="D168" s="301"/>
      <c r="E168" s="301"/>
      <c r="F168" s="301"/>
      <c r="G168" s="301"/>
      <c r="H168" s="301"/>
      <c r="I168" s="171"/>
      <c r="J168" s="162"/>
      <c r="K168" s="162"/>
      <c r="L168" s="224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</row>
    <row r="169" spans="1:64" s="94" customFormat="1" ht="43.5">
      <c r="A169" s="653" t="s">
        <v>545</v>
      </c>
      <c r="B169" s="650">
        <f>93000</f>
        <v>93000</v>
      </c>
      <c r="C169" s="650"/>
      <c r="D169" s="650">
        <f>(214928.63*3)+1312849+579307+(180246*4)+229688.56+243493</f>
        <v>3731107.45</v>
      </c>
      <c r="E169" s="650">
        <f>66000+67000+77000</f>
        <v>210000</v>
      </c>
      <c r="F169" s="650">
        <f>273986+57000+180246+(229688.56*7)+242979+292479+119979+243493+85303.5</f>
        <v>3103285.42</v>
      </c>
      <c r="G169" s="650">
        <v>5742084.91</v>
      </c>
      <c r="H169" s="650"/>
      <c r="I169" s="651">
        <f t="shared" si="3"/>
        <v>12879477.780000001</v>
      </c>
      <c r="J169" s="652" t="s">
        <v>36</v>
      </c>
      <c r="K169" s="653" t="s">
        <v>549</v>
      </c>
      <c r="L169" s="224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</row>
    <row r="170" spans="1:64" s="94" customFormat="1" ht="49.5" customHeight="1">
      <c r="A170" s="176" t="s">
        <v>546</v>
      </c>
      <c r="B170" s="173"/>
      <c r="C170" s="173"/>
      <c r="D170" s="173">
        <f>410000+95000+96000</f>
        <v>601000</v>
      </c>
      <c r="E170" s="173"/>
      <c r="F170" s="173"/>
      <c r="G170" s="173">
        <f>205000+102500</f>
        <v>307500</v>
      </c>
      <c r="H170" s="173"/>
      <c r="I170" s="654">
        <f t="shared" si="3"/>
        <v>908500</v>
      </c>
      <c r="J170" s="162" t="s">
        <v>28</v>
      </c>
      <c r="K170" s="176" t="s">
        <v>550</v>
      </c>
      <c r="L170" s="224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</row>
    <row r="171" spans="1:64" s="94" customFormat="1" ht="54" customHeight="1">
      <c r="A171" s="176" t="s">
        <v>547</v>
      </c>
      <c r="B171" s="173">
        <v>271476</v>
      </c>
      <c r="C171" s="173"/>
      <c r="D171" s="173"/>
      <c r="E171" s="173"/>
      <c r="F171" s="173"/>
      <c r="G171" s="173"/>
      <c r="H171" s="173"/>
      <c r="I171" s="171">
        <f t="shared" si="3"/>
        <v>271476</v>
      </c>
      <c r="J171" s="162" t="s">
        <v>38</v>
      </c>
      <c r="K171" s="176" t="s">
        <v>548</v>
      </c>
      <c r="L171" s="224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</row>
    <row r="172" spans="1:64" s="94" customFormat="1" ht="48.75" customHeight="1">
      <c r="A172" s="176" t="s">
        <v>551</v>
      </c>
      <c r="B172" s="173"/>
      <c r="C172" s="173"/>
      <c r="D172" s="173"/>
      <c r="E172" s="173"/>
      <c r="F172" s="173"/>
      <c r="G172" s="173">
        <v>30000</v>
      </c>
      <c r="H172" s="173"/>
      <c r="I172" s="171">
        <f t="shared" si="3"/>
        <v>30000</v>
      </c>
      <c r="J172" s="162" t="s">
        <v>27</v>
      </c>
      <c r="K172" s="176" t="s">
        <v>548</v>
      </c>
      <c r="L172" s="164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</row>
    <row r="173" spans="1:64" s="94" customFormat="1" ht="69.75" customHeight="1">
      <c r="A173" s="176" t="s">
        <v>593</v>
      </c>
      <c r="B173" s="173"/>
      <c r="C173" s="173">
        <v>108000</v>
      </c>
      <c r="D173" s="173">
        <f>(56000*3)+108000</f>
        <v>276000</v>
      </c>
      <c r="E173" s="173"/>
      <c r="F173" s="173">
        <f>63000+45000+(56000*4)+108000+54000</f>
        <v>494000</v>
      </c>
      <c r="G173" s="173">
        <f>108000+56000+56000+63000+108000</f>
        <v>391000</v>
      </c>
      <c r="H173" s="173"/>
      <c r="I173" s="171">
        <f t="shared" si="3"/>
        <v>1269000</v>
      </c>
      <c r="J173" s="162" t="s">
        <v>28</v>
      </c>
      <c r="K173" s="176" t="s">
        <v>552</v>
      </c>
      <c r="L173" s="224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</row>
    <row r="174" spans="1:64" s="94" customFormat="1" ht="65.25">
      <c r="A174" s="172" t="s">
        <v>553</v>
      </c>
      <c r="B174" s="173"/>
      <c r="C174" s="173">
        <v>25000</v>
      </c>
      <c r="D174" s="173"/>
      <c r="E174" s="173"/>
      <c r="F174" s="173"/>
      <c r="G174" s="173"/>
      <c r="H174" s="173"/>
      <c r="I174" s="171">
        <f t="shared" si="3"/>
        <v>25000</v>
      </c>
      <c r="J174" s="162" t="s">
        <v>27</v>
      </c>
      <c r="K174" s="176" t="s">
        <v>376</v>
      </c>
      <c r="L174" s="224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</row>
    <row r="175" spans="1:64" s="94" customFormat="1" ht="43.5">
      <c r="A175" s="172" t="s">
        <v>554</v>
      </c>
      <c r="B175" s="173"/>
      <c r="C175" s="173"/>
      <c r="D175" s="173">
        <v>101302.4</v>
      </c>
      <c r="E175" s="173"/>
      <c r="F175" s="173"/>
      <c r="G175" s="173"/>
      <c r="H175" s="173"/>
      <c r="I175" s="171">
        <f t="shared" si="3"/>
        <v>101302.4</v>
      </c>
      <c r="J175" s="162" t="s">
        <v>27</v>
      </c>
      <c r="K175" s="176" t="s">
        <v>555</v>
      </c>
      <c r="L175" s="224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</row>
    <row r="176" spans="1:64" s="94" customFormat="1" ht="21.75">
      <c r="A176" s="172" t="s">
        <v>556</v>
      </c>
      <c r="B176" s="173"/>
      <c r="C176" s="173"/>
      <c r="D176" s="173"/>
      <c r="E176" s="173"/>
      <c r="F176" s="173"/>
      <c r="G176" s="173"/>
      <c r="H176" s="173">
        <v>26695.3</v>
      </c>
      <c r="I176" s="171">
        <f t="shared" si="3"/>
        <v>26695.3</v>
      </c>
      <c r="J176" s="162" t="s">
        <v>36</v>
      </c>
      <c r="K176" s="176" t="s">
        <v>113</v>
      </c>
      <c r="L176" s="224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</row>
    <row r="177" spans="1:64" s="94" customFormat="1" ht="21.75">
      <c r="A177" s="172" t="s">
        <v>557</v>
      </c>
      <c r="B177" s="173"/>
      <c r="C177" s="173"/>
      <c r="D177" s="173"/>
      <c r="E177" s="173"/>
      <c r="F177" s="173"/>
      <c r="G177" s="173"/>
      <c r="H177" s="173">
        <v>11766</v>
      </c>
      <c r="I177" s="171">
        <f t="shared" si="3"/>
        <v>11766</v>
      </c>
      <c r="J177" s="162" t="s">
        <v>36</v>
      </c>
      <c r="K177" s="176" t="s">
        <v>113</v>
      </c>
      <c r="L177" s="224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</row>
    <row r="178" spans="1:64" s="94" customFormat="1" ht="65.25">
      <c r="A178" s="638" t="s">
        <v>558</v>
      </c>
      <c r="B178" s="425"/>
      <c r="C178" s="425"/>
      <c r="D178" s="425"/>
      <c r="E178" s="425"/>
      <c r="F178" s="425"/>
      <c r="G178" s="425"/>
      <c r="H178" s="425">
        <v>20000</v>
      </c>
      <c r="I178" s="639">
        <f t="shared" si="3"/>
        <v>20000</v>
      </c>
      <c r="J178" s="352" t="s">
        <v>36</v>
      </c>
      <c r="K178" s="501" t="s">
        <v>113</v>
      </c>
      <c r="L178" s="640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</row>
    <row r="179" spans="1:64" s="94" customFormat="1" ht="21.75">
      <c r="A179" s="643" t="s">
        <v>561</v>
      </c>
      <c r="B179" s="301"/>
      <c r="C179" s="301"/>
      <c r="D179" s="301"/>
      <c r="E179" s="301"/>
      <c r="F179" s="301"/>
      <c r="G179" s="301"/>
      <c r="H179" s="301"/>
      <c r="I179" s="171"/>
      <c r="J179" s="162"/>
      <c r="K179" s="162"/>
      <c r="L179" s="642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</row>
    <row r="180" spans="1:64" s="94" customFormat="1" ht="21.75">
      <c r="A180" s="638" t="s">
        <v>559</v>
      </c>
      <c r="B180" s="425">
        <v>3072320</v>
      </c>
      <c r="C180" s="425">
        <v>1636540</v>
      </c>
      <c r="D180" s="425">
        <v>939150</v>
      </c>
      <c r="E180" s="425">
        <v>2779470</v>
      </c>
      <c r="F180" s="425">
        <v>854330</v>
      </c>
      <c r="G180" s="425">
        <f>50000+132850+96800+25000+439900+50000+100000+531600+250000+50000+50000+50000+25000+50000</f>
        <v>1901150</v>
      </c>
      <c r="H180" s="425"/>
      <c r="I180" s="639">
        <f t="shared" si="3"/>
        <v>11182960</v>
      </c>
      <c r="J180" s="352" t="s">
        <v>36</v>
      </c>
      <c r="K180" s="501" t="s">
        <v>560</v>
      </c>
      <c r="L180" s="640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</row>
    <row r="181" spans="1:64" s="94" customFormat="1" ht="21.75">
      <c r="A181" s="643" t="s">
        <v>562</v>
      </c>
      <c r="B181" s="301"/>
      <c r="C181" s="301"/>
      <c r="D181" s="301"/>
      <c r="E181" s="301"/>
      <c r="F181" s="301"/>
      <c r="G181" s="301"/>
      <c r="H181" s="301"/>
      <c r="I181" s="171"/>
      <c r="J181" s="162"/>
      <c r="K181" s="162"/>
      <c r="L181" s="642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</row>
    <row r="182" spans="1:64" s="94" customFormat="1" ht="56.25" customHeight="1">
      <c r="A182" s="176" t="s">
        <v>563</v>
      </c>
      <c r="B182" s="173"/>
      <c r="C182" s="173"/>
      <c r="D182" s="173"/>
      <c r="E182" s="173"/>
      <c r="F182" s="173"/>
      <c r="G182" s="173">
        <f>119900+119000+80000</f>
        <v>318900</v>
      </c>
      <c r="H182" s="173"/>
      <c r="I182" s="171">
        <f t="shared" si="3"/>
        <v>318900</v>
      </c>
      <c r="J182" s="162" t="s">
        <v>416</v>
      </c>
      <c r="K182" s="176" t="s">
        <v>390</v>
      </c>
      <c r="L182" s="224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</row>
    <row r="183" spans="1:64" s="94" customFormat="1" ht="99" customHeight="1">
      <c r="A183" s="176" t="s">
        <v>575</v>
      </c>
      <c r="B183" s="173">
        <f>101500+334180+102200+99400+102200+109580+114380+29000+29000</f>
        <v>1021440</v>
      </c>
      <c r="C183" s="173"/>
      <c r="D183" s="173"/>
      <c r="E183" s="173"/>
      <c r="F183" s="173"/>
      <c r="G183" s="173"/>
      <c r="H183" s="173"/>
      <c r="I183" s="554">
        <f t="shared" si="3"/>
        <v>1021440</v>
      </c>
      <c r="J183" s="162" t="s">
        <v>36</v>
      </c>
      <c r="K183" s="176" t="s">
        <v>576</v>
      </c>
      <c r="L183" s="224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</row>
    <row r="184" spans="1:12" s="83" customFormat="1" ht="24" customHeight="1" thickBot="1">
      <c r="A184" s="178" t="s">
        <v>2</v>
      </c>
      <c r="B184" s="179">
        <f aca="true" t="shared" si="5" ref="B184:I184">SUM(B8:B183)</f>
        <v>41503326.59</v>
      </c>
      <c r="C184" s="179">
        <f t="shared" si="5"/>
        <v>14092898.370000001</v>
      </c>
      <c r="D184" s="179">
        <f t="shared" si="5"/>
        <v>25889316.81</v>
      </c>
      <c r="E184" s="179">
        <f t="shared" si="5"/>
        <v>13550527.5</v>
      </c>
      <c r="F184" s="179">
        <f t="shared" si="5"/>
        <v>9424216.92</v>
      </c>
      <c r="G184" s="179">
        <f t="shared" si="5"/>
        <v>64876290.41</v>
      </c>
      <c r="H184" s="179">
        <f t="shared" si="5"/>
        <v>4077222.079999999</v>
      </c>
      <c r="I184" s="179">
        <f t="shared" si="5"/>
        <v>173413798.68</v>
      </c>
      <c r="J184" s="180"/>
      <c r="K184" s="180"/>
      <c r="L184" s="180"/>
    </row>
    <row r="185" spans="2:9" ht="22.5" thickTop="1">
      <c r="B185" s="69"/>
      <c r="G185" s="69"/>
      <c r="H185" s="69"/>
      <c r="I185" s="103"/>
    </row>
    <row r="186" spans="2:10" ht="21.75">
      <c r="B186" s="646"/>
      <c r="C186" s="646"/>
      <c r="D186" s="646"/>
      <c r="E186" s="646"/>
      <c r="F186" s="646"/>
      <c r="G186" s="646"/>
      <c r="H186" s="646"/>
      <c r="I186" s="646"/>
      <c r="J186" s="647"/>
    </row>
    <row r="187" spans="7:8" ht="21.75">
      <c r="G187" s="103"/>
      <c r="H187" s="103"/>
    </row>
    <row r="188" ht="21.75">
      <c r="G188" s="103"/>
    </row>
    <row r="189" ht="21.75">
      <c r="G189" s="69"/>
    </row>
    <row r="190" ht="21.75">
      <c r="G190" s="103"/>
    </row>
  </sheetData>
  <sheetProtection/>
  <mergeCells count="9">
    <mergeCell ref="A1:L1"/>
    <mergeCell ref="A2:L2"/>
    <mergeCell ref="A4:A5"/>
    <mergeCell ref="B4:G4"/>
    <mergeCell ref="H4:H5"/>
    <mergeCell ref="I4:I5"/>
    <mergeCell ref="J4:J5"/>
    <mergeCell ref="K4:K5"/>
    <mergeCell ref="L4:L5"/>
  </mergeCells>
  <printOptions horizontalCentered="1" verticalCentered="1"/>
  <pageMargins left="0" right="0" top="0.011811024" bottom="0.183070866" header="0.236220472440945" footer="0.15748031496063"/>
  <pageSetup horizontalDpi="600" verticalDpi="600" orientation="landscape" paperSize="9" scale="70" r:id="rId3"/>
  <rowBreaks count="12" manualBreakCount="12">
    <brk id="16" max="11" man="1"/>
    <brk id="26" max="11" man="1"/>
    <brk id="36" max="11" man="1"/>
    <brk id="51" max="11" man="1"/>
    <brk id="63" max="11" man="1"/>
    <brk id="80" max="11" man="1"/>
    <brk id="95" max="11" man="1"/>
    <brk id="113" max="11" man="1"/>
    <brk id="125" max="11" man="1"/>
    <brk id="141" max="11" man="1"/>
    <brk id="165" max="11" man="1"/>
    <brk id="178" max="11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Q95"/>
  <sheetViews>
    <sheetView showGridLines="0" zoomScalePageLayoutView="0" workbookViewId="0" topLeftCell="A1">
      <pane xSplit="1" ySplit="5" topLeftCell="B90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D92" sqref="D92"/>
    </sheetView>
  </sheetViews>
  <sheetFormatPr defaultColWidth="9.140625" defaultRowHeight="21.75"/>
  <cols>
    <col min="1" max="1" width="57.28125" style="70" customWidth="1"/>
    <col min="2" max="2" width="14.7109375" style="70" customWidth="1"/>
    <col min="3" max="3" width="13.57421875" style="70" customWidth="1"/>
    <col min="4" max="5" width="14.00390625" style="70" customWidth="1"/>
    <col min="6" max="6" width="13.421875" style="70" customWidth="1"/>
    <col min="7" max="7" width="15.00390625" style="70" customWidth="1"/>
    <col min="8" max="8" width="17.8515625" style="70" customWidth="1"/>
    <col min="9" max="9" width="15.00390625" style="70" customWidth="1"/>
    <col min="10" max="10" width="12.28125" style="70" customWidth="1"/>
    <col min="11" max="11" width="19.00390625" style="70" customWidth="1"/>
    <col min="12" max="12" width="11.140625" style="0" customWidth="1"/>
    <col min="13" max="13" width="15.28125" style="0" bestFit="1" customWidth="1"/>
    <col min="14" max="14" width="16.421875" style="0" customWidth="1"/>
    <col min="15" max="16" width="13.57421875" style="0" bestFit="1" customWidth="1"/>
    <col min="17" max="17" width="16.421875" style="0" customWidth="1"/>
  </cols>
  <sheetData>
    <row r="1" spans="1:12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2" ht="23.25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</row>
    <row r="3" ht="21.75" customHeight="1">
      <c r="L3" s="6"/>
    </row>
    <row r="4" spans="1:12" ht="37.5" customHeight="1">
      <c r="A4" s="779" t="s">
        <v>1</v>
      </c>
      <c r="B4" s="817" t="s">
        <v>12</v>
      </c>
      <c r="C4" s="818"/>
      <c r="D4" s="818"/>
      <c r="E4" s="818"/>
      <c r="F4" s="818"/>
      <c r="G4" s="819"/>
      <c r="H4" s="767" t="s">
        <v>60</v>
      </c>
      <c r="I4" s="779" t="s">
        <v>13</v>
      </c>
      <c r="J4" s="779" t="s">
        <v>6</v>
      </c>
      <c r="K4" s="779" t="s">
        <v>7</v>
      </c>
      <c r="L4" s="815" t="s">
        <v>31</v>
      </c>
    </row>
    <row r="5" spans="1:12" ht="27.75" customHeight="1">
      <c r="A5" s="780"/>
      <c r="B5" s="128" t="s">
        <v>8</v>
      </c>
      <c r="C5" s="128" t="s">
        <v>9</v>
      </c>
      <c r="D5" s="128" t="s">
        <v>153</v>
      </c>
      <c r="E5" s="128" t="s">
        <v>10</v>
      </c>
      <c r="F5" s="128" t="s">
        <v>19</v>
      </c>
      <c r="G5" s="129" t="s">
        <v>18</v>
      </c>
      <c r="H5" s="778"/>
      <c r="I5" s="780"/>
      <c r="J5" s="780"/>
      <c r="K5" s="780"/>
      <c r="L5" s="816"/>
    </row>
    <row r="6" spans="1:12" ht="27.75" customHeight="1">
      <c r="A6" s="71" t="s">
        <v>40</v>
      </c>
      <c r="B6" s="71"/>
      <c r="C6" s="72"/>
      <c r="D6" s="72"/>
      <c r="E6" s="72"/>
      <c r="F6" s="72"/>
      <c r="G6" s="72"/>
      <c r="H6" s="72"/>
      <c r="I6" s="72"/>
      <c r="J6" s="73"/>
      <c r="K6" s="73"/>
      <c r="L6" s="10"/>
    </row>
    <row r="7" spans="1:16" ht="27.75" customHeight="1">
      <c r="A7" s="398" t="s">
        <v>131</v>
      </c>
      <c r="B7" s="540"/>
      <c r="C7" s="540"/>
      <c r="D7" s="540"/>
      <c r="E7" s="540"/>
      <c r="F7" s="540"/>
      <c r="G7" s="383"/>
      <c r="H7" s="540"/>
      <c r="I7" s="364"/>
      <c r="J7" s="246"/>
      <c r="K7" s="380"/>
      <c r="L7" s="87"/>
      <c r="P7" s="110"/>
    </row>
    <row r="8" spans="1:16" ht="65.25">
      <c r="A8" s="655" t="s">
        <v>349</v>
      </c>
      <c r="B8" s="369">
        <v>341330</v>
      </c>
      <c r="C8" s="369">
        <v>280340</v>
      </c>
      <c r="D8" s="369">
        <v>341330</v>
      </c>
      <c r="E8" s="369">
        <v>341330</v>
      </c>
      <c r="F8" s="369"/>
      <c r="G8" s="656">
        <f>325280+334910+341330</f>
        <v>1001520</v>
      </c>
      <c r="H8" s="369"/>
      <c r="I8" s="386">
        <f aca="true" t="shared" si="0" ref="I8:I41">SUM(B8:H8)</f>
        <v>2305850</v>
      </c>
      <c r="J8" s="231" t="s">
        <v>28</v>
      </c>
      <c r="K8" s="231" t="s">
        <v>579</v>
      </c>
      <c r="L8" s="15"/>
      <c r="N8" s="313"/>
      <c r="P8" s="110"/>
    </row>
    <row r="9" spans="1:16" ht="152.25">
      <c r="A9" s="402" t="s">
        <v>602</v>
      </c>
      <c r="B9" s="365"/>
      <c r="C9" s="365"/>
      <c r="D9" s="365">
        <f>299500</f>
        <v>299500</v>
      </c>
      <c r="E9" s="365"/>
      <c r="F9" s="365"/>
      <c r="G9" s="404"/>
      <c r="H9" s="365"/>
      <c r="I9" s="381">
        <f t="shared" si="0"/>
        <v>299500</v>
      </c>
      <c r="J9" s="231" t="s">
        <v>28</v>
      </c>
      <c r="K9" s="231" t="s">
        <v>15</v>
      </c>
      <c r="L9" s="15"/>
      <c r="N9" s="110"/>
      <c r="P9" s="110"/>
    </row>
    <row r="10" spans="1:16" ht="65.25">
      <c r="A10" s="485" t="s">
        <v>629</v>
      </c>
      <c r="B10" s="365"/>
      <c r="C10" s="365"/>
      <c r="D10" s="365">
        <v>350000</v>
      </c>
      <c r="E10" s="365"/>
      <c r="F10" s="365"/>
      <c r="G10" s="404"/>
      <c r="H10" s="365"/>
      <c r="I10" s="381">
        <f>SUM(B10:H10)</f>
        <v>350000</v>
      </c>
      <c r="J10" s="231" t="s">
        <v>580</v>
      </c>
      <c r="K10" s="231" t="s">
        <v>15</v>
      </c>
      <c r="L10" s="15"/>
      <c r="N10" s="110"/>
      <c r="P10" s="110"/>
    </row>
    <row r="11" spans="1:16" ht="90.75" customHeight="1">
      <c r="A11" s="485" t="s">
        <v>603</v>
      </c>
      <c r="B11" s="365"/>
      <c r="C11" s="365">
        <v>700000</v>
      </c>
      <c r="D11" s="365"/>
      <c r="E11" s="365"/>
      <c r="F11" s="365"/>
      <c r="G11" s="404"/>
      <c r="H11" s="365"/>
      <c r="I11" s="381">
        <f>SUM(B11:H11)</f>
        <v>700000</v>
      </c>
      <c r="J11" s="231" t="s">
        <v>147</v>
      </c>
      <c r="K11" s="231" t="s">
        <v>15</v>
      </c>
      <c r="L11" s="15"/>
      <c r="N11" s="110"/>
      <c r="P11" s="110"/>
    </row>
    <row r="12" spans="1:16" ht="48.75" customHeight="1">
      <c r="A12" s="485" t="s">
        <v>604</v>
      </c>
      <c r="B12" s="365"/>
      <c r="C12" s="365">
        <v>84092.82</v>
      </c>
      <c r="D12" s="365"/>
      <c r="E12" s="365"/>
      <c r="F12" s="365"/>
      <c r="G12" s="404"/>
      <c r="H12" s="365"/>
      <c r="I12" s="381">
        <f>SUM(B12:H12)</f>
        <v>84092.82</v>
      </c>
      <c r="J12" s="231" t="s">
        <v>27</v>
      </c>
      <c r="K12" s="231" t="s">
        <v>15</v>
      </c>
      <c r="L12" s="15"/>
      <c r="N12" s="110"/>
      <c r="P12" s="110"/>
    </row>
    <row r="13" spans="1:16" ht="65.25">
      <c r="A13" s="485" t="s">
        <v>630</v>
      </c>
      <c r="B13" s="365"/>
      <c r="C13" s="365">
        <v>50000</v>
      </c>
      <c r="D13" s="365"/>
      <c r="E13" s="365"/>
      <c r="F13" s="365"/>
      <c r="G13" s="404"/>
      <c r="H13" s="365"/>
      <c r="I13" s="381">
        <f>SUM(B13:H13)</f>
        <v>50000</v>
      </c>
      <c r="J13" s="231" t="s">
        <v>28</v>
      </c>
      <c r="K13" s="231" t="s">
        <v>15</v>
      </c>
      <c r="L13" s="15"/>
      <c r="N13" s="110"/>
      <c r="P13" s="110"/>
    </row>
    <row r="14" spans="1:16" ht="65.25">
      <c r="A14" s="399" t="s">
        <v>605</v>
      </c>
      <c r="B14" s="365">
        <v>2000000</v>
      </c>
      <c r="C14" s="365">
        <v>2000000</v>
      </c>
      <c r="D14" s="365">
        <v>2000000</v>
      </c>
      <c r="E14" s="365"/>
      <c r="F14" s="365"/>
      <c r="G14" s="404"/>
      <c r="H14" s="365"/>
      <c r="I14" s="381">
        <f t="shared" si="0"/>
        <v>6000000</v>
      </c>
      <c r="J14" s="231" t="s">
        <v>28</v>
      </c>
      <c r="K14" s="231" t="s">
        <v>15</v>
      </c>
      <c r="L14" s="15"/>
      <c r="N14" s="110"/>
      <c r="P14" s="110"/>
    </row>
    <row r="15" spans="1:16" ht="45" customHeight="1">
      <c r="A15" s="399" t="s">
        <v>606</v>
      </c>
      <c r="B15" s="365"/>
      <c r="C15" s="365">
        <v>500000</v>
      </c>
      <c r="D15" s="365"/>
      <c r="E15" s="365"/>
      <c r="F15" s="365"/>
      <c r="G15" s="404"/>
      <c r="H15" s="365"/>
      <c r="I15" s="381">
        <f t="shared" si="0"/>
        <v>500000</v>
      </c>
      <c r="J15" s="231" t="s">
        <v>350</v>
      </c>
      <c r="K15" s="231" t="s">
        <v>15</v>
      </c>
      <c r="L15" s="15"/>
      <c r="N15" s="110"/>
      <c r="P15" s="110"/>
    </row>
    <row r="16" spans="1:16" ht="130.5">
      <c r="A16" s="399" t="s">
        <v>607</v>
      </c>
      <c r="B16" s="365"/>
      <c r="C16" s="365">
        <v>820000</v>
      </c>
      <c r="D16" s="365"/>
      <c r="E16" s="365"/>
      <c r="F16" s="365"/>
      <c r="G16" s="404"/>
      <c r="H16" s="365"/>
      <c r="I16" s="381">
        <f t="shared" si="0"/>
        <v>820000</v>
      </c>
      <c r="J16" s="231" t="s">
        <v>147</v>
      </c>
      <c r="K16" s="231" t="s">
        <v>15</v>
      </c>
      <c r="L16" s="15"/>
      <c r="N16" s="110"/>
      <c r="P16" s="110"/>
    </row>
    <row r="17" spans="1:16" ht="65.25">
      <c r="A17" s="399" t="s">
        <v>596</v>
      </c>
      <c r="B17" s="365"/>
      <c r="C17" s="365">
        <v>230000</v>
      </c>
      <c r="D17" s="365"/>
      <c r="E17" s="365"/>
      <c r="F17" s="365"/>
      <c r="G17" s="404"/>
      <c r="H17" s="365"/>
      <c r="I17" s="381">
        <f t="shared" si="0"/>
        <v>230000</v>
      </c>
      <c r="J17" s="231" t="s">
        <v>27</v>
      </c>
      <c r="K17" s="231" t="s">
        <v>15</v>
      </c>
      <c r="L17" s="15"/>
      <c r="N17" s="110"/>
      <c r="P17" s="110"/>
    </row>
    <row r="18" spans="1:16" ht="87">
      <c r="A18" s="399" t="s">
        <v>608</v>
      </c>
      <c r="B18" s="365"/>
      <c r="C18" s="365">
        <v>770277</v>
      </c>
      <c r="D18" s="365"/>
      <c r="E18" s="365"/>
      <c r="F18" s="365"/>
      <c r="G18" s="404"/>
      <c r="H18" s="365"/>
      <c r="I18" s="381">
        <f t="shared" si="0"/>
        <v>770277</v>
      </c>
      <c r="J18" s="231" t="s">
        <v>28</v>
      </c>
      <c r="K18" s="231" t="s">
        <v>15</v>
      </c>
      <c r="L18" s="15"/>
      <c r="N18" s="110"/>
      <c r="P18" s="110"/>
    </row>
    <row r="19" spans="1:16" ht="26.25" customHeight="1">
      <c r="A19" s="399" t="s">
        <v>351</v>
      </c>
      <c r="B19" s="365"/>
      <c r="C19" s="365">
        <v>291005.15</v>
      </c>
      <c r="D19" s="365"/>
      <c r="E19" s="365"/>
      <c r="F19" s="365"/>
      <c r="G19" s="404"/>
      <c r="H19" s="365"/>
      <c r="I19" s="381">
        <f t="shared" si="0"/>
        <v>291005.15</v>
      </c>
      <c r="J19" s="231" t="s">
        <v>352</v>
      </c>
      <c r="K19" s="231" t="s">
        <v>15</v>
      </c>
      <c r="L19" s="15"/>
      <c r="N19" s="110"/>
      <c r="P19" s="110"/>
    </row>
    <row r="20" spans="1:16" ht="57.75" customHeight="1">
      <c r="A20" s="399" t="s">
        <v>609</v>
      </c>
      <c r="B20" s="365"/>
      <c r="C20" s="365">
        <v>400000</v>
      </c>
      <c r="D20" s="365"/>
      <c r="E20" s="365"/>
      <c r="F20" s="365"/>
      <c r="G20" s="404"/>
      <c r="H20" s="365"/>
      <c r="I20" s="381">
        <f t="shared" si="0"/>
        <v>400000</v>
      </c>
      <c r="J20" s="231" t="s">
        <v>352</v>
      </c>
      <c r="K20" s="231" t="s">
        <v>15</v>
      </c>
      <c r="L20" s="15"/>
      <c r="N20" s="110"/>
      <c r="P20" s="110"/>
    </row>
    <row r="21" spans="1:16" ht="57.75" customHeight="1">
      <c r="A21" s="399" t="s">
        <v>610</v>
      </c>
      <c r="B21" s="365"/>
      <c r="C21" s="365">
        <v>30000</v>
      </c>
      <c r="D21" s="365"/>
      <c r="E21" s="365"/>
      <c r="F21" s="365"/>
      <c r="G21" s="404"/>
      <c r="H21" s="365"/>
      <c r="I21" s="381">
        <f t="shared" si="0"/>
        <v>30000</v>
      </c>
      <c r="J21" s="231" t="s">
        <v>350</v>
      </c>
      <c r="K21" s="231" t="s">
        <v>132</v>
      </c>
      <c r="L21" s="15"/>
      <c r="N21" s="110"/>
      <c r="P21" s="110"/>
    </row>
    <row r="22" spans="1:16" ht="87">
      <c r="A22" s="399" t="s">
        <v>364</v>
      </c>
      <c r="B22" s="365"/>
      <c r="C22" s="369">
        <v>45000</v>
      </c>
      <c r="D22" s="365"/>
      <c r="E22" s="365"/>
      <c r="F22" s="365"/>
      <c r="G22" s="404"/>
      <c r="H22" s="365"/>
      <c r="I22" s="381">
        <f t="shared" si="0"/>
        <v>45000</v>
      </c>
      <c r="J22" s="231" t="s">
        <v>588</v>
      </c>
      <c r="K22" s="231" t="s">
        <v>581</v>
      </c>
      <c r="L22" s="15"/>
      <c r="N22" s="110"/>
      <c r="P22" s="110"/>
    </row>
    <row r="23" spans="1:16" ht="87">
      <c r="A23" s="399" t="s">
        <v>611</v>
      </c>
      <c r="B23" s="365"/>
      <c r="C23" s="365"/>
      <c r="D23" s="365">
        <v>375144</v>
      </c>
      <c r="E23" s="365"/>
      <c r="F23" s="365"/>
      <c r="G23" s="404"/>
      <c r="H23" s="365"/>
      <c r="I23" s="381">
        <f t="shared" si="0"/>
        <v>375144</v>
      </c>
      <c r="J23" s="231" t="s">
        <v>28</v>
      </c>
      <c r="K23" s="231"/>
      <c r="L23" s="15"/>
      <c r="N23" s="110"/>
      <c r="P23" s="110"/>
    </row>
    <row r="24" spans="1:16" ht="65.25">
      <c r="A24" s="399" t="s">
        <v>365</v>
      </c>
      <c r="B24" s="365"/>
      <c r="C24" s="365"/>
      <c r="D24" s="365">
        <v>114000</v>
      </c>
      <c r="E24" s="365"/>
      <c r="F24" s="365"/>
      <c r="G24" s="404"/>
      <c r="H24" s="365"/>
      <c r="I24" s="381">
        <f t="shared" si="0"/>
        <v>114000</v>
      </c>
      <c r="J24" s="231" t="s">
        <v>147</v>
      </c>
      <c r="K24" s="231" t="s">
        <v>39</v>
      </c>
      <c r="L24" s="15"/>
      <c r="N24" s="110"/>
      <c r="P24" s="110"/>
    </row>
    <row r="25" spans="1:16" ht="108.75">
      <c r="A25" s="399" t="s">
        <v>366</v>
      </c>
      <c r="B25" s="365"/>
      <c r="C25" s="365"/>
      <c r="D25" s="365">
        <v>422037</v>
      </c>
      <c r="E25" s="365"/>
      <c r="F25" s="365"/>
      <c r="G25" s="404"/>
      <c r="H25" s="365"/>
      <c r="I25" s="381">
        <f t="shared" si="0"/>
        <v>422037</v>
      </c>
      <c r="J25" s="231" t="s">
        <v>28</v>
      </c>
      <c r="K25" s="231" t="s">
        <v>15</v>
      </c>
      <c r="L25" s="15"/>
      <c r="N25" s="110"/>
      <c r="P25" s="110"/>
    </row>
    <row r="26" spans="1:16" ht="65.25">
      <c r="A26" s="399" t="s">
        <v>353</v>
      </c>
      <c r="B26" s="365"/>
      <c r="C26" s="365"/>
      <c r="D26" s="365">
        <v>1299999.76</v>
      </c>
      <c r="E26" s="365"/>
      <c r="F26" s="365"/>
      <c r="G26" s="404"/>
      <c r="H26" s="365"/>
      <c r="I26" s="381">
        <f t="shared" si="0"/>
        <v>1299999.76</v>
      </c>
      <c r="J26" s="231" t="s">
        <v>352</v>
      </c>
      <c r="K26" s="231"/>
      <c r="L26" s="15"/>
      <c r="N26" s="110"/>
      <c r="P26" s="110"/>
    </row>
    <row r="27" spans="1:16" ht="87">
      <c r="A27" s="399" t="s">
        <v>612</v>
      </c>
      <c r="B27" s="365"/>
      <c r="C27" s="365"/>
      <c r="D27" s="365">
        <v>799992</v>
      </c>
      <c r="E27" s="365"/>
      <c r="F27" s="365"/>
      <c r="G27" s="404"/>
      <c r="H27" s="365"/>
      <c r="I27" s="381">
        <f t="shared" si="0"/>
        <v>799992</v>
      </c>
      <c r="J27" s="231" t="s">
        <v>36</v>
      </c>
      <c r="K27" s="231"/>
      <c r="L27" s="15"/>
      <c r="N27" s="110"/>
      <c r="P27" s="110"/>
    </row>
    <row r="28" spans="1:16" ht="43.5">
      <c r="A28" s="399" t="s">
        <v>354</v>
      </c>
      <c r="B28" s="365">
        <v>920319</v>
      </c>
      <c r="C28" s="365"/>
      <c r="D28" s="365"/>
      <c r="E28" s="365"/>
      <c r="F28" s="365"/>
      <c r="G28" s="404"/>
      <c r="H28" s="365"/>
      <c r="I28" s="381">
        <f t="shared" si="0"/>
        <v>920319</v>
      </c>
      <c r="J28" s="231" t="s">
        <v>350</v>
      </c>
      <c r="K28" s="231" t="s">
        <v>132</v>
      </c>
      <c r="L28" s="15"/>
      <c r="N28" s="110"/>
      <c r="P28" s="110"/>
    </row>
    <row r="29" spans="1:16" ht="65.25">
      <c r="A29" s="399" t="s">
        <v>613</v>
      </c>
      <c r="B29" s="365"/>
      <c r="C29" s="365"/>
      <c r="D29" s="365"/>
      <c r="E29" s="365">
        <v>940059</v>
      </c>
      <c r="F29" s="365"/>
      <c r="G29" s="404"/>
      <c r="H29" s="365"/>
      <c r="I29" s="381">
        <f t="shared" si="0"/>
        <v>940059</v>
      </c>
      <c r="J29" s="231" t="s">
        <v>350</v>
      </c>
      <c r="K29" s="231" t="s">
        <v>132</v>
      </c>
      <c r="L29" s="15"/>
      <c r="N29" s="110"/>
      <c r="P29" s="110"/>
    </row>
    <row r="30" spans="1:16" ht="108.75">
      <c r="A30" s="399" t="s">
        <v>597</v>
      </c>
      <c r="B30" s="365"/>
      <c r="C30" s="365"/>
      <c r="D30" s="365"/>
      <c r="E30" s="365">
        <v>299997</v>
      </c>
      <c r="F30" s="365"/>
      <c r="G30" s="404"/>
      <c r="H30" s="365"/>
      <c r="I30" s="381">
        <f t="shared" si="0"/>
        <v>299997</v>
      </c>
      <c r="J30" s="231" t="s">
        <v>27</v>
      </c>
      <c r="K30" s="231" t="s">
        <v>474</v>
      </c>
      <c r="L30" s="15"/>
      <c r="N30" s="110"/>
      <c r="P30" s="110"/>
    </row>
    <row r="31" spans="1:16" ht="108.75">
      <c r="A31" s="399" t="s">
        <v>598</v>
      </c>
      <c r="B31" s="365"/>
      <c r="C31" s="365"/>
      <c r="D31" s="365"/>
      <c r="E31" s="365"/>
      <c r="F31" s="365">
        <v>3899752.3</v>
      </c>
      <c r="G31" s="404"/>
      <c r="H31" s="365"/>
      <c r="I31" s="381">
        <f t="shared" si="0"/>
        <v>3899752.3</v>
      </c>
      <c r="J31" s="231" t="s">
        <v>28</v>
      </c>
      <c r="K31" s="231" t="s">
        <v>15</v>
      </c>
      <c r="L31" s="15"/>
      <c r="N31" s="110"/>
      <c r="P31" s="110"/>
    </row>
    <row r="32" spans="1:16" ht="87">
      <c r="A32" s="399" t="s">
        <v>614</v>
      </c>
      <c r="B32" s="365"/>
      <c r="C32" s="365"/>
      <c r="D32" s="365"/>
      <c r="E32" s="365"/>
      <c r="F32" s="365">
        <v>130000</v>
      </c>
      <c r="G32" s="404"/>
      <c r="H32" s="365"/>
      <c r="I32" s="381">
        <f t="shared" si="0"/>
        <v>130000</v>
      </c>
      <c r="J32" s="231" t="s">
        <v>27</v>
      </c>
      <c r="K32" s="231"/>
      <c r="L32" s="15"/>
      <c r="N32" s="110"/>
      <c r="P32" s="110"/>
    </row>
    <row r="33" spans="1:16" ht="65.25">
      <c r="A33" s="399" t="s">
        <v>615</v>
      </c>
      <c r="B33" s="365"/>
      <c r="C33" s="365"/>
      <c r="D33" s="365"/>
      <c r="E33" s="365"/>
      <c r="F33" s="365"/>
      <c r="G33" s="404">
        <v>148530</v>
      </c>
      <c r="H33" s="365"/>
      <c r="I33" s="381">
        <f t="shared" si="0"/>
        <v>148530</v>
      </c>
      <c r="J33" s="231" t="s">
        <v>27</v>
      </c>
      <c r="K33" s="231" t="s">
        <v>474</v>
      </c>
      <c r="L33" s="15"/>
      <c r="N33" s="110"/>
      <c r="P33" s="110"/>
    </row>
    <row r="34" spans="1:16" ht="87">
      <c r="A34" s="399" t="s">
        <v>616</v>
      </c>
      <c r="B34" s="365"/>
      <c r="C34" s="365"/>
      <c r="D34" s="365"/>
      <c r="E34" s="365"/>
      <c r="F34" s="365"/>
      <c r="G34" s="404">
        <v>102000</v>
      </c>
      <c r="H34" s="365"/>
      <c r="I34" s="381">
        <f t="shared" si="0"/>
        <v>102000</v>
      </c>
      <c r="J34" s="231" t="s">
        <v>352</v>
      </c>
      <c r="K34" s="231" t="s">
        <v>39</v>
      </c>
      <c r="L34" s="15"/>
      <c r="N34" s="110"/>
      <c r="P34" s="110"/>
    </row>
    <row r="35" spans="1:16" ht="65.25">
      <c r="A35" s="399" t="s">
        <v>617</v>
      </c>
      <c r="B35" s="365"/>
      <c r="C35" s="365"/>
      <c r="D35" s="365"/>
      <c r="E35" s="365"/>
      <c r="F35" s="365"/>
      <c r="G35" s="404">
        <v>199999.98</v>
      </c>
      <c r="H35" s="365"/>
      <c r="I35" s="381">
        <f t="shared" si="0"/>
        <v>199999.98</v>
      </c>
      <c r="J35" s="231" t="s">
        <v>352</v>
      </c>
      <c r="K35" s="231" t="s">
        <v>474</v>
      </c>
      <c r="L35" s="15"/>
      <c r="N35" s="110"/>
      <c r="P35" s="110"/>
    </row>
    <row r="36" spans="1:16" ht="67.5" customHeight="1">
      <c r="A36" s="399" t="s">
        <v>618</v>
      </c>
      <c r="B36" s="365"/>
      <c r="C36" s="365"/>
      <c r="D36" s="365"/>
      <c r="E36" s="365"/>
      <c r="F36" s="365"/>
      <c r="G36" s="404"/>
      <c r="H36" s="365">
        <v>928350</v>
      </c>
      <c r="I36" s="381">
        <f t="shared" si="0"/>
        <v>928350</v>
      </c>
      <c r="J36" s="231" t="s">
        <v>36</v>
      </c>
      <c r="K36" s="231" t="s">
        <v>331</v>
      </c>
      <c r="L36" s="15"/>
      <c r="N36" s="110"/>
      <c r="P36" s="110"/>
    </row>
    <row r="37" spans="1:16" ht="43.5">
      <c r="A37" s="399" t="s">
        <v>625</v>
      </c>
      <c r="B37" s="365"/>
      <c r="C37" s="365"/>
      <c r="D37" s="365"/>
      <c r="E37" s="365"/>
      <c r="F37" s="365"/>
      <c r="G37" s="404">
        <v>1750000</v>
      </c>
      <c r="H37" s="365"/>
      <c r="I37" s="381">
        <f t="shared" si="0"/>
        <v>1750000</v>
      </c>
      <c r="J37" s="231" t="s">
        <v>28</v>
      </c>
      <c r="K37" s="231" t="s">
        <v>15</v>
      </c>
      <c r="L37" s="15"/>
      <c r="N37" s="110"/>
      <c r="P37" s="110"/>
    </row>
    <row r="38" spans="1:16" ht="43.5">
      <c r="A38" s="399" t="s">
        <v>619</v>
      </c>
      <c r="B38" s="365"/>
      <c r="C38" s="365"/>
      <c r="D38" s="365"/>
      <c r="E38" s="365"/>
      <c r="F38" s="365"/>
      <c r="G38" s="404">
        <v>1150000</v>
      </c>
      <c r="H38" s="365"/>
      <c r="I38" s="381">
        <f t="shared" si="0"/>
        <v>1150000</v>
      </c>
      <c r="J38" s="231" t="s">
        <v>350</v>
      </c>
      <c r="K38" s="231" t="s">
        <v>15</v>
      </c>
      <c r="L38" s="15"/>
      <c r="N38" s="110"/>
      <c r="P38" s="110"/>
    </row>
    <row r="39" spans="1:16" ht="43.5">
      <c r="A39" s="399" t="s">
        <v>624</v>
      </c>
      <c r="B39" s="365"/>
      <c r="C39" s="365"/>
      <c r="D39" s="365"/>
      <c r="E39" s="365"/>
      <c r="F39" s="365"/>
      <c r="G39" s="404">
        <v>1571575</v>
      </c>
      <c r="H39" s="365"/>
      <c r="I39" s="381">
        <f t="shared" si="0"/>
        <v>1571575</v>
      </c>
      <c r="J39" s="231" t="s">
        <v>28</v>
      </c>
      <c r="K39" s="231" t="s">
        <v>15</v>
      </c>
      <c r="L39" s="15"/>
      <c r="N39" s="110"/>
      <c r="P39" s="110"/>
    </row>
    <row r="40" spans="1:16" ht="43.5">
      <c r="A40" s="399" t="s">
        <v>599</v>
      </c>
      <c r="B40" s="365"/>
      <c r="C40" s="365"/>
      <c r="D40" s="365"/>
      <c r="E40" s="365"/>
      <c r="F40" s="365"/>
      <c r="G40" s="404">
        <v>247385.07</v>
      </c>
      <c r="H40" s="365"/>
      <c r="I40" s="381">
        <f t="shared" si="0"/>
        <v>247385.07</v>
      </c>
      <c r="J40" s="231" t="s">
        <v>28</v>
      </c>
      <c r="K40" s="231" t="s">
        <v>579</v>
      </c>
      <c r="L40" s="15"/>
      <c r="N40" s="110"/>
      <c r="P40" s="110"/>
    </row>
    <row r="41" spans="1:16" ht="43.5">
      <c r="A41" s="399" t="s">
        <v>355</v>
      </c>
      <c r="B41" s="365"/>
      <c r="C41" s="365"/>
      <c r="D41" s="365"/>
      <c r="E41" s="365"/>
      <c r="F41" s="365"/>
      <c r="G41" s="404">
        <v>100000</v>
      </c>
      <c r="H41" s="365"/>
      <c r="I41" s="381">
        <f t="shared" si="0"/>
        <v>100000</v>
      </c>
      <c r="J41" s="231" t="s">
        <v>352</v>
      </c>
      <c r="K41" s="231" t="s">
        <v>15</v>
      </c>
      <c r="L41" s="15"/>
      <c r="N41" s="110"/>
      <c r="P41" s="110"/>
    </row>
    <row r="42" spans="1:16" ht="27.75" customHeight="1">
      <c r="A42" s="399" t="s">
        <v>356</v>
      </c>
      <c r="B42" s="365"/>
      <c r="C42" s="365"/>
      <c r="D42" s="365"/>
      <c r="E42" s="365"/>
      <c r="F42" s="365"/>
      <c r="G42" s="404">
        <v>100000</v>
      </c>
      <c r="H42" s="365"/>
      <c r="I42" s="381">
        <f aca="true" t="shared" si="1" ref="I42:I51">SUM(B42:H42)</f>
        <v>100000</v>
      </c>
      <c r="J42" s="231" t="s">
        <v>352</v>
      </c>
      <c r="K42" s="231" t="s">
        <v>15</v>
      </c>
      <c r="L42" s="15"/>
      <c r="N42" s="110"/>
      <c r="P42" s="110"/>
    </row>
    <row r="43" spans="1:16" ht="27.75" customHeight="1">
      <c r="A43" s="399" t="s">
        <v>584</v>
      </c>
      <c r="B43" s="365"/>
      <c r="C43" s="365"/>
      <c r="D43" s="365"/>
      <c r="E43" s="365"/>
      <c r="F43" s="365"/>
      <c r="G43" s="404">
        <v>200000</v>
      </c>
      <c r="H43" s="365"/>
      <c r="I43" s="381">
        <f t="shared" si="1"/>
        <v>200000</v>
      </c>
      <c r="J43" s="231" t="s">
        <v>28</v>
      </c>
      <c r="K43" s="231" t="s">
        <v>15</v>
      </c>
      <c r="L43" s="15"/>
      <c r="N43" s="110"/>
      <c r="P43" s="110"/>
    </row>
    <row r="44" spans="1:16" ht="43.5">
      <c r="A44" s="399" t="s">
        <v>357</v>
      </c>
      <c r="B44" s="365"/>
      <c r="C44" s="365"/>
      <c r="D44" s="365"/>
      <c r="E44" s="365"/>
      <c r="F44" s="365"/>
      <c r="G44" s="404">
        <v>1600000</v>
      </c>
      <c r="H44" s="365"/>
      <c r="I44" s="381">
        <f t="shared" si="1"/>
        <v>1600000</v>
      </c>
      <c r="J44" s="231" t="s">
        <v>28</v>
      </c>
      <c r="K44" s="231" t="s">
        <v>15</v>
      </c>
      <c r="L44" s="15"/>
      <c r="N44" s="110"/>
      <c r="P44" s="110"/>
    </row>
    <row r="45" spans="1:16" ht="27.75" customHeight="1">
      <c r="A45" s="399" t="s">
        <v>358</v>
      </c>
      <c r="B45" s="365"/>
      <c r="C45" s="365"/>
      <c r="D45" s="365"/>
      <c r="E45" s="365"/>
      <c r="F45" s="365"/>
      <c r="G45" s="404">
        <v>280000</v>
      </c>
      <c r="H45" s="365"/>
      <c r="I45" s="381">
        <f t="shared" si="1"/>
        <v>280000</v>
      </c>
      <c r="J45" s="231" t="s">
        <v>27</v>
      </c>
      <c r="K45" s="231" t="s">
        <v>15</v>
      </c>
      <c r="L45" s="15"/>
      <c r="N45" s="110"/>
      <c r="P45" s="110"/>
    </row>
    <row r="46" spans="1:16" ht="27.75" customHeight="1">
      <c r="A46" s="399" t="s">
        <v>359</v>
      </c>
      <c r="B46" s="365"/>
      <c r="C46" s="365"/>
      <c r="D46" s="365"/>
      <c r="E46" s="365"/>
      <c r="F46" s="365"/>
      <c r="G46" s="404">
        <v>937412.2</v>
      </c>
      <c r="H46" s="365"/>
      <c r="I46" s="381">
        <f t="shared" si="1"/>
        <v>937412.2</v>
      </c>
      <c r="J46" s="231" t="s">
        <v>28</v>
      </c>
      <c r="K46" s="231" t="s">
        <v>15</v>
      </c>
      <c r="L46" s="15"/>
      <c r="N46" s="110"/>
      <c r="P46" s="110"/>
    </row>
    <row r="47" spans="1:16" ht="43.5">
      <c r="A47" s="399" t="s">
        <v>360</v>
      </c>
      <c r="B47" s="365"/>
      <c r="C47" s="365"/>
      <c r="D47" s="365"/>
      <c r="E47" s="365"/>
      <c r="F47" s="365"/>
      <c r="G47" s="404">
        <v>1067900.97</v>
      </c>
      <c r="H47" s="365"/>
      <c r="I47" s="381">
        <f t="shared" si="1"/>
        <v>1067900.97</v>
      </c>
      <c r="J47" s="231" t="s">
        <v>352</v>
      </c>
      <c r="K47" s="231" t="s">
        <v>15</v>
      </c>
      <c r="L47" s="15"/>
      <c r="N47" s="110"/>
      <c r="P47" s="110"/>
    </row>
    <row r="48" spans="1:16" ht="65.25">
      <c r="A48" s="399" t="s">
        <v>361</v>
      </c>
      <c r="B48" s="365"/>
      <c r="C48" s="365"/>
      <c r="D48" s="365"/>
      <c r="E48" s="365"/>
      <c r="F48" s="365"/>
      <c r="G48" s="404">
        <v>300000</v>
      </c>
      <c r="H48" s="365"/>
      <c r="I48" s="381">
        <f t="shared" si="1"/>
        <v>300000</v>
      </c>
      <c r="J48" s="231" t="s">
        <v>28</v>
      </c>
      <c r="K48" s="231" t="s">
        <v>15</v>
      </c>
      <c r="L48" s="15"/>
      <c r="N48" s="110"/>
      <c r="P48" s="110"/>
    </row>
    <row r="49" spans="1:16" ht="43.5">
      <c r="A49" s="399" t="s">
        <v>362</v>
      </c>
      <c r="B49" s="365"/>
      <c r="C49" s="365"/>
      <c r="D49" s="365"/>
      <c r="E49" s="365"/>
      <c r="F49" s="365"/>
      <c r="G49" s="404">
        <v>300800</v>
      </c>
      <c r="H49" s="365"/>
      <c r="I49" s="381">
        <f t="shared" si="1"/>
        <v>300800</v>
      </c>
      <c r="J49" s="231" t="s">
        <v>350</v>
      </c>
      <c r="K49" s="231" t="s">
        <v>15</v>
      </c>
      <c r="L49" s="15"/>
      <c r="N49" s="110"/>
      <c r="P49" s="110"/>
    </row>
    <row r="50" spans="1:16" ht="43.5">
      <c r="A50" s="399" t="s">
        <v>367</v>
      </c>
      <c r="B50" s="365"/>
      <c r="C50" s="365"/>
      <c r="D50" s="365"/>
      <c r="E50" s="365"/>
      <c r="F50" s="365"/>
      <c r="G50" s="404">
        <v>300800</v>
      </c>
      <c r="H50" s="365"/>
      <c r="I50" s="381">
        <f t="shared" si="1"/>
        <v>300800</v>
      </c>
      <c r="J50" s="231" t="s">
        <v>350</v>
      </c>
      <c r="K50" s="231" t="s">
        <v>15</v>
      </c>
      <c r="L50" s="15"/>
      <c r="N50" s="110"/>
      <c r="P50" s="110"/>
    </row>
    <row r="51" spans="1:16" ht="43.5">
      <c r="A51" s="399" t="s">
        <v>363</v>
      </c>
      <c r="B51" s="365"/>
      <c r="C51" s="365"/>
      <c r="D51" s="365"/>
      <c r="E51" s="365"/>
      <c r="F51" s="365"/>
      <c r="G51" s="404"/>
      <c r="H51" s="365">
        <v>450000</v>
      </c>
      <c r="I51" s="381">
        <f t="shared" si="1"/>
        <v>450000</v>
      </c>
      <c r="J51" s="231" t="s">
        <v>36</v>
      </c>
      <c r="K51" s="231" t="s">
        <v>331</v>
      </c>
      <c r="L51" s="15"/>
      <c r="N51" s="110"/>
      <c r="P51" s="110"/>
    </row>
    <row r="52" spans="1:16" ht="27.75" customHeight="1" thickBot="1">
      <c r="A52" s="121" t="s">
        <v>2</v>
      </c>
      <c r="B52" s="304">
        <f aca="true" t="shared" si="2" ref="B52:I52">SUM(B8:B51)</f>
        <v>3261649</v>
      </c>
      <c r="C52" s="304">
        <f t="shared" si="2"/>
        <v>6200714.970000001</v>
      </c>
      <c r="D52" s="304">
        <f t="shared" si="2"/>
        <v>6002002.76</v>
      </c>
      <c r="E52" s="304">
        <f t="shared" si="2"/>
        <v>1581386</v>
      </c>
      <c r="F52" s="304">
        <f t="shared" si="2"/>
        <v>4029752.3</v>
      </c>
      <c r="G52" s="304">
        <f t="shared" si="2"/>
        <v>11357923.22</v>
      </c>
      <c r="H52" s="304">
        <f t="shared" si="2"/>
        <v>1378350</v>
      </c>
      <c r="I52" s="304">
        <f t="shared" si="2"/>
        <v>33811778.25</v>
      </c>
      <c r="J52" s="272"/>
      <c r="K52" s="272"/>
      <c r="L52" s="21"/>
      <c r="N52" s="110"/>
      <c r="P52" s="110"/>
    </row>
    <row r="53" spans="1:17" ht="22.5" thickTop="1">
      <c r="A53" s="528" t="s">
        <v>182</v>
      </c>
      <c r="B53" s="25"/>
      <c r="C53" s="75"/>
      <c r="D53" s="25"/>
      <c r="E53" s="75"/>
      <c r="F53" s="75"/>
      <c r="G53" s="75"/>
      <c r="H53" s="382"/>
      <c r="I53" s="383"/>
      <c r="J53" s="14"/>
      <c r="K53" s="245"/>
      <c r="L53" s="14"/>
      <c r="O53" s="110"/>
      <c r="P53" s="110"/>
      <c r="Q53" s="110"/>
    </row>
    <row r="54" spans="1:17" ht="43.5">
      <c r="A54" s="527" t="s">
        <v>332</v>
      </c>
      <c r="B54" s="25"/>
      <c r="C54" s="75"/>
      <c r="D54" s="25"/>
      <c r="E54" s="75"/>
      <c r="F54" s="75"/>
      <c r="G54" s="75"/>
      <c r="H54" s="382">
        <v>2581800</v>
      </c>
      <c r="I54" s="383">
        <f>SUM(B54:H54)</f>
        <v>2581800</v>
      </c>
      <c r="J54" s="183" t="s">
        <v>36</v>
      </c>
      <c r="K54" s="245" t="s">
        <v>82</v>
      </c>
      <c r="L54" s="14"/>
      <c r="O54" s="110"/>
      <c r="P54" s="110"/>
      <c r="Q54" s="110"/>
    </row>
    <row r="55" spans="1:17" ht="43.5">
      <c r="A55" s="527" t="s">
        <v>623</v>
      </c>
      <c r="B55" s="25"/>
      <c r="C55" s="75"/>
      <c r="D55" s="25"/>
      <c r="E55" s="75"/>
      <c r="F55" s="75"/>
      <c r="G55" s="75"/>
      <c r="H55" s="382">
        <v>314496</v>
      </c>
      <c r="I55" s="383">
        <f aca="true" t="shared" si="3" ref="I55:I60">SUM(B55:H55)</f>
        <v>314496</v>
      </c>
      <c r="J55" s="183" t="s">
        <v>36</v>
      </c>
      <c r="K55" s="245" t="s">
        <v>82</v>
      </c>
      <c r="L55" s="14"/>
      <c r="O55" s="110"/>
      <c r="P55" s="110"/>
      <c r="Q55" s="110"/>
    </row>
    <row r="56" spans="1:17" ht="65.25">
      <c r="A56" s="363" t="s">
        <v>628</v>
      </c>
      <c r="B56" s="38"/>
      <c r="C56" s="381"/>
      <c r="D56" s="38"/>
      <c r="E56" s="381"/>
      <c r="F56" s="381"/>
      <c r="G56" s="381"/>
      <c r="H56" s="344">
        <v>159375</v>
      </c>
      <c r="I56" s="383">
        <f t="shared" si="3"/>
        <v>159375</v>
      </c>
      <c r="J56" s="15" t="s">
        <v>36</v>
      </c>
      <c r="K56" s="231" t="s">
        <v>82</v>
      </c>
      <c r="L56" s="15"/>
      <c r="O56" s="110"/>
      <c r="P56" s="110"/>
      <c r="Q56" s="110"/>
    </row>
    <row r="57" spans="1:17" ht="43.5">
      <c r="A57" s="363" t="s">
        <v>333</v>
      </c>
      <c r="B57" s="38"/>
      <c r="C57" s="381"/>
      <c r="D57" s="38"/>
      <c r="E57" s="381"/>
      <c r="F57" s="381"/>
      <c r="G57" s="381"/>
      <c r="H57" s="344">
        <v>480000</v>
      </c>
      <c r="I57" s="383">
        <f t="shared" si="3"/>
        <v>480000</v>
      </c>
      <c r="J57" s="15" t="s">
        <v>36</v>
      </c>
      <c r="K57" s="231" t="s">
        <v>82</v>
      </c>
      <c r="L57" s="15"/>
      <c r="O57" s="110"/>
      <c r="P57" s="110"/>
      <c r="Q57" s="110"/>
    </row>
    <row r="58" spans="1:17" ht="43.5">
      <c r="A58" s="363" t="s">
        <v>627</v>
      </c>
      <c r="B58" s="38"/>
      <c r="C58" s="381"/>
      <c r="D58" s="38"/>
      <c r="E58" s="381"/>
      <c r="F58" s="381"/>
      <c r="G58" s="381"/>
      <c r="H58" s="344">
        <v>1702590</v>
      </c>
      <c r="I58" s="383">
        <f t="shared" si="3"/>
        <v>1702590</v>
      </c>
      <c r="J58" s="15" t="s">
        <v>36</v>
      </c>
      <c r="K58" s="231" t="s">
        <v>82</v>
      </c>
      <c r="L58" s="15"/>
      <c r="O58" s="110"/>
      <c r="P58" s="110"/>
      <c r="Q58" s="110"/>
    </row>
    <row r="59" spans="1:17" ht="21.75">
      <c r="A59" s="363" t="s">
        <v>334</v>
      </c>
      <c r="B59" s="38"/>
      <c r="C59" s="381"/>
      <c r="D59" s="38"/>
      <c r="E59" s="381"/>
      <c r="F59" s="381"/>
      <c r="G59" s="381"/>
      <c r="H59" s="344">
        <v>6043749</v>
      </c>
      <c r="I59" s="383">
        <f t="shared" si="3"/>
        <v>6043749</v>
      </c>
      <c r="J59" s="15" t="s">
        <v>36</v>
      </c>
      <c r="K59" s="231" t="s">
        <v>82</v>
      </c>
      <c r="L59" s="15"/>
      <c r="O59" s="110"/>
      <c r="P59" s="110"/>
      <c r="Q59" s="110"/>
    </row>
    <row r="60" spans="1:17" ht="21.75">
      <c r="A60" s="363" t="s">
        <v>335</v>
      </c>
      <c r="B60" s="38"/>
      <c r="C60" s="381"/>
      <c r="D60" s="38"/>
      <c r="E60" s="381"/>
      <c r="F60" s="381"/>
      <c r="G60" s="381"/>
      <c r="H60" s="344">
        <v>732000</v>
      </c>
      <c r="I60" s="383">
        <f t="shared" si="3"/>
        <v>732000</v>
      </c>
      <c r="J60" s="15" t="s">
        <v>36</v>
      </c>
      <c r="K60" s="231" t="s">
        <v>82</v>
      </c>
      <c r="L60" s="15"/>
      <c r="O60" s="110"/>
      <c r="P60" s="110"/>
      <c r="Q60" s="110"/>
    </row>
    <row r="61" spans="1:17" ht="22.5" thickBot="1">
      <c r="A61" s="121" t="s">
        <v>2</v>
      </c>
      <c r="B61" s="529">
        <f aca="true" t="shared" si="4" ref="B61:G61">SUM(B54:B60)</f>
        <v>0</v>
      </c>
      <c r="C61" s="529">
        <f t="shared" si="4"/>
        <v>0</v>
      </c>
      <c r="D61" s="529">
        <f t="shared" si="4"/>
        <v>0</v>
      </c>
      <c r="E61" s="529">
        <f t="shared" si="4"/>
        <v>0</v>
      </c>
      <c r="F61" s="529">
        <f t="shared" si="4"/>
        <v>0</v>
      </c>
      <c r="G61" s="529">
        <f t="shared" si="4"/>
        <v>0</v>
      </c>
      <c r="H61" s="529">
        <f>SUM(H54:H60)</f>
        <v>12014010</v>
      </c>
      <c r="I61" s="529">
        <f>SUM(I54:I60)</f>
        <v>12014010</v>
      </c>
      <c r="J61" s="21"/>
      <c r="K61" s="272"/>
      <c r="L61" s="21"/>
      <c r="O61" s="110"/>
      <c r="P61" s="110"/>
      <c r="Q61" s="110"/>
    </row>
    <row r="62" spans="1:17" ht="22.5" thickTop="1">
      <c r="A62" s="607" t="s">
        <v>244</v>
      </c>
      <c r="B62" s="394"/>
      <c r="C62" s="629"/>
      <c r="D62" s="394"/>
      <c r="E62" s="629"/>
      <c r="F62" s="629"/>
      <c r="G62" s="629"/>
      <c r="H62" s="602"/>
      <c r="I62" s="630"/>
      <c r="J62" s="390"/>
      <c r="K62" s="492"/>
      <c r="L62" s="390"/>
      <c r="O62" s="110"/>
      <c r="P62" s="110"/>
      <c r="Q62" s="110"/>
    </row>
    <row r="63" spans="1:17" ht="43.5">
      <c r="A63" s="530" t="s">
        <v>245</v>
      </c>
      <c r="B63" s="610"/>
      <c r="C63" s="611"/>
      <c r="D63" s="610"/>
      <c r="E63" s="611"/>
      <c r="F63" s="611"/>
      <c r="G63" s="611">
        <v>6600</v>
      </c>
      <c r="H63" s="631"/>
      <c r="I63" s="425">
        <f>SUM(B63:H63)</f>
        <v>6600</v>
      </c>
      <c r="J63" s="612" t="s">
        <v>28</v>
      </c>
      <c r="K63" s="613" t="s">
        <v>594</v>
      </c>
      <c r="L63" s="614"/>
      <c r="O63" s="110"/>
      <c r="P63" s="110"/>
      <c r="Q63" s="110"/>
    </row>
    <row r="64" spans="1:17" ht="22.5" thickBot="1">
      <c r="A64" s="632" t="s">
        <v>2</v>
      </c>
      <c r="B64" s="616">
        <f aca="true" t="shared" si="5" ref="B64:I64">SUM(B63)</f>
        <v>0</v>
      </c>
      <c r="C64" s="616">
        <f t="shared" si="5"/>
        <v>0</v>
      </c>
      <c r="D64" s="616">
        <f t="shared" si="5"/>
        <v>0</v>
      </c>
      <c r="E64" s="616">
        <f t="shared" si="5"/>
        <v>0</v>
      </c>
      <c r="F64" s="616">
        <f t="shared" si="5"/>
        <v>0</v>
      </c>
      <c r="G64" s="616">
        <f t="shared" si="5"/>
        <v>6600</v>
      </c>
      <c r="H64" s="616">
        <f t="shared" si="5"/>
        <v>0</v>
      </c>
      <c r="I64" s="616">
        <f t="shared" si="5"/>
        <v>6600</v>
      </c>
      <c r="J64" s="633"/>
      <c r="K64" s="618"/>
      <c r="L64" s="167"/>
      <c r="O64" s="110"/>
      <c r="P64" s="110"/>
      <c r="Q64" s="110"/>
    </row>
    <row r="65" spans="1:17" ht="22.5" thickTop="1">
      <c r="A65" s="565"/>
      <c r="B65" s="629"/>
      <c r="C65" s="629"/>
      <c r="D65" s="629"/>
      <c r="E65" s="629"/>
      <c r="F65" s="629"/>
      <c r="G65" s="629"/>
      <c r="H65" s="629"/>
      <c r="I65" s="629"/>
      <c r="J65" s="349"/>
      <c r="K65" s="492"/>
      <c r="L65" s="390"/>
      <c r="O65" s="110"/>
      <c r="P65" s="110"/>
      <c r="Q65" s="110"/>
    </row>
    <row r="66" spans="1:17" ht="21.75">
      <c r="A66" s="565"/>
      <c r="B66" s="629"/>
      <c r="C66" s="629"/>
      <c r="D66" s="629"/>
      <c r="E66" s="629"/>
      <c r="F66" s="629"/>
      <c r="G66" s="629"/>
      <c r="H66" s="629"/>
      <c r="I66" s="629"/>
      <c r="J66" s="349"/>
      <c r="K66" s="492"/>
      <c r="L66" s="390"/>
      <c r="O66" s="110"/>
      <c r="P66" s="110"/>
      <c r="Q66" s="110"/>
    </row>
    <row r="67" spans="1:17" ht="21.75">
      <c r="A67" s="607" t="s">
        <v>276</v>
      </c>
      <c r="B67" s="160"/>
      <c r="C67" s="184"/>
      <c r="D67" s="160"/>
      <c r="E67" s="184"/>
      <c r="F67" s="184"/>
      <c r="G67" s="184"/>
      <c r="H67" s="608"/>
      <c r="I67" s="301"/>
      <c r="J67" s="609"/>
      <c r="K67" s="298"/>
      <c r="L67" s="389"/>
      <c r="O67" s="110"/>
      <c r="P67" s="110"/>
      <c r="Q67" s="110"/>
    </row>
    <row r="68" spans="1:17" ht="21.75">
      <c r="A68" s="530" t="s">
        <v>330</v>
      </c>
      <c r="B68" s="610"/>
      <c r="C68" s="611">
        <v>710000</v>
      </c>
      <c r="D68" s="610"/>
      <c r="E68" s="611"/>
      <c r="F68" s="611"/>
      <c r="G68" s="611"/>
      <c r="H68" s="425"/>
      <c r="I68" s="301">
        <f aca="true" t="shared" si="6" ref="I68:I82">SUM(B68:H68)</f>
        <v>710000</v>
      </c>
      <c r="J68" s="612" t="s">
        <v>28</v>
      </c>
      <c r="K68" s="613" t="s">
        <v>15</v>
      </c>
      <c r="L68" s="614"/>
      <c r="O68" s="110"/>
      <c r="P68" s="110"/>
      <c r="Q68" s="110"/>
    </row>
    <row r="69" spans="1:17" ht="22.5" thickBot="1">
      <c r="A69" s="615" t="s">
        <v>338</v>
      </c>
      <c r="B69" s="617">
        <f aca="true" t="shared" si="7" ref="B69:I69">SUM(B68)</f>
        <v>0</v>
      </c>
      <c r="C69" s="616">
        <f t="shared" si="7"/>
        <v>710000</v>
      </c>
      <c r="D69" s="617">
        <f t="shared" si="7"/>
        <v>0</v>
      </c>
      <c r="E69" s="617">
        <f t="shared" si="7"/>
        <v>0</v>
      </c>
      <c r="F69" s="617">
        <f t="shared" si="7"/>
        <v>0</v>
      </c>
      <c r="G69" s="617">
        <f t="shared" si="7"/>
        <v>0</v>
      </c>
      <c r="H69" s="617">
        <f t="shared" si="7"/>
        <v>0</v>
      </c>
      <c r="I69" s="617">
        <f t="shared" si="7"/>
        <v>710000</v>
      </c>
      <c r="J69" s="167"/>
      <c r="K69" s="618"/>
      <c r="L69" s="167"/>
      <c r="O69" s="110"/>
      <c r="P69" s="110"/>
      <c r="Q69" s="110"/>
    </row>
    <row r="70" spans="1:17" ht="22.5" thickTop="1">
      <c r="A70" s="619" t="s">
        <v>336</v>
      </c>
      <c r="B70" s="620"/>
      <c r="C70" s="621"/>
      <c r="D70" s="620"/>
      <c r="E70" s="621"/>
      <c r="F70" s="621"/>
      <c r="G70" s="621"/>
      <c r="H70" s="622"/>
      <c r="I70" s="622"/>
      <c r="J70" s="623"/>
      <c r="K70" s="624"/>
      <c r="L70" s="623"/>
      <c r="O70" s="110"/>
      <c r="P70" s="110"/>
      <c r="Q70" s="110"/>
    </row>
    <row r="71" spans="1:17" ht="21.75">
      <c r="A71" s="531" t="s">
        <v>337</v>
      </c>
      <c r="B71" s="625"/>
      <c r="C71" s="184"/>
      <c r="D71" s="160"/>
      <c r="E71" s="184"/>
      <c r="F71" s="184"/>
      <c r="G71" s="184"/>
      <c r="H71" s="301">
        <v>2549999.95</v>
      </c>
      <c r="I71" s="301">
        <f t="shared" si="6"/>
        <v>2549999.95</v>
      </c>
      <c r="J71" s="609" t="s">
        <v>36</v>
      </c>
      <c r="K71" s="298" t="s">
        <v>82</v>
      </c>
      <c r="L71" s="389"/>
      <c r="O71" s="110"/>
      <c r="P71" s="110"/>
      <c r="Q71" s="110"/>
    </row>
    <row r="72" spans="1:17" ht="43.5">
      <c r="A72" s="530" t="s">
        <v>622</v>
      </c>
      <c r="B72" s="610"/>
      <c r="C72" s="611"/>
      <c r="D72" s="610"/>
      <c r="E72" s="611"/>
      <c r="F72" s="611"/>
      <c r="G72" s="611"/>
      <c r="H72" s="425">
        <v>416282.7</v>
      </c>
      <c r="I72" s="425">
        <f t="shared" si="6"/>
        <v>416282.7</v>
      </c>
      <c r="J72" s="612" t="s">
        <v>36</v>
      </c>
      <c r="K72" s="613" t="s">
        <v>82</v>
      </c>
      <c r="L72" s="614"/>
      <c r="O72" s="110"/>
      <c r="P72" s="110"/>
      <c r="Q72" s="110"/>
    </row>
    <row r="73" spans="1:17" ht="22.5" thickBot="1">
      <c r="A73" s="615" t="s">
        <v>2</v>
      </c>
      <c r="B73" s="617">
        <f aca="true" t="shared" si="8" ref="B73:G73">SUM(B72)</f>
        <v>0</v>
      </c>
      <c r="C73" s="617">
        <f t="shared" si="8"/>
        <v>0</v>
      </c>
      <c r="D73" s="617">
        <f t="shared" si="8"/>
        <v>0</v>
      </c>
      <c r="E73" s="617">
        <f t="shared" si="8"/>
        <v>0</v>
      </c>
      <c r="F73" s="617">
        <f t="shared" si="8"/>
        <v>0</v>
      </c>
      <c r="G73" s="617">
        <f t="shared" si="8"/>
        <v>0</v>
      </c>
      <c r="H73" s="626">
        <f>SUM(H71:H72)</f>
        <v>2966282.6500000004</v>
      </c>
      <c r="I73" s="626">
        <f>SUM(I71:I72)</f>
        <v>2966282.6500000004</v>
      </c>
      <c r="J73" s="167"/>
      <c r="K73" s="618"/>
      <c r="L73" s="167"/>
      <c r="O73" s="110"/>
      <c r="P73" s="110"/>
      <c r="Q73" s="110"/>
    </row>
    <row r="74" spans="1:17" ht="22.5" thickTop="1">
      <c r="A74" s="627" t="s">
        <v>339</v>
      </c>
      <c r="B74" s="160"/>
      <c r="C74" s="184"/>
      <c r="D74" s="160"/>
      <c r="E74" s="184"/>
      <c r="F74" s="184"/>
      <c r="G74" s="184"/>
      <c r="H74" s="301"/>
      <c r="I74" s="301">
        <f t="shared" si="6"/>
        <v>0</v>
      </c>
      <c r="J74" s="389"/>
      <c r="K74" s="298"/>
      <c r="L74" s="389"/>
      <c r="O74" s="110"/>
      <c r="P74" s="110"/>
      <c r="Q74" s="110"/>
    </row>
    <row r="75" spans="1:17" ht="21.75">
      <c r="A75" s="538" t="s">
        <v>343</v>
      </c>
      <c r="B75" s="164"/>
      <c r="C75" s="386"/>
      <c r="D75" s="164"/>
      <c r="E75" s="386"/>
      <c r="F75" s="386"/>
      <c r="G75" s="386"/>
      <c r="H75" s="173">
        <v>69982495.79</v>
      </c>
      <c r="I75" s="173">
        <f t="shared" si="6"/>
        <v>69982495.79</v>
      </c>
      <c r="J75" s="612" t="s">
        <v>36</v>
      </c>
      <c r="K75" s="613" t="s">
        <v>82</v>
      </c>
      <c r="L75" s="186"/>
      <c r="O75" s="110"/>
      <c r="P75" s="110"/>
      <c r="Q75" s="110"/>
    </row>
    <row r="76" spans="1:17" ht="21.75">
      <c r="A76" s="538" t="s">
        <v>344</v>
      </c>
      <c r="B76" s="164"/>
      <c r="C76" s="386"/>
      <c r="D76" s="164"/>
      <c r="E76" s="386"/>
      <c r="F76" s="386"/>
      <c r="G76" s="386"/>
      <c r="H76" s="173">
        <v>484725</v>
      </c>
      <c r="I76" s="173">
        <f t="shared" si="6"/>
        <v>484725</v>
      </c>
      <c r="J76" s="612" t="s">
        <v>36</v>
      </c>
      <c r="K76" s="613" t="s">
        <v>82</v>
      </c>
      <c r="L76" s="186"/>
      <c r="O76" s="110"/>
      <c r="P76" s="110"/>
      <c r="Q76" s="110"/>
    </row>
    <row r="77" spans="1:17" ht="21.75">
      <c r="A77" s="538" t="s">
        <v>345</v>
      </c>
      <c r="B77" s="164"/>
      <c r="C77" s="386"/>
      <c r="D77" s="164"/>
      <c r="E77" s="386"/>
      <c r="F77" s="386"/>
      <c r="G77" s="386"/>
      <c r="H77" s="173">
        <v>122908.5</v>
      </c>
      <c r="I77" s="173">
        <f t="shared" si="6"/>
        <v>122908.5</v>
      </c>
      <c r="J77" s="612" t="s">
        <v>36</v>
      </c>
      <c r="K77" s="613" t="s">
        <v>82</v>
      </c>
      <c r="L77" s="186"/>
      <c r="O77" s="110"/>
      <c r="P77" s="110"/>
      <c r="Q77" s="110"/>
    </row>
    <row r="78" spans="1:17" ht="21.75">
      <c r="A78" s="538" t="s">
        <v>346</v>
      </c>
      <c r="B78" s="164"/>
      <c r="C78" s="386"/>
      <c r="D78" s="164"/>
      <c r="E78" s="386"/>
      <c r="F78" s="386"/>
      <c r="G78" s="386"/>
      <c r="H78" s="173">
        <v>497899.12</v>
      </c>
      <c r="I78" s="173">
        <f t="shared" si="6"/>
        <v>497899.12</v>
      </c>
      <c r="J78" s="612" t="s">
        <v>36</v>
      </c>
      <c r="K78" s="613" t="s">
        <v>82</v>
      </c>
      <c r="L78" s="186"/>
      <c r="O78" s="110"/>
      <c r="P78" s="110"/>
      <c r="Q78" s="110"/>
    </row>
    <row r="79" spans="1:17" ht="21.75">
      <c r="A79" s="538" t="s">
        <v>347</v>
      </c>
      <c r="B79" s="164"/>
      <c r="C79" s="386"/>
      <c r="D79" s="164"/>
      <c r="E79" s="386"/>
      <c r="F79" s="386"/>
      <c r="G79" s="386"/>
      <c r="H79" s="173">
        <v>909337.5</v>
      </c>
      <c r="I79" s="173">
        <f t="shared" si="6"/>
        <v>909337.5</v>
      </c>
      <c r="J79" s="612" t="s">
        <v>36</v>
      </c>
      <c r="K79" s="613" t="s">
        <v>82</v>
      </c>
      <c r="L79" s="186"/>
      <c r="O79" s="110"/>
      <c r="P79" s="110"/>
      <c r="Q79" s="110"/>
    </row>
    <row r="80" spans="1:17" ht="48.75" customHeight="1">
      <c r="A80" s="538" t="s">
        <v>348</v>
      </c>
      <c r="B80" s="164"/>
      <c r="C80" s="386"/>
      <c r="D80" s="164"/>
      <c r="E80" s="386"/>
      <c r="F80" s="386"/>
      <c r="G80" s="386"/>
      <c r="H80" s="173">
        <v>312250</v>
      </c>
      <c r="I80" s="173">
        <f t="shared" si="6"/>
        <v>312250</v>
      </c>
      <c r="J80" s="612" t="s">
        <v>36</v>
      </c>
      <c r="K80" s="613" t="s">
        <v>82</v>
      </c>
      <c r="L80" s="186"/>
      <c r="O80" s="110"/>
      <c r="P80" s="110"/>
      <c r="Q80" s="110"/>
    </row>
    <row r="81" spans="1:17" ht="65.25">
      <c r="A81" s="538" t="s">
        <v>621</v>
      </c>
      <c r="B81" s="164"/>
      <c r="C81" s="386"/>
      <c r="D81" s="164"/>
      <c r="E81" s="386"/>
      <c r="F81" s="386"/>
      <c r="G81" s="386"/>
      <c r="H81" s="173">
        <v>805731.5</v>
      </c>
      <c r="I81" s="173">
        <f t="shared" si="6"/>
        <v>805731.5</v>
      </c>
      <c r="J81" s="612" t="s">
        <v>36</v>
      </c>
      <c r="K81" s="613" t="s">
        <v>82</v>
      </c>
      <c r="L81" s="186"/>
      <c r="O81" s="110"/>
      <c r="P81" s="110"/>
      <c r="Q81" s="110"/>
    </row>
    <row r="82" spans="1:17" ht="43.5">
      <c r="A82" s="538" t="s">
        <v>620</v>
      </c>
      <c r="B82" s="164"/>
      <c r="C82" s="386"/>
      <c r="D82" s="164"/>
      <c r="E82" s="386"/>
      <c r="F82" s="386"/>
      <c r="G82" s="386"/>
      <c r="H82" s="173">
        <v>3128500</v>
      </c>
      <c r="I82" s="173">
        <f t="shared" si="6"/>
        <v>3128500</v>
      </c>
      <c r="J82" s="612" t="s">
        <v>36</v>
      </c>
      <c r="K82" s="613" t="s">
        <v>82</v>
      </c>
      <c r="L82" s="186"/>
      <c r="O82" s="110"/>
      <c r="P82" s="110"/>
      <c r="Q82" s="110"/>
    </row>
    <row r="83" spans="1:17" ht="22.5" thickBot="1">
      <c r="A83" s="615" t="s">
        <v>2</v>
      </c>
      <c r="B83" s="617">
        <f aca="true" t="shared" si="9" ref="B83:G83">SUM(B82)</f>
        <v>0</v>
      </c>
      <c r="C83" s="617">
        <f t="shared" si="9"/>
        <v>0</v>
      </c>
      <c r="D83" s="617">
        <f t="shared" si="9"/>
        <v>0</v>
      </c>
      <c r="E83" s="617">
        <f t="shared" si="9"/>
        <v>0</v>
      </c>
      <c r="F83" s="617">
        <f t="shared" si="9"/>
        <v>0</v>
      </c>
      <c r="G83" s="617">
        <f t="shared" si="9"/>
        <v>0</v>
      </c>
      <c r="H83" s="626">
        <f>SUM(H75:H82)</f>
        <v>76243847.41000001</v>
      </c>
      <c r="I83" s="626">
        <f>SUM(I75:I82)</f>
        <v>76243847.41000001</v>
      </c>
      <c r="J83" s="167"/>
      <c r="K83" s="628"/>
      <c r="L83" s="167"/>
      <c r="O83" s="110"/>
      <c r="P83" s="110"/>
      <c r="Q83" s="110"/>
    </row>
    <row r="84" spans="1:17" ht="22.5" thickTop="1">
      <c r="A84" s="66" t="s">
        <v>129</v>
      </c>
      <c r="B84" s="25"/>
      <c r="C84" s="75"/>
      <c r="D84" s="25"/>
      <c r="E84" s="75"/>
      <c r="F84" s="75"/>
      <c r="G84" s="75"/>
      <c r="H84" s="74"/>
      <c r="I84" s="364"/>
      <c r="J84" s="123"/>
      <c r="K84" s="25"/>
      <c r="L84" s="14"/>
      <c r="O84" s="110"/>
      <c r="P84" s="110"/>
      <c r="Q84" s="110"/>
    </row>
    <row r="85" spans="1:17" ht="65.25">
      <c r="A85" s="255" t="s">
        <v>89</v>
      </c>
      <c r="B85" s="107">
        <v>131956600</v>
      </c>
      <c r="C85" s="107">
        <v>45095200</v>
      </c>
      <c r="D85" s="107">
        <v>31111700</v>
      </c>
      <c r="E85" s="107">
        <v>10057100</v>
      </c>
      <c r="F85" s="303">
        <v>760800</v>
      </c>
      <c r="G85" s="131">
        <f>321804700-218981400</f>
        <v>102823300</v>
      </c>
      <c r="H85" s="414"/>
      <c r="I85" s="132">
        <f>SUM(B85:H85)</f>
        <v>321804700</v>
      </c>
      <c r="J85" s="18" t="s">
        <v>36</v>
      </c>
      <c r="K85" s="38" t="s">
        <v>91</v>
      </c>
      <c r="L85" s="15"/>
      <c r="O85" s="110"/>
      <c r="P85" s="110"/>
      <c r="Q85" s="110"/>
    </row>
    <row r="86" spans="1:17" ht="21.75">
      <c r="A86" s="254" t="s">
        <v>90</v>
      </c>
      <c r="B86" s="123"/>
      <c r="C86" s="133"/>
      <c r="D86" s="123"/>
      <c r="E86" s="133"/>
      <c r="F86" s="133"/>
      <c r="G86" s="133"/>
      <c r="H86" s="256"/>
      <c r="I86" s="132"/>
      <c r="J86" s="18"/>
      <c r="K86" s="50"/>
      <c r="L86" s="257"/>
      <c r="O86" s="110"/>
      <c r="P86" s="110"/>
      <c r="Q86" s="110"/>
    </row>
    <row r="87" spans="1:17" ht="45.75" customHeight="1">
      <c r="A87" s="143" t="s">
        <v>626</v>
      </c>
      <c r="B87" s="50"/>
      <c r="C87" s="187"/>
      <c r="D87" s="50"/>
      <c r="E87" s="187"/>
      <c r="F87" s="187"/>
      <c r="G87" s="187"/>
      <c r="H87" s="139">
        <v>15000000</v>
      </c>
      <c r="I87" s="132">
        <f aca="true" t="shared" si="10" ref="I87:I93">SUM(B87:H87)</f>
        <v>15000000</v>
      </c>
      <c r="J87" s="18" t="s">
        <v>36</v>
      </c>
      <c r="K87" s="50" t="s">
        <v>60</v>
      </c>
      <c r="L87" s="130"/>
      <c r="O87" s="110"/>
      <c r="P87" s="110"/>
      <c r="Q87" s="110"/>
    </row>
    <row r="88" spans="1:17" ht="47.25" customHeight="1">
      <c r="A88" s="143" t="s">
        <v>128</v>
      </c>
      <c r="B88" s="50"/>
      <c r="C88" s="187"/>
      <c r="D88" s="50"/>
      <c r="E88" s="187"/>
      <c r="F88" s="187"/>
      <c r="G88" s="187"/>
      <c r="H88" s="211">
        <v>800000</v>
      </c>
      <c r="I88" s="132">
        <f t="shared" si="10"/>
        <v>800000</v>
      </c>
      <c r="J88" s="18" t="s">
        <v>36</v>
      </c>
      <c r="K88" s="50" t="s">
        <v>60</v>
      </c>
      <c r="L88" s="130"/>
      <c r="O88" s="110"/>
      <c r="P88" s="110"/>
      <c r="Q88" s="110"/>
    </row>
    <row r="89" spans="1:17" ht="46.5" customHeight="1">
      <c r="A89" s="143" t="s">
        <v>156</v>
      </c>
      <c r="B89" s="50"/>
      <c r="C89" s="187"/>
      <c r="D89" s="50"/>
      <c r="E89" s="187"/>
      <c r="F89" s="187"/>
      <c r="G89" s="187"/>
      <c r="H89" s="211">
        <v>50000</v>
      </c>
      <c r="I89" s="132">
        <f t="shared" si="10"/>
        <v>50000</v>
      </c>
      <c r="J89" s="18" t="s">
        <v>36</v>
      </c>
      <c r="K89" s="50" t="s">
        <v>60</v>
      </c>
      <c r="L89" s="130"/>
      <c r="O89" s="110"/>
      <c r="P89" s="110"/>
      <c r="Q89" s="110"/>
    </row>
    <row r="90" spans="1:17" ht="27.75" customHeight="1">
      <c r="A90" s="143" t="s">
        <v>238</v>
      </c>
      <c r="B90" s="50"/>
      <c r="C90" s="187"/>
      <c r="D90" s="50"/>
      <c r="E90" s="187"/>
      <c r="F90" s="187"/>
      <c r="G90" s="187"/>
      <c r="H90" s="211">
        <v>15462000</v>
      </c>
      <c r="I90" s="132">
        <f t="shared" si="10"/>
        <v>15462000</v>
      </c>
      <c r="J90" s="18" t="s">
        <v>36</v>
      </c>
      <c r="K90" s="50" t="s">
        <v>60</v>
      </c>
      <c r="L90" s="130"/>
      <c r="O90" s="110"/>
      <c r="P90" s="110"/>
      <c r="Q90" s="110"/>
    </row>
    <row r="91" spans="1:17" ht="42.75" customHeight="1">
      <c r="A91" s="143" t="s">
        <v>155</v>
      </c>
      <c r="B91" s="50"/>
      <c r="C91" s="187"/>
      <c r="D91" s="50"/>
      <c r="E91" s="187"/>
      <c r="F91" s="187"/>
      <c r="G91" s="187"/>
      <c r="H91" s="211">
        <f>1596091.35*33/100</f>
        <v>526710.1455000001</v>
      </c>
      <c r="I91" s="132">
        <f t="shared" si="10"/>
        <v>526710.1455000001</v>
      </c>
      <c r="J91" s="18" t="s">
        <v>36</v>
      </c>
      <c r="K91" s="50" t="s">
        <v>60</v>
      </c>
      <c r="L91" s="130"/>
      <c r="O91" s="110"/>
      <c r="P91" s="110"/>
      <c r="Q91" s="110"/>
    </row>
    <row r="92" spans="1:12" ht="48" customHeight="1">
      <c r="A92" s="143" t="s">
        <v>154</v>
      </c>
      <c r="B92" s="50"/>
      <c r="C92" s="187"/>
      <c r="D92" s="50"/>
      <c r="E92" s="187"/>
      <c r="F92" s="187"/>
      <c r="G92" s="187"/>
      <c r="H92" s="211">
        <v>548361</v>
      </c>
      <c r="I92" s="187">
        <f t="shared" si="10"/>
        <v>548361</v>
      </c>
      <c r="J92" s="15" t="s">
        <v>36</v>
      </c>
      <c r="K92" s="50" t="s">
        <v>60</v>
      </c>
      <c r="L92" s="130"/>
    </row>
    <row r="93" spans="1:12" ht="48" customHeight="1">
      <c r="A93" s="182" t="s">
        <v>370</v>
      </c>
      <c r="B93" s="123"/>
      <c r="C93" s="133"/>
      <c r="D93" s="123"/>
      <c r="E93" s="133"/>
      <c r="F93" s="133"/>
      <c r="G93" s="133"/>
      <c r="H93" s="348">
        <v>10000000</v>
      </c>
      <c r="I93" s="133">
        <f t="shared" si="10"/>
        <v>10000000</v>
      </c>
      <c r="J93" s="601"/>
      <c r="K93" s="258"/>
      <c r="L93" s="253"/>
    </row>
    <row r="94" spans="1:12" ht="22.5" thickBot="1">
      <c r="A94" s="79" t="s">
        <v>2</v>
      </c>
      <c r="B94" s="120">
        <f aca="true" t="shared" si="11" ref="B94:G94">SUM(B85:B86)</f>
        <v>131956600</v>
      </c>
      <c r="C94" s="120">
        <f t="shared" si="11"/>
        <v>45095200</v>
      </c>
      <c r="D94" s="120">
        <f t="shared" si="11"/>
        <v>31111700</v>
      </c>
      <c r="E94" s="120">
        <f t="shared" si="11"/>
        <v>10057100</v>
      </c>
      <c r="F94" s="120">
        <f t="shared" si="11"/>
        <v>760800</v>
      </c>
      <c r="G94" s="120">
        <f t="shared" si="11"/>
        <v>102823300</v>
      </c>
      <c r="H94" s="259">
        <f>SUM(H87:H93)</f>
        <v>42387071.145500004</v>
      </c>
      <c r="I94" s="259">
        <f>SUM(I85:I93)</f>
        <v>364191771.1455</v>
      </c>
      <c r="J94" s="600"/>
      <c r="K94" s="134"/>
      <c r="L94" s="21"/>
    </row>
    <row r="95" spans="1:12" ht="23.25" thickBot="1" thickTop="1">
      <c r="A95" s="124" t="s">
        <v>84</v>
      </c>
      <c r="B95" s="606">
        <f>B52+B61+B64+B69+B73+B83+B94</f>
        <v>135218249</v>
      </c>
      <c r="C95" s="606">
        <f aca="true" t="shared" si="12" ref="C95:I95">C52+C61+C64+C69+C73+C83+C94</f>
        <v>52005914.97</v>
      </c>
      <c r="D95" s="606">
        <f t="shared" si="12"/>
        <v>37113702.76</v>
      </c>
      <c r="E95" s="606">
        <f t="shared" si="12"/>
        <v>11638486</v>
      </c>
      <c r="F95" s="606">
        <f t="shared" si="12"/>
        <v>4790552.3</v>
      </c>
      <c r="G95" s="606">
        <f t="shared" si="12"/>
        <v>114187823.22</v>
      </c>
      <c r="H95" s="606">
        <f t="shared" si="12"/>
        <v>134989561.2055</v>
      </c>
      <c r="I95" s="606">
        <f t="shared" si="12"/>
        <v>489944289.4555</v>
      </c>
      <c r="J95" s="125"/>
      <c r="K95" s="125"/>
      <c r="L95" s="126"/>
    </row>
    <row r="96" ht="22.5" thickTop="1"/>
  </sheetData>
  <sheetProtection/>
  <mergeCells count="9">
    <mergeCell ref="A1:L1"/>
    <mergeCell ref="A2:L2"/>
    <mergeCell ref="I4:I5"/>
    <mergeCell ref="J4:J5"/>
    <mergeCell ref="K4:K5"/>
    <mergeCell ref="L4:L5"/>
    <mergeCell ref="A4:A5"/>
    <mergeCell ref="H4:H5"/>
    <mergeCell ref="B4:G4"/>
  </mergeCells>
  <printOptions horizontalCentered="1" verticalCentered="1"/>
  <pageMargins left="0" right="0" top="0.37992126" bottom="0.15748031496063" header="0.236220472440945" footer="0.15748031496063"/>
  <pageSetup horizontalDpi="600" verticalDpi="600" orientation="landscape" paperSize="9" scale="70" r:id="rId3"/>
  <rowBreaks count="5" manualBreakCount="5">
    <brk id="19" max="11" man="1"/>
    <brk id="33" max="11" man="1"/>
    <brk id="49" max="11" man="1"/>
    <brk id="61" max="11" man="1"/>
    <brk id="83" max="11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1" sqref="G19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1" sqref="G19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1" sqref="G19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16"/>
  <sheetViews>
    <sheetView zoomScalePageLayoutView="0" workbookViewId="0" topLeftCell="A1">
      <pane xSplit="1" ySplit="5" topLeftCell="B6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D13" sqref="D13"/>
    </sheetView>
  </sheetViews>
  <sheetFormatPr defaultColWidth="9.140625" defaultRowHeight="21.75"/>
  <cols>
    <col min="1" max="1" width="42.57421875" style="98" customWidth="1"/>
    <col min="2" max="2" width="16.00390625" style="97" customWidth="1"/>
    <col min="3" max="3" width="16.7109375" style="97" customWidth="1"/>
    <col min="4" max="4" width="15.28125" style="97" customWidth="1"/>
    <col min="5" max="5" width="15.8515625" style="97" customWidth="1"/>
    <col min="6" max="6" width="15.140625" style="97" customWidth="1"/>
    <col min="7" max="7" width="16.8515625" style="97" customWidth="1"/>
    <col min="8" max="8" width="17.00390625" style="97" customWidth="1"/>
    <col min="9" max="9" width="29.57421875" style="97" customWidth="1"/>
    <col min="10" max="16384" width="9.140625" style="97" customWidth="1"/>
  </cols>
  <sheetData>
    <row r="1" spans="1:9" ht="21">
      <c r="A1" s="748" t="s">
        <v>63</v>
      </c>
      <c r="B1" s="748"/>
      <c r="C1" s="748"/>
      <c r="D1" s="748"/>
      <c r="E1" s="748"/>
      <c r="F1" s="748"/>
      <c r="G1" s="748"/>
      <c r="H1" s="748"/>
      <c r="I1" s="748"/>
    </row>
    <row r="2" spans="1:9" ht="26.25" customHeight="1">
      <c r="A2" s="749" t="s">
        <v>242</v>
      </c>
      <c r="B2" s="749"/>
      <c r="C2" s="749"/>
      <c r="D2" s="749"/>
      <c r="E2" s="749"/>
      <c r="F2" s="749"/>
      <c r="G2" s="749"/>
      <c r="H2" s="749"/>
      <c r="I2" s="749"/>
    </row>
    <row r="3" spans="1:9" ht="26.25" customHeight="1">
      <c r="A3" s="429"/>
      <c r="B3" s="430"/>
      <c r="C3" s="430"/>
      <c r="D3" s="430"/>
      <c r="E3" s="430"/>
      <c r="F3" s="430"/>
      <c r="G3" s="431"/>
      <c r="H3" s="432"/>
      <c r="I3" s="433"/>
    </row>
    <row r="4" spans="1:9" ht="23.25" customHeight="1">
      <c r="A4" s="750" t="s">
        <v>64</v>
      </c>
      <c r="B4" s="752" t="s">
        <v>65</v>
      </c>
      <c r="C4" s="753"/>
      <c r="D4" s="753"/>
      <c r="E4" s="753"/>
      <c r="F4" s="753"/>
      <c r="G4" s="754"/>
      <c r="H4" s="755" t="s">
        <v>234</v>
      </c>
      <c r="I4" s="740" t="s">
        <v>66</v>
      </c>
    </row>
    <row r="5" spans="1:9" ht="21">
      <c r="A5" s="751"/>
      <c r="B5" s="434" t="s">
        <v>67</v>
      </c>
      <c r="C5" s="434" t="s">
        <v>68</v>
      </c>
      <c r="D5" s="435" t="s">
        <v>69</v>
      </c>
      <c r="E5" s="436" t="s">
        <v>70</v>
      </c>
      <c r="F5" s="700" t="s">
        <v>71</v>
      </c>
      <c r="G5" s="700" t="s">
        <v>72</v>
      </c>
      <c r="H5" s="741"/>
      <c r="I5" s="741"/>
    </row>
    <row r="6" spans="1:9" ht="21.75">
      <c r="A6" s="570" t="s">
        <v>61</v>
      </c>
      <c r="B6" s="564"/>
      <c r="C6" s="564"/>
      <c r="D6" s="565"/>
      <c r="E6" s="566"/>
      <c r="F6" s="567"/>
      <c r="G6" s="567"/>
      <c r="H6" s="568"/>
      <c r="I6" s="568"/>
    </row>
    <row r="7" spans="1:9" ht="21.75">
      <c r="A7" s="569" t="s">
        <v>171</v>
      </c>
      <c r="B7" s="571"/>
      <c r="C7" s="571"/>
      <c r="D7" s="572"/>
      <c r="E7" s="573"/>
      <c r="F7" s="574"/>
      <c r="G7" s="575">
        <v>70378000</v>
      </c>
      <c r="H7" s="577">
        <f>SUM(B7:G7)</f>
        <v>70378000</v>
      </c>
      <c r="I7" s="576" t="s">
        <v>79</v>
      </c>
    </row>
    <row r="8" spans="1:9" ht="41.25" customHeight="1">
      <c r="A8" s="170" t="s">
        <v>569</v>
      </c>
      <c r="B8" s="207"/>
      <c r="C8" s="205"/>
      <c r="D8" s="205"/>
      <c r="E8" s="205"/>
      <c r="F8" s="205"/>
      <c r="G8" s="211" t="s">
        <v>32</v>
      </c>
      <c r="H8" s="206"/>
      <c r="I8" s="208"/>
    </row>
    <row r="9" spans="1:9" ht="28.5" customHeight="1">
      <c r="A9" s="744" t="s">
        <v>175</v>
      </c>
      <c r="B9" s="214">
        <v>3901004.45</v>
      </c>
      <c r="C9" s="302">
        <v>155264881.23</v>
      </c>
      <c r="D9" s="205"/>
      <c r="E9" s="205"/>
      <c r="F9" s="205"/>
      <c r="G9" s="205"/>
      <c r="H9" s="206">
        <f>SUM(B9:G9)</f>
        <v>159165885.67999998</v>
      </c>
      <c r="I9" s="373" t="s">
        <v>116</v>
      </c>
    </row>
    <row r="10" spans="1:9" ht="22.5" customHeight="1">
      <c r="A10" s="745"/>
      <c r="B10" s="214">
        <v>4964020.45</v>
      </c>
      <c r="C10" s="302">
        <v>86879714.73</v>
      </c>
      <c r="D10" s="312"/>
      <c r="E10" s="211"/>
      <c r="F10" s="205"/>
      <c r="G10" s="211"/>
      <c r="H10" s="206">
        <f>SUM(B10:G10)</f>
        <v>91843735.18</v>
      </c>
      <c r="I10" s="446" t="s">
        <v>233</v>
      </c>
    </row>
    <row r="11" spans="1:9" ht="21.75">
      <c r="A11" s="169" t="s">
        <v>47</v>
      </c>
      <c r="B11" s="370"/>
      <c r="C11" s="211"/>
      <c r="D11" s="370"/>
      <c r="E11" s="370"/>
      <c r="F11" s="205"/>
      <c r="G11" s="370"/>
      <c r="H11" s="205"/>
      <c r="I11" s="208"/>
    </row>
    <row r="12" spans="1:9" ht="21.75">
      <c r="A12" s="742" t="s">
        <v>92</v>
      </c>
      <c r="B12" s="205">
        <v>1220000</v>
      </c>
      <c r="C12" s="371"/>
      <c r="D12" s="371"/>
      <c r="E12" s="371"/>
      <c r="F12" s="371"/>
      <c r="G12" s="451"/>
      <c r="H12" s="206">
        <f>SUM(B12:G12)</f>
        <v>1220000</v>
      </c>
      <c r="I12" s="210" t="s">
        <v>117</v>
      </c>
    </row>
    <row r="13" spans="1:9" ht="21.75">
      <c r="A13" s="743"/>
      <c r="B13" s="371"/>
      <c r="C13" s="371"/>
      <c r="D13" s="371"/>
      <c r="E13" s="371"/>
      <c r="F13" s="371"/>
      <c r="G13" s="452">
        <v>2643721</v>
      </c>
      <c r="H13" s="206">
        <f>SUM(B13:G13)</f>
        <v>2643721</v>
      </c>
      <c r="I13" s="212" t="s">
        <v>79</v>
      </c>
    </row>
    <row r="14" spans="1:9" ht="46.5">
      <c r="A14" s="661" t="s">
        <v>368</v>
      </c>
      <c r="B14" s="211"/>
      <c r="C14" s="211"/>
      <c r="D14" s="210"/>
      <c r="E14" s="210"/>
      <c r="F14" s="662"/>
      <c r="G14" s="211"/>
      <c r="H14" s="300"/>
      <c r="I14" s="208"/>
    </row>
    <row r="15" spans="1:9" ht="21.75">
      <c r="A15" s="249" t="s">
        <v>74</v>
      </c>
      <c r="B15" s="211">
        <v>3781200</v>
      </c>
      <c r="C15" s="211">
        <v>2048000</v>
      </c>
      <c r="D15" s="211">
        <v>20186</v>
      </c>
      <c r="E15" s="211">
        <v>3020186</v>
      </c>
      <c r="F15" s="210"/>
      <c r="G15" s="660">
        <v>211302</v>
      </c>
      <c r="H15" s="300">
        <f aca="true" t="shared" si="0" ref="H15:H24">SUM(B15:G15)</f>
        <v>9080874</v>
      </c>
      <c r="I15" s="210" t="s">
        <v>126</v>
      </c>
    </row>
    <row r="16" spans="1:9" ht="21.75">
      <c r="A16" s="298" t="s">
        <v>586</v>
      </c>
      <c r="B16" s="211">
        <v>7430000</v>
      </c>
      <c r="C16" s="211">
        <v>4573000</v>
      </c>
      <c r="D16" s="211">
        <v>2060000</v>
      </c>
      <c r="E16" s="211">
        <v>120000</v>
      </c>
      <c r="F16" s="210"/>
      <c r="G16" s="660">
        <v>6578900</v>
      </c>
      <c r="H16" s="300">
        <f>SUM(B16:G16)</f>
        <v>20761900</v>
      </c>
      <c r="I16" s="210" t="s">
        <v>126</v>
      </c>
    </row>
    <row r="17" spans="1:9" ht="21.75">
      <c r="A17" s="663" t="s">
        <v>73</v>
      </c>
      <c r="B17" s="211">
        <f>2590969.26-183000</f>
        <v>2407969.26</v>
      </c>
      <c r="C17" s="211">
        <v>952017.87</v>
      </c>
      <c r="D17" s="211">
        <v>999479.86</v>
      </c>
      <c r="E17" s="211">
        <v>616800</v>
      </c>
      <c r="F17" s="211">
        <v>623708</v>
      </c>
      <c r="G17" s="211">
        <v>3402240</v>
      </c>
      <c r="H17" s="300">
        <f t="shared" si="0"/>
        <v>9002214.99</v>
      </c>
      <c r="I17" s="210" t="s">
        <v>118</v>
      </c>
    </row>
    <row r="18" spans="1:9" ht="21.75">
      <c r="A18" s="249" t="s">
        <v>83</v>
      </c>
      <c r="B18" s="211">
        <v>1142761</v>
      </c>
      <c r="C18" s="211">
        <v>605752</v>
      </c>
      <c r="D18" s="211">
        <v>1541000</v>
      </c>
      <c r="E18" s="211">
        <v>374000</v>
      </c>
      <c r="F18" s="211">
        <v>494000</v>
      </c>
      <c r="G18" s="211">
        <v>3186734</v>
      </c>
      <c r="H18" s="300">
        <f t="shared" si="0"/>
        <v>7344247</v>
      </c>
      <c r="I18" s="210" t="s">
        <v>119</v>
      </c>
    </row>
    <row r="19" spans="1:9" ht="21.75">
      <c r="A19" s="249" t="s">
        <v>585</v>
      </c>
      <c r="B19" s="211">
        <v>880226</v>
      </c>
      <c r="C19" s="211">
        <v>0</v>
      </c>
      <c r="D19" s="211">
        <v>0</v>
      </c>
      <c r="E19" s="211">
        <v>1000000</v>
      </c>
      <c r="F19" s="211">
        <v>0</v>
      </c>
      <c r="G19" s="211">
        <v>156000</v>
      </c>
      <c r="H19" s="300">
        <f>SUM(B19:G19)</f>
        <v>2036226</v>
      </c>
      <c r="I19" s="210" t="s">
        <v>126</v>
      </c>
    </row>
    <row r="20" spans="1:9" ht="21.75">
      <c r="A20" s="215" t="s">
        <v>111</v>
      </c>
      <c r="B20" s="211">
        <v>240000</v>
      </c>
      <c r="C20" s="211">
        <v>9000</v>
      </c>
      <c r="D20" s="211">
        <v>120000</v>
      </c>
      <c r="E20" s="211">
        <v>0</v>
      </c>
      <c r="F20" s="211">
        <v>0</v>
      </c>
      <c r="G20" s="211">
        <v>706000</v>
      </c>
      <c r="H20" s="300">
        <f t="shared" si="0"/>
        <v>1075000</v>
      </c>
      <c r="I20" s="210" t="s">
        <v>126</v>
      </c>
    </row>
    <row r="21" spans="1:9" ht="21.75">
      <c r="A21" s="742" t="s">
        <v>92</v>
      </c>
      <c r="B21" s="211">
        <v>25621170.33</v>
      </c>
      <c r="C21" s="211">
        <v>5905128.5</v>
      </c>
      <c r="D21" s="211">
        <v>21148650.95</v>
      </c>
      <c r="E21" s="211">
        <v>8419541.5</v>
      </c>
      <c r="F21" s="211">
        <v>8306508.92</v>
      </c>
      <c r="G21" s="211">
        <v>50635114.41</v>
      </c>
      <c r="H21" s="300">
        <f>SUM(B21:G21)</f>
        <v>120036114.61</v>
      </c>
      <c r="I21" s="210" t="s">
        <v>126</v>
      </c>
    </row>
    <row r="22" spans="1:9" ht="21.75">
      <c r="A22" s="743"/>
      <c r="B22" s="211"/>
      <c r="C22" s="211"/>
      <c r="D22" s="211"/>
      <c r="E22" s="211"/>
      <c r="F22" s="211"/>
      <c r="G22" s="211">
        <v>4077222.08</v>
      </c>
      <c r="H22" s="300">
        <f t="shared" si="0"/>
        <v>4077222.08</v>
      </c>
      <c r="I22" s="212" t="s">
        <v>79</v>
      </c>
    </row>
    <row r="23" spans="1:9" ht="21" customHeight="1">
      <c r="A23" s="691" t="s">
        <v>215</v>
      </c>
      <c r="B23" s="671"/>
      <c r="C23" s="671"/>
      <c r="D23" s="671"/>
      <c r="E23" s="671"/>
      <c r="F23" s="671"/>
      <c r="G23" s="671"/>
      <c r="H23" s="454"/>
      <c r="I23" s="208"/>
    </row>
    <row r="24" spans="1:9" ht="21" customHeight="1">
      <c r="A24" s="455" t="s">
        <v>92</v>
      </c>
      <c r="B24" s="208"/>
      <c r="C24" s="205"/>
      <c r="D24" s="205"/>
      <c r="E24" s="205"/>
      <c r="F24" s="205"/>
      <c r="G24" s="447">
        <v>12700221.803999998</v>
      </c>
      <c r="H24" s="206">
        <f t="shared" si="0"/>
        <v>12700221.803999998</v>
      </c>
      <c r="I24" s="372" t="s">
        <v>172</v>
      </c>
    </row>
    <row r="25" spans="1:9" ht="20.25" customHeight="1">
      <c r="A25" s="213" t="s">
        <v>48</v>
      </c>
      <c r="B25" s="205"/>
      <c r="C25" s="205"/>
      <c r="D25" s="205"/>
      <c r="E25" s="205"/>
      <c r="F25" s="205"/>
      <c r="G25" s="205"/>
      <c r="H25" s="205"/>
      <c r="I25" s="208"/>
    </row>
    <row r="26" spans="1:9" ht="21.75">
      <c r="A26" s="455" t="s">
        <v>92</v>
      </c>
      <c r="B26" s="208"/>
      <c r="C26" s="205"/>
      <c r="D26" s="208"/>
      <c r="E26" s="208"/>
      <c r="F26" s="456"/>
      <c r="G26" s="448">
        <v>44830112.74999999</v>
      </c>
      <c r="H26" s="205">
        <f>SUM(B26:G26)</f>
        <v>44830112.74999999</v>
      </c>
      <c r="I26" s="372" t="s">
        <v>172</v>
      </c>
    </row>
    <row r="27" spans="1:9" ht="21" customHeight="1">
      <c r="A27" s="213" t="s">
        <v>51</v>
      </c>
      <c r="B27" s="208"/>
      <c r="C27" s="208"/>
      <c r="D27" s="208"/>
      <c r="E27" s="208"/>
      <c r="F27" s="208"/>
      <c r="G27" s="448"/>
      <c r="H27" s="206"/>
      <c r="I27" s="208"/>
    </row>
    <row r="28" spans="1:9" ht="21" customHeight="1">
      <c r="A28" s="215" t="s">
        <v>99</v>
      </c>
      <c r="B28" s="205">
        <v>2360000</v>
      </c>
      <c r="C28" s="205">
        <v>3385967</v>
      </c>
      <c r="D28" s="205">
        <v>7933273</v>
      </c>
      <c r="E28" s="205">
        <v>6320760</v>
      </c>
      <c r="F28" s="205"/>
      <c r="G28" s="375"/>
      <c r="H28" s="206">
        <f>SUM(B28:G28)</f>
        <v>20000000</v>
      </c>
      <c r="I28" s="210" t="s">
        <v>173</v>
      </c>
    </row>
    <row r="29" spans="1:9" ht="21.75">
      <c r="A29" s="455" t="s">
        <v>92</v>
      </c>
      <c r="B29" s="205"/>
      <c r="C29" s="205"/>
      <c r="D29" s="205"/>
      <c r="E29" s="205"/>
      <c r="F29" s="205"/>
      <c r="G29" s="449">
        <v>3053461.6</v>
      </c>
      <c r="H29" s="206">
        <f>SUM(B29:G29)</f>
        <v>3053461.6</v>
      </c>
      <c r="I29" s="372" t="s">
        <v>172</v>
      </c>
    </row>
    <row r="30" spans="1:9" ht="21.75">
      <c r="A30" s="213" t="s">
        <v>75</v>
      </c>
      <c r="B30" s="208"/>
      <c r="C30" s="208"/>
      <c r="D30" s="208"/>
      <c r="E30" s="208"/>
      <c r="F30" s="208"/>
      <c r="G30" s="208"/>
      <c r="H30" s="206"/>
      <c r="I30" s="208"/>
    </row>
    <row r="31" spans="1:9" ht="21.75">
      <c r="A31" s="400" t="s">
        <v>97</v>
      </c>
      <c r="B31" s="205"/>
      <c r="C31" s="205">
        <v>700678</v>
      </c>
      <c r="D31" s="208"/>
      <c r="E31" s="205"/>
      <c r="F31" s="208"/>
      <c r="G31" s="205"/>
      <c r="H31" s="206">
        <f>SUM(B31:G31)</f>
        <v>700678</v>
      </c>
      <c r="I31" s="210" t="s">
        <v>177</v>
      </c>
    </row>
    <row r="32" spans="1:9" ht="21.75">
      <c r="A32" s="252" t="s">
        <v>595</v>
      </c>
      <c r="B32" s="205"/>
      <c r="C32" s="205"/>
      <c r="D32" s="208"/>
      <c r="E32" s="205"/>
      <c r="F32" s="208"/>
      <c r="G32" s="205">
        <v>80600</v>
      </c>
      <c r="H32" s="206">
        <f>SUM(B32:G32)</f>
        <v>80600</v>
      </c>
      <c r="I32" s="210" t="s">
        <v>177</v>
      </c>
    </row>
    <row r="33" spans="1:9" ht="21" customHeight="1">
      <c r="A33" s="455" t="s">
        <v>127</v>
      </c>
      <c r="B33" s="208"/>
      <c r="C33" s="205"/>
      <c r="D33" s="205"/>
      <c r="E33" s="205"/>
      <c r="F33" s="205"/>
      <c r="G33" s="211">
        <v>21487729.6854</v>
      </c>
      <c r="H33" s="205">
        <f>SUM(B33:G33)</f>
        <v>21487729.6854</v>
      </c>
      <c r="I33" s="372" t="s">
        <v>172</v>
      </c>
    </row>
    <row r="34" spans="1:9" ht="21" customHeight="1">
      <c r="A34" s="213" t="s">
        <v>52</v>
      </c>
      <c r="B34" s="205"/>
      <c r="C34" s="205"/>
      <c r="D34" s="205"/>
      <c r="E34" s="205"/>
      <c r="F34" s="205"/>
      <c r="G34" s="211"/>
      <c r="H34" s="205"/>
      <c r="I34" s="210"/>
    </row>
    <row r="35" spans="1:9" ht="20.25" customHeight="1">
      <c r="A35" s="450" t="s">
        <v>76</v>
      </c>
      <c r="B35" s="205">
        <v>1442313.25</v>
      </c>
      <c r="C35" s="205">
        <v>620665.25</v>
      </c>
      <c r="D35" s="205">
        <v>134456.25</v>
      </c>
      <c r="E35" s="205">
        <v>4456.25</v>
      </c>
      <c r="F35" s="205"/>
      <c r="G35" s="211"/>
      <c r="H35" s="205">
        <f>SUM(B35:G35)</f>
        <v>2201891</v>
      </c>
      <c r="I35" s="210" t="s">
        <v>115</v>
      </c>
    </row>
    <row r="36" spans="1:9" ht="21" customHeight="1">
      <c r="A36" s="213" t="s">
        <v>53</v>
      </c>
      <c r="B36" s="205"/>
      <c r="C36" s="205"/>
      <c r="D36" s="205"/>
      <c r="E36" s="205"/>
      <c r="F36" s="208"/>
      <c r="G36" s="211"/>
      <c r="H36" s="206"/>
      <c r="I36" s="210"/>
    </row>
    <row r="37" spans="1:9" ht="21" customHeight="1">
      <c r="A37" s="455" t="s">
        <v>127</v>
      </c>
      <c r="B37" s="205"/>
      <c r="C37" s="205"/>
      <c r="D37" s="205"/>
      <c r="E37" s="208"/>
      <c r="F37" s="208"/>
      <c r="G37" s="457">
        <v>81870890.6</v>
      </c>
      <c r="H37" s="206">
        <f>SUM(B37:G37)</f>
        <v>81870890.6</v>
      </c>
      <c r="I37" s="372" t="s">
        <v>172</v>
      </c>
    </row>
    <row r="38" spans="1:9" ht="21" customHeight="1">
      <c r="A38" s="458" t="s">
        <v>57</v>
      </c>
      <c r="B38" s="265"/>
      <c r="C38" s="265"/>
      <c r="D38" s="581"/>
      <c r="E38" s="582"/>
      <c r="F38" s="582"/>
      <c r="G38" s="582"/>
      <c r="H38" s="460"/>
      <c r="I38" s="461"/>
    </row>
    <row r="39" spans="1:9" ht="19.5" customHeight="1">
      <c r="A39" s="209" t="s">
        <v>83</v>
      </c>
      <c r="B39" s="583">
        <v>1593900</v>
      </c>
      <c r="C39" s="583">
        <v>0</v>
      </c>
      <c r="D39" s="583">
        <v>420000</v>
      </c>
      <c r="E39" s="583">
        <v>0</v>
      </c>
      <c r="F39" s="583"/>
      <c r="G39" s="583">
        <v>180000</v>
      </c>
      <c r="H39" s="300">
        <f>SUM(B39:G39)</f>
        <v>2193900</v>
      </c>
      <c r="I39" s="210" t="s">
        <v>114</v>
      </c>
    </row>
    <row r="40" spans="1:9" ht="21" customHeight="1">
      <c r="A40" s="462" t="s">
        <v>151</v>
      </c>
      <c r="B40" s="204"/>
      <c r="C40" s="204"/>
      <c r="D40" s="459"/>
      <c r="E40" s="192"/>
      <c r="F40" s="192"/>
      <c r="G40" s="192">
        <v>101353650.27759999</v>
      </c>
      <c r="H40" s="206">
        <f>SUM(B40:G40)</f>
        <v>101353650.27759999</v>
      </c>
      <c r="I40" s="212" t="s">
        <v>79</v>
      </c>
    </row>
    <row r="41" spans="1:9" ht="21" customHeight="1">
      <c r="A41" s="463" t="s">
        <v>55</v>
      </c>
      <c r="B41" s="205"/>
      <c r="C41" s="205"/>
      <c r="D41" s="459"/>
      <c r="E41" s="192"/>
      <c r="F41" s="192"/>
      <c r="G41" s="476"/>
      <c r="H41" s="206"/>
      <c r="I41" s="210"/>
    </row>
    <row r="42" spans="1:9" ht="21" customHeight="1">
      <c r="A42" s="215" t="s">
        <v>111</v>
      </c>
      <c r="B42" s="205">
        <v>303868</v>
      </c>
      <c r="C42" s="205">
        <v>2725925</v>
      </c>
      <c r="D42" s="459">
        <v>185278.82</v>
      </c>
      <c r="E42" s="192"/>
      <c r="F42" s="192"/>
      <c r="G42" s="464"/>
      <c r="H42" s="206">
        <f>SUM(B42:G42)</f>
        <v>3215071.82</v>
      </c>
      <c r="I42" s="210" t="s">
        <v>114</v>
      </c>
    </row>
    <row r="43" spans="1:9" ht="21" customHeight="1">
      <c r="A43" s="462" t="s">
        <v>151</v>
      </c>
      <c r="B43" s="205"/>
      <c r="C43" s="205"/>
      <c r="D43" s="459"/>
      <c r="E43" s="192"/>
      <c r="F43" s="192"/>
      <c r="G43" s="465">
        <v>24350094.16</v>
      </c>
      <c r="H43" s="206">
        <f>SUM(B43:G43)</f>
        <v>24350094.16</v>
      </c>
      <c r="I43" s="466" t="s">
        <v>79</v>
      </c>
    </row>
    <row r="44" spans="1:9" ht="21" customHeight="1">
      <c r="A44" s="657" t="s">
        <v>49</v>
      </c>
      <c r="B44" s="205"/>
      <c r="C44" s="205"/>
      <c r="D44" s="459"/>
      <c r="E44" s="192"/>
      <c r="F44" s="192"/>
      <c r="G44" s="467"/>
      <c r="H44" s="206"/>
      <c r="I44" s="466"/>
    </row>
    <row r="45" spans="1:9" ht="21" customHeight="1">
      <c r="A45" s="215" t="s">
        <v>222</v>
      </c>
      <c r="B45" s="205"/>
      <c r="C45" s="205"/>
      <c r="D45" s="459"/>
      <c r="E45" s="192"/>
      <c r="F45" s="192"/>
      <c r="G45" s="467">
        <f>1586138.87+2128123.04+19658.8+328352.11+3369390</f>
        <v>7431662.82</v>
      </c>
      <c r="H45" s="206">
        <f>SUM(B45:G45)</f>
        <v>7431662.82</v>
      </c>
      <c r="I45" s="466" t="s">
        <v>79</v>
      </c>
    </row>
    <row r="46" spans="1:9" ht="21" customHeight="1">
      <c r="A46" s="744" t="s">
        <v>151</v>
      </c>
      <c r="B46" s="205">
        <v>2039013.33</v>
      </c>
      <c r="C46" s="205">
        <v>2039013.33</v>
      </c>
      <c r="D46" s="459">
        <v>2039013.34</v>
      </c>
      <c r="E46" s="192"/>
      <c r="F46" s="192"/>
      <c r="G46" s="467"/>
      <c r="H46" s="206">
        <f>SUM(B46:G46)</f>
        <v>6117040</v>
      </c>
      <c r="I46" s="210" t="s">
        <v>573</v>
      </c>
    </row>
    <row r="47" spans="1:9" ht="21" customHeight="1">
      <c r="A47" s="745"/>
      <c r="B47" s="205"/>
      <c r="C47" s="205"/>
      <c r="D47" s="459"/>
      <c r="E47" s="192"/>
      <c r="F47" s="192"/>
      <c r="G47" s="467">
        <f>32169.07+630000+439943+46792.35+162700+30794.25+152837.4</f>
        <v>1495236.0699999998</v>
      </c>
      <c r="H47" s="206">
        <f>SUM(B47:G47)</f>
        <v>1495236.0699999998</v>
      </c>
      <c r="I47" s="466" t="s">
        <v>79</v>
      </c>
    </row>
    <row r="48" spans="1:9" ht="46.5">
      <c r="A48" s="699" t="s">
        <v>298</v>
      </c>
      <c r="B48" s="205"/>
      <c r="C48" s="205"/>
      <c r="D48" s="459"/>
      <c r="E48" s="192"/>
      <c r="F48" s="192"/>
      <c r="G48" s="467"/>
      <c r="H48" s="206"/>
      <c r="I48" s="468"/>
    </row>
    <row r="49" spans="1:9" ht="21" customHeight="1">
      <c r="A49" s="462" t="s">
        <v>151</v>
      </c>
      <c r="B49" s="205"/>
      <c r="C49" s="205"/>
      <c r="D49" s="459"/>
      <c r="E49" s="192"/>
      <c r="F49" s="192"/>
      <c r="G49" s="710">
        <v>8627799.999999762</v>
      </c>
      <c r="H49" s="206">
        <f>SUM(B49:G49)</f>
        <v>8627799.999999762</v>
      </c>
      <c r="I49" s="466" t="s">
        <v>79</v>
      </c>
    </row>
    <row r="50" spans="1:9" ht="21" customHeight="1">
      <c r="A50" s="469" t="s">
        <v>46</v>
      </c>
      <c r="B50" s="205"/>
      <c r="C50" s="205"/>
      <c r="D50" s="214"/>
      <c r="E50" s="192"/>
      <c r="F50" s="192"/>
      <c r="G50" s="467"/>
      <c r="H50" s="206"/>
      <c r="I50" s="470"/>
    </row>
    <row r="51" spans="1:9" ht="21.75">
      <c r="A51" s="462" t="s">
        <v>175</v>
      </c>
      <c r="B51" s="205"/>
      <c r="C51" s="205">
        <v>378037808.09</v>
      </c>
      <c r="D51" s="214"/>
      <c r="E51" s="204"/>
      <c r="F51" s="204"/>
      <c r="G51" s="467"/>
      <c r="H51" s="206">
        <f>SUM(B51:G51)</f>
        <v>378037808.09</v>
      </c>
      <c r="I51" s="471" t="s">
        <v>157</v>
      </c>
    </row>
    <row r="52" spans="1:9" ht="21.75">
      <c r="A52" s="462" t="s">
        <v>151</v>
      </c>
      <c r="B52" s="205"/>
      <c r="C52" s="207"/>
      <c r="D52" s="214"/>
      <c r="E52" s="204"/>
      <c r="F52" s="204"/>
      <c r="G52" s="467">
        <v>5371172.01</v>
      </c>
      <c r="H52" s="206">
        <f>SUM(B52:G52)</f>
        <v>5371172.01</v>
      </c>
      <c r="I52" s="466" t="s">
        <v>79</v>
      </c>
    </row>
    <row r="53" spans="1:9" ht="23.25">
      <c r="A53" s="469" t="s">
        <v>54</v>
      </c>
      <c r="B53" s="205"/>
      <c r="C53" s="207"/>
      <c r="D53" s="214"/>
      <c r="E53" s="205"/>
      <c r="F53" s="205"/>
      <c r="G53" s="467"/>
      <c r="H53" s="206"/>
      <c r="I53" s="471"/>
    </row>
    <row r="54" spans="1:9" ht="21.75">
      <c r="A54" s="472" t="s">
        <v>78</v>
      </c>
      <c r="B54" s="205"/>
      <c r="C54" s="205"/>
      <c r="D54" s="459"/>
      <c r="E54" s="192"/>
      <c r="F54" s="192"/>
      <c r="G54" s="467">
        <v>938762.1599999999</v>
      </c>
      <c r="H54" s="206">
        <f>SUM(B54:G54)</f>
        <v>938762.1599999999</v>
      </c>
      <c r="I54" s="466" t="s">
        <v>79</v>
      </c>
    </row>
    <row r="55" spans="1:9" ht="23.25">
      <c r="A55" s="469" t="s">
        <v>59</v>
      </c>
      <c r="B55" s="205"/>
      <c r="C55" s="205"/>
      <c r="D55" s="473"/>
      <c r="E55" s="474"/>
      <c r="F55" s="474"/>
      <c r="G55" s="467"/>
      <c r="H55" s="206"/>
      <c r="I55" s="466"/>
    </row>
    <row r="56" spans="1:9" ht="21.75">
      <c r="A56" s="249" t="s">
        <v>570</v>
      </c>
      <c r="B56" s="205">
        <v>33694</v>
      </c>
      <c r="C56" s="205"/>
      <c r="D56" s="473"/>
      <c r="E56" s="474">
        <v>33694</v>
      </c>
      <c r="F56" s="474"/>
      <c r="G56" s="474">
        <v>101082</v>
      </c>
      <c r="H56" s="206">
        <f>SUM(B56:G56)</f>
        <v>168470</v>
      </c>
      <c r="I56" s="177" t="s">
        <v>273</v>
      </c>
    </row>
    <row r="57" spans="1:9" ht="21.75">
      <c r="A57" s="462" t="s">
        <v>78</v>
      </c>
      <c r="B57" s="205"/>
      <c r="C57" s="205"/>
      <c r="D57" s="473"/>
      <c r="E57" s="474"/>
      <c r="F57" s="474"/>
      <c r="G57" s="467">
        <v>598406.63</v>
      </c>
      <c r="H57" s="206">
        <f>SUM(B57:G57)</f>
        <v>598406.63</v>
      </c>
      <c r="I57" s="466" t="s">
        <v>79</v>
      </c>
    </row>
    <row r="58" spans="1:9" ht="23.25">
      <c r="A58" s="469" t="s">
        <v>58</v>
      </c>
      <c r="B58" s="205"/>
      <c r="C58" s="205"/>
      <c r="D58" s="214"/>
      <c r="E58" s="205"/>
      <c r="F58" s="205"/>
      <c r="G58" s="467"/>
      <c r="H58" s="206"/>
      <c r="I58" s="212"/>
    </row>
    <row r="59" spans="1:9" ht="21.75">
      <c r="A59" s="249" t="s">
        <v>631</v>
      </c>
      <c r="B59" s="205">
        <v>161949.09</v>
      </c>
      <c r="C59" s="205">
        <v>161949.09</v>
      </c>
      <c r="D59" s="214">
        <v>161949.09</v>
      </c>
      <c r="E59" s="205">
        <v>0</v>
      </c>
      <c r="F59" s="214">
        <v>161949.09</v>
      </c>
      <c r="G59" s="467">
        <f>F59*12</f>
        <v>1943389.08</v>
      </c>
      <c r="H59" s="206">
        <f>SUM(B59:G59)</f>
        <v>2591185.44</v>
      </c>
      <c r="I59" s="210" t="s">
        <v>150</v>
      </c>
    </row>
    <row r="60" spans="1:9" ht="21.75">
      <c r="A60" s="472" t="s">
        <v>78</v>
      </c>
      <c r="B60" s="205"/>
      <c r="C60" s="205"/>
      <c r="D60" s="214"/>
      <c r="E60" s="205"/>
      <c r="F60" s="205"/>
      <c r="G60" s="467">
        <v>8753274.33</v>
      </c>
      <c r="H60" s="206">
        <f>SUM(B60:G60)</f>
        <v>8753274.33</v>
      </c>
      <c r="I60" s="212" t="s">
        <v>79</v>
      </c>
    </row>
    <row r="61" spans="1:9" ht="21.75">
      <c r="A61" s="216" t="s">
        <v>56</v>
      </c>
      <c r="B61" s="205"/>
      <c r="C61" s="207"/>
      <c r="D61" s="208"/>
      <c r="E61" s="205"/>
      <c r="F61" s="204"/>
      <c r="G61" s="375"/>
      <c r="H61" s="206"/>
      <c r="I61" s="372"/>
    </row>
    <row r="62" spans="1:9" ht="21.75">
      <c r="A62" s="714" t="s">
        <v>74</v>
      </c>
      <c r="B62" s="302"/>
      <c r="C62" s="706">
        <v>1520000</v>
      </c>
      <c r="D62" s="302">
        <v>114000</v>
      </c>
      <c r="E62" s="302"/>
      <c r="F62" s="708"/>
      <c r="G62" s="302"/>
      <c r="H62" s="604">
        <f aca="true" t="shared" si="1" ref="H62:H73">SUM(B62:G62)</f>
        <v>1634000</v>
      </c>
      <c r="I62" s="372" t="s">
        <v>157</v>
      </c>
    </row>
    <row r="63" spans="1:9" ht="21.75">
      <c r="A63" s="715" t="s">
        <v>586</v>
      </c>
      <c r="B63" s="302"/>
      <c r="C63" s="706"/>
      <c r="D63" s="716">
        <v>350000</v>
      </c>
      <c r="E63" s="716"/>
      <c r="F63" s="716"/>
      <c r="G63" s="716"/>
      <c r="H63" s="604">
        <f t="shared" si="1"/>
        <v>350000</v>
      </c>
      <c r="I63" s="372" t="s">
        <v>179</v>
      </c>
    </row>
    <row r="64" spans="1:9" ht="24.75" customHeight="1">
      <c r="A64" s="717" t="s">
        <v>73</v>
      </c>
      <c r="B64" s="302"/>
      <c r="C64" s="706">
        <v>314092.82</v>
      </c>
      <c r="D64" s="718"/>
      <c r="E64" s="719">
        <v>299997</v>
      </c>
      <c r="F64" s="708">
        <v>130000</v>
      </c>
      <c r="G64" s="302">
        <v>428530</v>
      </c>
      <c r="H64" s="604">
        <f t="shared" si="1"/>
        <v>1172619.82</v>
      </c>
      <c r="I64" s="374" t="s">
        <v>582</v>
      </c>
    </row>
    <row r="65" spans="1:9" ht="24.75" customHeight="1">
      <c r="A65" s="720" t="s">
        <v>111</v>
      </c>
      <c r="B65" s="302"/>
      <c r="C65" s="721">
        <v>691005.15</v>
      </c>
      <c r="D65" s="302">
        <v>1299999.76</v>
      </c>
      <c r="E65" s="302"/>
      <c r="F65" s="708"/>
      <c r="G65" s="719">
        <v>1569900.95</v>
      </c>
      <c r="H65" s="604">
        <f t="shared" si="1"/>
        <v>3560905.8600000003</v>
      </c>
      <c r="I65" s="374" t="s">
        <v>582</v>
      </c>
    </row>
    <row r="66" spans="1:9" ht="21" customHeight="1">
      <c r="A66" s="714" t="s">
        <v>152</v>
      </c>
      <c r="B66" s="302">
        <v>920319</v>
      </c>
      <c r="C66" s="302">
        <v>530000</v>
      </c>
      <c r="D66" s="302"/>
      <c r="E66" s="302">
        <v>940059</v>
      </c>
      <c r="F66" s="302"/>
      <c r="G66" s="721">
        <f>1150000+300800+300800</f>
        <v>1751600</v>
      </c>
      <c r="H66" s="604">
        <f t="shared" si="1"/>
        <v>4141978</v>
      </c>
      <c r="I66" s="248" t="s">
        <v>587</v>
      </c>
    </row>
    <row r="67" spans="1:9" ht="21" customHeight="1">
      <c r="A67" s="714" t="s">
        <v>83</v>
      </c>
      <c r="B67" s="302">
        <v>2341330</v>
      </c>
      <c r="C67" s="302">
        <v>3810617</v>
      </c>
      <c r="D67" s="302">
        <v>3438011</v>
      </c>
      <c r="E67" s="722">
        <v>341330</v>
      </c>
      <c r="F67" s="302">
        <v>3899752.3</v>
      </c>
      <c r="G67" s="723">
        <v>7614492.2700000005</v>
      </c>
      <c r="H67" s="604">
        <f t="shared" si="1"/>
        <v>21445532.57</v>
      </c>
      <c r="I67" s="374" t="s">
        <v>583</v>
      </c>
    </row>
    <row r="68" spans="1:9" ht="21" customHeight="1">
      <c r="A68" s="726" t="s">
        <v>589</v>
      </c>
      <c r="B68" s="302"/>
      <c r="C68" s="706">
        <v>45000</v>
      </c>
      <c r="D68" s="716"/>
      <c r="E68" s="716"/>
      <c r="F68" s="716"/>
      <c r="G68" s="716"/>
      <c r="H68" s="604">
        <f t="shared" si="1"/>
        <v>45000</v>
      </c>
      <c r="I68" s="372" t="s">
        <v>179</v>
      </c>
    </row>
    <row r="69" spans="1:9" ht="21" customHeight="1">
      <c r="A69" s="759" t="s">
        <v>78</v>
      </c>
      <c r="B69" s="302"/>
      <c r="C69" s="302"/>
      <c r="D69" s="302">
        <v>799992</v>
      </c>
      <c r="E69" s="302"/>
      <c r="F69" s="302"/>
      <c r="G69" s="723"/>
      <c r="H69" s="604">
        <f t="shared" si="1"/>
        <v>799992</v>
      </c>
      <c r="I69" s="248" t="s">
        <v>179</v>
      </c>
    </row>
    <row r="70" spans="1:9" ht="21.75">
      <c r="A70" s="760"/>
      <c r="B70" s="302"/>
      <c r="C70" s="302"/>
      <c r="D70" s="302"/>
      <c r="E70" s="722"/>
      <c r="F70" s="302"/>
      <c r="G70" s="709">
        <v>92602490.06</v>
      </c>
      <c r="H70" s="604">
        <f t="shared" si="1"/>
        <v>92602490.06</v>
      </c>
      <c r="I70" s="212" t="s">
        <v>79</v>
      </c>
    </row>
    <row r="71" spans="1:9" ht="21" customHeight="1">
      <c r="A71" s="705" t="s">
        <v>77</v>
      </c>
      <c r="B71" s="706"/>
      <c r="C71" s="706"/>
      <c r="D71" s="706"/>
      <c r="E71" s="302"/>
      <c r="F71" s="302"/>
      <c r="G71" s="707"/>
      <c r="H71" s="604"/>
      <c r="I71" s="212"/>
    </row>
    <row r="72" spans="1:9" ht="21" customHeight="1">
      <c r="A72" s="727" t="s">
        <v>74</v>
      </c>
      <c r="B72" s="302">
        <v>4749400</v>
      </c>
      <c r="C72" s="302">
        <v>1195300</v>
      </c>
      <c r="D72" s="302">
        <v>4583100</v>
      </c>
      <c r="E72" s="708">
        <v>428500</v>
      </c>
      <c r="F72" s="708">
        <v>232500</v>
      </c>
      <c r="G72" s="724">
        <v>9716500</v>
      </c>
      <c r="H72" s="709">
        <f t="shared" si="1"/>
        <v>20905300</v>
      </c>
      <c r="I72" s="756" t="s">
        <v>710</v>
      </c>
    </row>
    <row r="73" spans="1:9" ht="21" customHeight="1">
      <c r="A73" s="727" t="s">
        <v>698</v>
      </c>
      <c r="B73" s="302">
        <v>60200</v>
      </c>
      <c r="C73" s="302"/>
      <c r="D73" s="302">
        <v>331100</v>
      </c>
      <c r="E73" s="302"/>
      <c r="F73" s="302"/>
      <c r="G73" s="707">
        <v>0</v>
      </c>
      <c r="H73" s="604">
        <f t="shared" si="1"/>
        <v>391300</v>
      </c>
      <c r="I73" s="757"/>
    </row>
    <row r="74" spans="1:9" ht="21" customHeight="1">
      <c r="A74" s="727" t="s">
        <v>699</v>
      </c>
      <c r="B74" s="302"/>
      <c r="C74" s="302">
        <v>1438800</v>
      </c>
      <c r="D74" s="302">
        <v>446400</v>
      </c>
      <c r="E74" s="302"/>
      <c r="F74" s="302"/>
      <c r="G74" s="707">
        <v>218600</v>
      </c>
      <c r="H74" s="604">
        <f aca="true" t="shared" si="2" ref="H74:H90">SUM(B74:G74)</f>
        <v>2103800</v>
      </c>
      <c r="I74" s="758"/>
    </row>
    <row r="75" spans="1:9" ht="21" customHeight="1">
      <c r="A75" s="727" t="s">
        <v>73</v>
      </c>
      <c r="B75" s="302">
        <v>94788900</v>
      </c>
      <c r="C75" s="302">
        <v>16539800</v>
      </c>
      <c r="D75" s="302">
        <v>5875800</v>
      </c>
      <c r="E75" s="302">
        <v>2887700</v>
      </c>
      <c r="F75" s="302"/>
      <c r="G75" s="724">
        <v>40405000</v>
      </c>
      <c r="H75" s="604">
        <f t="shared" si="2"/>
        <v>160497200</v>
      </c>
      <c r="I75" s="725" t="s">
        <v>711</v>
      </c>
    </row>
    <row r="76" spans="1:9" ht="21" customHeight="1">
      <c r="A76" s="727" t="s">
        <v>700</v>
      </c>
      <c r="B76" s="302"/>
      <c r="C76" s="302">
        <v>208900</v>
      </c>
      <c r="D76" s="302"/>
      <c r="E76" s="302"/>
      <c r="F76" s="302"/>
      <c r="G76" s="707">
        <v>428700</v>
      </c>
      <c r="H76" s="604">
        <f t="shared" si="2"/>
        <v>637600</v>
      </c>
      <c r="I76" s="725" t="s">
        <v>711</v>
      </c>
    </row>
    <row r="77" spans="1:9" ht="22.5" customHeight="1">
      <c r="A77" s="728" t="s">
        <v>701</v>
      </c>
      <c r="B77" s="302"/>
      <c r="C77" s="302">
        <v>564800</v>
      </c>
      <c r="D77" s="302">
        <v>2135500</v>
      </c>
      <c r="E77" s="302"/>
      <c r="F77" s="302"/>
      <c r="G77" s="707"/>
      <c r="H77" s="604">
        <f t="shared" si="2"/>
        <v>2700300</v>
      </c>
      <c r="I77" s="725" t="s">
        <v>711</v>
      </c>
    </row>
    <row r="78" spans="1:9" ht="21.75">
      <c r="A78" s="729" t="s">
        <v>702</v>
      </c>
      <c r="B78" s="706"/>
      <c r="C78" s="706">
        <v>267500</v>
      </c>
      <c r="D78" s="706">
        <v>210400</v>
      </c>
      <c r="E78" s="706"/>
      <c r="F78" s="706"/>
      <c r="G78" s="707">
        <v>149700</v>
      </c>
      <c r="H78" s="604">
        <f t="shared" si="2"/>
        <v>627600</v>
      </c>
      <c r="I78" s="725" t="s">
        <v>711</v>
      </c>
    </row>
    <row r="79" spans="1:9" ht="21.75">
      <c r="A79" s="730" t="s">
        <v>99</v>
      </c>
      <c r="B79" s="710"/>
      <c r="C79" s="710">
        <v>436700</v>
      </c>
      <c r="D79" s="710">
        <v>21600</v>
      </c>
      <c r="E79" s="710"/>
      <c r="F79" s="710"/>
      <c r="G79" s="707">
        <v>351600</v>
      </c>
      <c r="H79" s="604">
        <f t="shared" si="2"/>
        <v>809900</v>
      </c>
      <c r="I79" s="725" t="s">
        <v>711</v>
      </c>
    </row>
    <row r="80" spans="1:9" ht="21.75">
      <c r="A80" s="731" t="s">
        <v>703</v>
      </c>
      <c r="B80" s="711">
        <v>840100</v>
      </c>
      <c r="C80" s="711">
        <v>518300</v>
      </c>
      <c r="D80" s="711">
        <v>860800</v>
      </c>
      <c r="E80" s="711">
        <v>518300</v>
      </c>
      <c r="F80" s="711"/>
      <c r="G80" s="707">
        <v>411100</v>
      </c>
      <c r="H80" s="604">
        <f t="shared" si="2"/>
        <v>3148600</v>
      </c>
      <c r="I80" s="725" t="s">
        <v>711</v>
      </c>
    </row>
    <row r="81" spans="1:9" ht="21.75">
      <c r="A81" s="730" t="s">
        <v>704</v>
      </c>
      <c r="B81" s="710">
        <v>215000</v>
      </c>
      <c r="C81" s="710">
        <v>2665800</v>
      </c>
      <c r="D81" s="710">
        <v>1172400</v>
      </c>
      <c r="E81" s="710">
        <v>4458300</v>
      </c>
      <c r="F81" s="710">
        <v>137000</v>
      </c>
      <c r="G81" s="707">
        <v>8824400</v>
      </c>
      <c r="H81" s="604">
        <f t="shared" si="2"/>
        <v>17472900</v>
      </c>
      <c r="I81" s="725" t="s">
        <v>711</v>
      </c>
    </row>
    <row r="82" spans="1:9" ht="21.75">
      <c r="A82" s="730" t="s">
        <v>705</v>
      </c>
      <c r="B82" s="710">
        <v>268300</v>
      </c>
      <c r="C82" s="710">
        <v>1961000</v>
      </c>
      <c r="D82" s="710">
        <v>2612200</v>
      </c>
      <c r="E82" s="710"/>
      <c r="F82" s="710"/>
      <c r="G82" s="707">
        <v>15169200</v>
      </c>
      <c r="H82" s="604">
        <f t="shared" si="2"/>
        <v>20010700</v>
      </c>
      <c r="I82" s="725" t="s">
        <v>711</v>
      </c>
    </row>
    <row r="83" spans="1:9" ht="21.75">
      <c r="A83" s="730" t="s">
        <v>83</v>
      </c>
      <c r="B83" s="710">
        <v>30163600</v>
      </c>
      <c r="C83" s="710">
        <v>10308100</v>
      </c>
      <c r="D83" s="710">
        <v>6383800</v>
      </c>
      <c r="E83" s="710">
        <v>44800</v>
      </c>
      <c r="F83" s="710">
        <v>264200</v>
      </c>
      <c r="G83" s="707">
        <v>12600200</v>
      </c>
      <c r="H83" s="604">
        <f t="shared" si="2"/>
        <v>59764700</v>
      </c>
      <c r="I83" s="725" t="s">
        <v>711</v>
      </c>
    </row>
    <row r="84" spans="1:9" ht="21.75">
      <c r="A84" s="730" t="s">
        <v>585</v>
      </c>
      <c r="B84" s="710">
        <v>125000</v>
      </c>
      <c r="C84" s="710">
        <v>2376000</v>
      </c>
      <c r="D84" s="710">
        <v>4004700</v>
      </c>
      <c r="E84" s="710"/>
      <c r="F84" s="710">
        <v>127100</v>
      </c>
      <c r="G84" s="707">
        <v>5403900</v>
      </c>
      <c r="H84" s="604">
        <f t="shared" si="2"/>
        <v>12036700</v>
      </c>
      <c r="I84" s="725" t="s">
        <v>711</v>
      </c>
    </row>
    <row r="85" spans="1:9" ht="21.75">
      <c r="A85" s="732" t="s">
        <v>708</v>
      </c>
      <c r="B85" s="710">
        <v>21600</v>
      </c>
      <c r="C85" s="710">
        <v>5850700</v>
      </c>
      <c r="D85" s="710">
        <v>861400</v>
      </c>
      <c r="E85" s="710">
        <v>1102900</v>
      </c>
      <c r="F85" s="710"/>
      <c r="G85" s="707">
        <v>6994100</v>
      </c>
      <c r="H85" s="604">
        <f t="shared" si="2"/>
        <v>14830700</v>
      </c>
      <c r="I85" s="725" t="s">
        <v>711</v>
      </c>
    </row>
    <row r="86" spans="1:9" ht="21.75">
      <c r="A86" s="730" t="s">
        <v>706</v>
      </c>
      <c r="B86" s="710">
        <v>239300</v>
      </c>
      <c r="C86" s="710">
        <v>177400</v>
      </c>
      <c r="D86" s="710">
        <v>1016900</v>
      </c>
      <c r="E86" s="710">
        <v>465200</v>
      </c>
      <c r="F86" s="710"/>
      <c r="G86" s="707">
        <v>171900</v>
      </c>
      <c r="H86" s="604">
        <f t="shared" si="2"/>
        <v>2070700</v>
      </c>
      <c r="I86" s="725" t="s">
        <v>711</v>
      </c>
    </row>
    <row r="87" spans="1:9" ht="21.75">
      <c r="A87" s="730" t="s">
        <v>707</v>
      </c>
      <c r="B87" s="710"/>
      <c r="C87" s="710"/>
      <c r="D87" s="710"/>
      <c r="E87" s="710"/>
      <c r="F87" s="710"/>
      <c r="G87" s="707">
        <v>51700</v>
      </c>
      <c r="H87" s="604">
        <v>51700</v>
      </c>
      <c r="I87" s="725" t="s">
        <v>711</v>
      </c>
    </row>
    <row r="88" spans="1:9" ht="21.75">
      <c r="A88" s="730" t="s">
        <v>589</v>
      </c>
      <c r="B88" s="710"/>
      <c r="C88" s="710">
        <v>255400</v>
      </c>
      <c r="D88" s="710"/>
      <c r="E88" s="710"/>
      <c r="F88" s="710"/>
      <c r="G88" s="707">
        <v>136500</v>
      </c>
      <c r="H88" s="604">
        <f t="shared" si="2"/>
        <v>391900</v>
      </c>
      <c r="I88" s="725" t="s">
        <v>711</v>
      </c>
    </row>
    <row r="89" spans="1:9" ht="21.75">
      <c r="A89" s="733" t="s">
        <v>709</v>
      </c>
      <c r="B89" s="712">
        <v>485200</v>
      </c>
      <c r="C89" s="712">
        <v>330700</v>
      </c>
      <c r="D89" s="712">
        <v>595600</v>
      </c>
      <c r="E89" s="712">
        <v>151400</v>
      </c>
      <c r="F89" s="712"/>
      <c r="G89" s="707">
        <v>1790200</v>
      </c>
      <c r="H89" s="604">
        <f>SUM(B89:G89)</f>
        <v>3353100</v>
      </c>
      <c r="I89" s="725" t="s">
        <v>711</v>
      </c>
    </row>
    <row r="90" spans="1:9" ht="21.75">
      <c r="A90" s="730" t="s">
        <v>151</v>
      </c>
      <c r="B90" s="710"/>
      <c r="C90" s="710"/>
      <c r="D90" s="710"/>
      <c r="E90" s="710"/>
      <c r="F90" s="710"/>
      <c r="G90" s="707">
        <v>42387071.145500004</v>
      </c>
      <c r="H90" s="604">
        <f t="shared" si="2"/>
        <v>42387071.145500004</v>
      </c>
      <c r="I90" s="713" t="s">
        <v>79</v>
      </c>
    </row>
    <row r="91" spans="1:9" ht="24" thickBot="1">
      <c r="A91" s="225" t="s">
        <v>62</v>
      </c>
      <c r="B91" s="605">
        <f>SUM(B7:B90)</f>
        <v>194741338.16</v>
      </c>
      <c r="C91" s="605">
        <f aca="true" t="shared" si="3" ref="C91:H91">SUM(C7:C90)</f>
        <v>695915415.0600001</v>
      </c>
      <c r="D91" s="605">
        <f t="shared" si="3"/>
        <v>73876990.07000001</v>
      </c>
      <c r="E91" s="605">
        <f t="shared" si="3"/>
        <v>31547923.75</v>
      </c>
      <c r="F91" s="605">
        <f t="shared" si="3"/>
        <v>14376718.309999999</v>
      </c>
      <c r="G91" s="605">
        <f t="shared" si="3"/>
        <v>716320163.8924997</v>
      </c>
      <c r="H91" s="605">
        <f t="shared" si="3"/>
        <v>1726778549.2424996</v>
      </c>
      <c r="I91" s="219"/>
    </row>
    <row r="92" spans="1:9" ht="22.5" thickTop="1">
      <c r="A92" s="701"/>
      <c r="B92" s="702"/>
      <c r="C92" s="702"/>
      <c r="D92" s="702"/>
      <c r="E92" s="702"/>
      <c r="F92" s="702"/>
      <c r="G92" s="702"/>
      <c r="H92" s="735" t="s">
        <v>712</v>
      </c>
      <c r="I92" s="704"/>
    </row>
    <row r="93" spans="1:9" ht="21">
      <c r="A93" s="701"/>
      <c r="B93" s="702"/>
      <c r="C93" s="702"/>
      <c r="D93" s="702"/>
      <c r="E93" s="702"/>
      <c r="F93" s="702"/>
      <c r="G93" s="703"/>
      <c r="H93" s="703"/>
      <c r="I93" s="704"/>
    </row>
    <row r="94" spans="1:9" ht="21">
      <c r="A94" s="701"/>
      <c r="B94" s="702"/>
      <c r="C94" s="702"/>
      <c r="D94" s="702"/>
      <c r="E94" s="702"/>
      <c r="F94" s="702"/>
      <c r="G94" s="703"/>
      <c r="H94" s="737"/>
      <c r="I94" s="704"/>
    </row>
    <row r="95" spans="1:9" ht="21">
      <c r="A95" s="701"/>
      <c r="B95" s="702"/>
      <c r="C95" s="702"/>
      <c r="D95" s="702"/>
      <c r="E95" s="702"/>
      <c r="F95" s="702"/>
      <c r="G95" s="703"/>
      <c r="H95" s="703"/>
      <c r="I95" s="704"/>
    </row>
    <row r="96" spans="1:9" ht="21">
      <c r="A96" s="701"/>
      <c r="B96" s="702"/>
      <c r="C96" s="702"/>
      <c r="D96" s="702"/>
      <c r="E96" s="702"/>
      <c r="F96" s="702"/>
      <c r="G96" s="703"/>
      <c r="H96" s="703"/>
      <c r="I96" s="704"/>
    </row>
    <row r="97" spans="1:9" ht="21">
      <c r="A97" s="701"/>
      <c r="B97" s="702"/>
      <c r="C97" s="702"/>
      <c r="D97" s="702"/>
      <c r="E97" s="702"/>
      <c r="F97" s="702"/>
      <c r="G97" s="703"/>
      <c r="H97" s="703"/>
      <c r="I97" s="704"/>
    </row>
    <row r="98" spans="1:9" ht="21">
      <c r="A98" s="701"/>
      <c r="B98" s="702"/>
      <c r="C98" s="702"/>
      <c r="D98" s="702"/>
      <c r="E98" s="702"/>
      <c r="F98" s="702"/>
      <c r="G98" s="703"/>
      <c r="H98" s="703"/>
      <c r="I98" s="704"/>
    </row>
    <row r="99" spans="1:9" ht="21">
      <c r="A99" s="701"/>
      <c r="B99" s="702"/>
      <c r="C99" s="702"/>
      <c r="D99" s="702"/>
      <c r="E99" s="702"/>
      <c r="F99" s="702"/>
      <c r="G99" s="703"/>
      <c r="H99" s="703"/>
      <c r="I99" s="704"/>
    </row>
    <row r="100" spans="1:9" ht="21">
      <c r="A100" s="701"/>
      <c r="B100" s="702"/>
      <c r="C100" s="702"/>
      <c r="D100" s="702"/>
      <c r="E100" s="702"/>
      <c r="F100" s="702"/>
      <c r="G100" s="703"/>
      <c r="H100" s="703"/>
      <c r="I100" s="704"/>
    </row>
    <row r="101" spans="1:9" ht="21">
      <c r="A101" s="701"/>
      <c r="B101" s="702"/>
      <c r="C101" s="702"/>
      <c r="D101" s="702"/>
      <c r="E101" s="702"/>
      <c r="F101" s="702"/>
      <c r="G101" s="703"/>
      <c r="H101" s="703"/>
      <c r="I101" s="704"/>
    </row>
    <row r="102" spans="1:9" ht="21">
      <c r="A102" s="701"/>
      <c r="B102" s="702"/>
      <c r="C102" s="702"/>
      <c r="D102" s="702"/>
      <c r="E102" s="702"/>
      <c r="F102" s="702"/>
      <c r="G102" s="703"/>
      <c r="H102" s="703"/>
      <c r="I102" s="704"/>
    </row>
    <row r="103" spans="1:9" ht="21">
      <c r="A103" s="701"/>
      <c r="B103" s="702"/>
      <c r="C103" s="702"/>
      <c r="D103" s="702"/>
      <c r="E103" s="702"/>
      <c r="F103" s="702"/>
      <c r="G103" s="703"/>
      <c r="H103" s="703"/>
      <c r="I103" s="704"/>
    </row>
    <row r="104" spans="1:9" ht="14.25" customHeight="1">
      <c r="A104" s="701"/>
      <c r="B104" s="702"/>
      <c r="C104" s="702"/>
      <c r="D104" s="702"/>
      <c r="E104" s="702"/>
      <c r="F104" s="702"/>
      <c r="G104" s="703"/>
      <c r="H104" s="703"/>
      <c r="I104" s="704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5" ht="13.5" customHeight="1">
      <c r="G115" s="226"/>
    </row>
    <row r="116" spans="2:7" ht="24">
      <c r="B116" s="99"/>
      <c r="G116" s="99"/>
    </row>
  </sheetData>
  <sheetProtection/>
  <mergeCells count="12">
    <mergeCell ref="A1:I1"/>
    <mergeCell ref="A2:I2"/>
    <mergeCell ref="A4:A5"/>
    <mergeCell ref="B4:G4"/>
    <mergeCell ref="H4:H5"/>
    <mergeCell ref="I4:I5"/>
    <mergeCell ref="I72:I74"/>
    <mergeCell ref="A9:A10"/>
    <mergeCell ref="A12:A13"/>
    <mergeCell ref="A21:A22"/>
    <mergeCell ref="A46:A47"/>
    <mergeCell ref="A69:A70"/>
  </mergeCells>
  <printOptions horizontalCentered="1"/>
  <pageMargins left="0.275590551181102" right="0.196850393700787" top="0" bottom="0" header="0.31496062992126" footer="0.118110236220472"/>
  <pageSetup horizontalDpi="600" verticalDpi="600" orientation="landscape" paperSize="9" scale="75" r:id="rId1"/>
  <rowBreaks count="1" manualBreakCount="1">
    <brk id="3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1" sqref="G19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1" sqref="G19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1" sqref="G19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showGridLines="0" zoomScalePageLayoutView="0" workbookViewId="0" topLeftCell="A4">
      <selection activeCell="B9" sqref="B9"/>
    </sheetView>
  </sheetViews>
  <sheetFormatPr defaultColWidth="9.140625" defaultRowHeight="21.75"/>
  <cols>
    <col min="1" max="1" width="58.140625" style="0" customWidth="1"/>
    <col min="2" max="2" width="12.8515625" style="0" customWidth="1"/>
    <col min="3" max="3" width="16.28125" style="0" customWidth="1"/>
    <col min="4" max="4" width="8.57421875" style="0" customWidth="1"/>
    <col min="5" max="5" width="9.140625" style="0" customWidth="1"/>
    <col min="6" max="6" width="13.00390625" style="0" customWidth="1"/>
    <col min="7" max="7" width="16.57421875" style="0" customWidth="1"/>
    <col min="8" max="8" width="19.421875" style="0" customWidth="1"/>
    <col min="9" max="9" width="18.8515625" style="0" customWidth="1"/>
    <col min="10" max="10" width="17.140625" style="0" customWidth="1"/>
    <col min="13" max="13" width="24.57421875" style="0" customWidth="1"/>
  </cols>
  <sheetData>
    <row r="1" spans="1:10" ht="21.7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1" ht="23.25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0" ht="23.25">
      <c r="A3" s="109"/>
      <c r="B3" s="4"/>
      <c r="C3" s="4"/>
      <c r="D3" s="4"/>
      <c r="E3" s="4"/>
      <c r="F3" s="4"/>
      <c r="G3" s="4"/>
      <c r="H3" s="4"/>
      <c r="I3" s="4"/>
      <c r="J3" s="4"/>
    </row>
    <row r="4" spans="1:10" ht="21.75">
      <c r="A4" s="763" t="s">
        <v>1</v>
      </c>
      <c r="B4" s="765" t="s">
        <v>12</v>
      </c>
      <c r="C4" s="766"/>
      <c r="D4" s="766"/>
      <c r="E4" s="766"/>
      <c r="F4" s="766"/>
      <c r="G4" s="767" t="s">
        <v>16</v>
      </c>
      <c r="H4" s="763" t="s">
        <v>6</v>
      </c>
      <c r="I4" s="763" t="s">
        <v>7</v>
      </c>
      <c r="J4" s="769" t="s">
        <v>31</v>
      </c>
    </row>
    <row r="5" spans="1:10" ht="21.75">
      <c r="A5" s="764"/>
      <c r="B5" s="27" t="s">
        <v>8</v>
      </c>
      <c r="C5" s="27" t="s">
        <v>9</v>
      </c>
      <c r="D5" s="310" t="s">
        <v>153</v>
      </c>
      <c r="E5" s="27" t="s">
        <v>10</v>
      </c>
      <c r="F5" s="129" t="s">
        <v>18</v>
      </c>
      <c r="G5" s="768"/>
      <c r="H5" s="768"/>
      <c r="I5" s="768"/>
      <c r="J5" s="770"/>
    </row>
    <row r="6" spans="1:10" ht="23.25" customHeight="1">
      <c r="A6" s="111" t="s">
        <v>17</v>
      </c>
      <c r="B6" s="112"/>
      <c r="C6" s="112"/>
      <c r="D6" s="112"/>
      <c r="E6" s="112"/>
      <c r="F6" s="112"/>
      <c r="G6" s="112"/>
      <c r="H6" s="113"/>
      <c r="I6" s="113"/>
      <c r="J6" s="84"/>
    </row>
    <row r="7" spans="1:10" ht="87">
      <c r="A7" s="162" t="s">
        <v>266</v>
      </c>
      <c r="B7" s="161"/>
      <c r="C7" s="161">
        <f>22778137.51+5694534.38</f>
        <v>28472671.89</v>
      </c>
      <c r="D7" s="161"/>
      <c r="E7" s="161"/>
      <c r="F7" s="161"/>
      <c r="G7" s="158">
        <f>SUM(B7:F7)</f>
        <v>28472671.89</v>
      </c>
      <c r="H7" s="163" t="s">
        <v>176</v>
      </c>
      <c r="I7" s="200" t="s">
        <v>125</v>
      </c>
      <c r="J7" s="160" t="s">
        <v>35</v>
      </c>
    </row>
    <row r="8" spans="1:10" ht="43.5">
      <c r="A8" s="492" t="s">
        <v>263</v>
      </c>
      <c r="B8" s="493"/>
      <c r="C8" s="493">
        <f>64101577.22+149570346.85</f>
        <v>213671924.07</v>
      </c>
      <c r="D8" s="493"/>
      <c r="E8" s="493"/>
      <c r="F8" s="493"/>
      <c r="G8" s="158">
        <f>SUM(B8:F8)</f>
        <v>213671924.07</v>
      </c>
      <c r="H8" s="163" t="s">
        <v>176</v>
      </c>
      <c r="I8" s="200" t="s">
        <v>125</v>
      </c>
      <c r="J8" s="160" t="s">
        <v>264</v>
      </c>
    </row>
    <row r="9" spans="1:10" ht="43.5">
      <c r="A9" s="177" t="s">
        <v>265</v>
      </c>
      <c r="B9" s="161">
        <v>4964020.45</v>
      </c>
      <c r="C9" s="161"/>
      <c r="D9" s="161"/>
      <c r="E9" s="161"/>
      <c r="F9" s="161"/>
      <c r="G9" s="158">
        <f>SUM(B9:F9)</f>
        <v>4964020.45</v>
      </c>
      <c r="H9" s="163" t="s">
        <v>176</v>
      </c>
      <c r="I9" s="200" t="s">
        <v>15</v>
      </c>
      <c r="J9" s="162" t="s">
        <v>35</v>
      </c>
    </row>
    <row r="10" spans="1:10" ht="43.5">
      <c r="A10" s="177" t="s">
        <v>592</v>
      </c>
      <c r="B10" s="161">
        <v>3901004.45</v>
      </c>
      <c r="C10" s="161"/>
      <c r="D10" s="161"/>
      <c r="E10" s="161"/>
      <c r="F10" s="161"/>
      <c r="G10" s="158">
        <f>SUM(B10:F10)</f>
        <v>3901004.45</v>
      </c>
      <c r="H10" s="163" t="s">
        <v>176</v>
      </c>
      <c r="I10" s="200" t="s">
        <v>158</v>
      </c>
      <c r="J10" s="162" t="s">
        <v>35</v>
      </c>
    </row>
    <row r="11" spans="1:10" ht="21.75">
      <c r="A11" s="492"/>
      <c r="B11" s="488"/>
      <c r="C11" s="488"/>
      <c r="D11" s="488"/>
      <c r="E11" s="488"/>
      <c r="F11" s="488"/>
      <c r="G11" s="158">
        <f>SUM(B11:F11)</f>
        <v>0</v>
      </c>
      <c r="H11" s="490"/>
      <c r="I11" s="491"/>
      <c r="J11" s="394"/>
    </row>
    <row r="12" spans="1:10" ht="22.5" thickBot="1">
      <c r="A12" s="165" t="s">
        <v>2</v>
      </c>
      <c r="B12" s="166">
        <f>SUM(B7:B10)</f>
        <v>8865024.9</v>
      </c>
      <c r="C12" s="166">
        <f>SUM(C7:C8)</f>
        <v>242144595.95999998</v>
      </c>
      <c r="D12" s="166">
        <f>SUM(D7:D10)</f>
        <v>0</v>
      </c>
      <c r="E12" s="166">
        <f>SUM(E7:E8)</f>
        <v>0</v>
      </c>
      <c r="F12" s="166">
        <f>SUM(F7:F10)</f>
        <v>0</v>
      </c>
      <c r="G12" s="166">
        <f>SUM(G7:G11)</f>
        <v>251009620.85999995</v>
      </c>
      <c r="H12" s="167"/>
      <c r="I12" s="167"/>
      <c r="J12" s="167"/>
    </row>
    <row r="13" spans="1:10" ht="22.5" thickTop="1">
      <c r="A13" s="308"/>
      <c r="B13" s="194"/>
      <c r="C13" s="277"/>
      <c r="D13" s="168"/>
      <c r="E13" s="168"/>
      <c r="F13" s="168"/>
      <c r="G13" s="168"/>
      <c r="H13" s="277"/>
      <c r="I13" s="168"/>
      <c r="J13" s="168"/>
    </row>
    <row r="14" spans="2:13" ht="21.75">
      <c r="B14" s="241"/>
      <c r="C14" s="29"/>
      <c r="F14" s="1"/>
      <c r="G14" s="1"/>
      <c r="M14" s="110"/>
    </row>
    <row r="15" spans="6:13" ht="21.75">
      <c r="F15" s="1"/>
      <c r="G15" s="1"/>
      <c r="M15" s="110"/>
    </row>
    <row r="16" spans="2:13" ht="21.75">
      <c r="B16" s="1"/>
      <c r="G16" s="29"/>
      <c r="M16" s="110"/>
    </row>
    <row r="17" ht="21.75">
      <c r="M17" s="110"/>
    </row>
    <row r="18" spans="4:13" ht="21.75">
      <c r="D18" s="1"/>
      <c r="M18" s="110"/>
    </row>
    <row r="19" ht="21.75">
      <c r="M19" s="110"/>
    </row>
    <row r="20" ht="21.75">
      <c r="M20" s="110"/>
    </row>
    <row r="21" ht="21.75">
      <c r="M21" s="313"/>
    </row>
    <row r="22" ht="21.75">
      <c r="M22" s="110"/>
    </row>
    <row r="23" ht="21.75">
      <c r="M23" s="110"/>
    </row>
    <row r="24" ht="21.75">
      <c r="M24" s="110"/>
    </row>
    <row r="25" ht="21.75">
      <c r="M25" s="110"/>
    </row>
    <row r="26" ht="21.75">
      <c r="M26" s="110"/>
    </row>
    <row r="27" ht="21.75">
      <c r="M27" s="110"/>
    </row>
    <row r="28" ht="21.75">
      <c r="M28" s="29"/>
    </row>
  </sheetData>
  <sheetProtection/>
  <mergeCells count="8">
    <mergeCell ref="A1:J1"/>
    <mergeCell ref="A2:K2"/>
    <mergeCell ref="A4:A5"/>
    <mergeCell ref="B4:F4"/>
    <mergeCell ref="G4:G5"/>
    <mergeCell ref="H4:H5"/>
    <mergeCell ref="I4:I5"/>
    <mergeCell ref="J4:J5"/>
  </mergeCells>
  <printOptions horizontalCentered="1" verticalCentered="1"/>
  <pageMargins left="0.354330708661417" right="0.196850393700787" top="0.169291339" bottom="0" header="0.905511811023622" footer="0.1574803149606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zoomScalePageLayoutView="0" workbookViewId="0" topLeftCell="A1">
      <selection activeCell="G11" sqref="G11"/>
    </sheetView>
  </sheetViews>
  <sheetFormatPr defaultColWidth="9.140625" defaultRowHeight="21.75"/>
  <cols>
    <col min="1" max="1" width="53.140625" style="0" customWidth="1"/>
    <col min="2" max="2" width="13.57421875" style="0" customWidth="1"/>
    <col min="3" max="3" width="14.8515625" style="0" customWidth="1"/>
    <col min="4" max="4" width="11.421875" style="0" customWidth="1"/>
    <col min="5" max="5" width="11.7109375" style="0" customWidth="1"/>
    <col min="6" max="6" width="13.421875" style="0" customWidth="1"/>
    <col min="7" max="7" width="16.57421875" style="0" customWidth="1"/>
    <col min="8" max="8" width="16.00390625" style="0" customWidth="1"/>
    <col min="9" max="9" width="19.421875" style="0" customWidth="1"/>
    <col min="10" max="10" width="18.8515625" style="0" customWidth="1"/>
    <col min="11" max="11" width="17.140625" style="0" customWidth="1"/>
  </cols>
  <sheetData>
    <row r="1" spans="1:11" ht="21.7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1" ht="23.25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1" ht="23.25">
      <c r="A3" s="109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>
      <c r="A4" s="763" t="s">
        <v>1</v>
      </c>
      <c r="B4" s="765" t="s">
        <v>12</v>
      </c>
      <c r="C4" s="766"/>
      <c r="D4" s="766"/>
      <c r="E4" s="766"/>
      <c r="F4" s="775"/>
      <c r="G4" s="150"/>
      <c r="H4" s="767" t="s">
        <v>16</v>
      </c>
      <c r="I4" s="763" t="s">
        <v>6</v>
      </c>
      <c r="J4" s="763" t="s">
        <v>7</v>
      </c>
      <c r="K4" s="769" t="s">
        <v>31</v>
      </c>
    </row>
    <row r="5" spans="1:11" ht="21.75" customHeight="1">
      <c r="A5" s="774"/>
      <c r="B5" s="771" t="s">
        <v>159</v>
      </c>
      <c r="C5" s="772"/>
      <c r="D5" s="772"/>
      <c r="E5" s="772"/>
      <c r="F5" s="773"/>
      <c r="G5" s="314"/>
      <c r="H5" s="776"/>
      <c r="I5" s="774"/>
      <c r="J5" s="774"/>
      <c r="K5" s="777"/>
    </row>
    <row r="6" spans="1:11" ht="21.75">
      <c r="A6" s="764"/>
      <c r="B6" s="27" t="s">
        <v>8</v>
      </c>
      <c r="C6" s="311" t="s">
        <v>160</v>
      </c>
      <c r="D6" s="310" t="s">
        <v>153</v>
      </c>
      <c r="E6" s="27" t="s">
        <v>10</v>
      </c>
      <c r="F6" s="129" t="s">
        <v>18</v>
      </c>
      <c r="G6" s="310" t="s">
        <v>158</v>
      </c>
      <c r="H6" s="768"/>
      <c r="I6" s="768"/>
      <c r="J6" s="768"/>
      <c r="K6" s="770"/>
    </row>
    <row r="7" spans="1:11" ht="23.25" customHeight="1">
      <c r="A7" s="111" t="s">
        <v>17</v>
      </c>
      <c r="B7" s="112"/>
      <c r="C7" s="112"/>
      <c r="D7" s="112"/>
      <c r="E7" s="112"/>
      <c r="F7" s="112"/>
      <c r="G7" s="112"/>
      <c r="H7" s="112"/>
      <c r="I7" s="113"/>
      <c r="J7" s="113"/>
      <c r="K7" s="84"/>
    </row>
    <row r="8" spans="1:11" ht="93.75" customHeight="1">
      <c r="A8" s="162" t="s">
        <v>369</v>
      </c>
      <c r="B8" s="161"/>
      <c r="C8" s="312">
        <v>22778137.51</v>
      </c>
      <c r="D8" s="312"/>
      <c r="E8" s="312"/>
      <c r="F8" s="312"/>
      <c r="G8" s="312">
        <v>5694534.38</v>
      </c>
      <c r="H8" s="158">
        <f>SUM(B8:G8)</f>
        <v>28472671.89</v>
      </c>
      <c r="I8" s="163" t="s">
        <v>176</v>
      </c>
      <c r="J8" s="200" t="s">
        <v>125</v>
      </c>
      <c r="K8" s="160" t="s">
        <v>35</v>
      </c>
    </row>
    <row r="9" spans="1:11" ht="43.5">
      <c r="A9" s="177" t="s">
        <v>263</v>
      </c>
      <c r="B9" s="161"/>
      <c r="C9" s="312">
        <v>64101577.22</v>
      </c>
      <c r="D9" s="312"/>
      <c r="E9" s="312"/>
      <c r="F9" s="312"/>
      <c r="G9" s="312">
        <v>149570346.85</v>
      </c>
      <c r="H9" s="358">
        <f>SUM(B9:G9)</f>
        <v>213671924.07</v>
      </c>
      <c r="I9" s="163" t="s">
        <v>176</v>
      </c>
      <c r="J9" s="200" t="s">
        <v>125</v>
      </c>
      <c r="K9" s="160" t="s">
        <v>264</v>
      </c>
    </row>
    <row r="10" spans="1:11" ht="43.5">
      <c r="A10" s="177" t="s">
        <v>265</v>
      </c>
      <c r="B10" s="161">
        <v>4964020.45</v>
      </c>
      <c r="C10" s="312"/>
      <c r="D10" s="312"/>
      <c r="E10" s="312"/>
      <c r="F10" s="312"/>
      <c r="G10" s="312"/>
      <c r="H10" s="358">
        <f>SUM(B10:G10)</f>
        <v>4964020.45</v>
      </c>
      <c r="I10" s="163" t="s">
        <v>176</v>
      </c>
      <c r="J10" s="200" t="s">
        <v>15</v>
      </c>
      <c r="K10" s="162" t="s">
        <v>35</v>
      </c>
    </row>
    <row r="11" spans="1:11" ht="43.5">
      <c r="A11" s="177" t="s">
        <v>568</v>
      </c>
      <c r="B11" s="161"/>
      <c r="C11" s="312"/>
      <c r="D11" s="312"/>
      <c r="E11" s="312"/>
      <c r="F11" s="312"/>
      <c r="G11" s="312">
        <v>3901004.45</v>
      </c>
      <c r="H11" s="358">
        <f>SUM(B11:G11)</f>
        <v>3901004.45</v>
      </c>
      <c r="I11" s="163" t="s">
        <v>176</v>
      </c>
      <c r="J11" s="200" t="s">
        <v>158</v>
      </c>
      <c r="K11" s="162" t="s">
        <v>35</v>
      </c>
    </row>
    <row r="12" spans="1:11" ht="87">
      <c r="A12" s="298" t="s">
        <v>269</v>
      </c>
      <c r="B12" s="488"/>
      <c r="C12" s="489" t="s">
        <v>270</v>
      </c>
      <c r="D12" s="489"/>
      <c r="E12" s="489"/>
      <c r="F12" s="489"/>
      <c r="G12" s="489"/>
      <c r="H12" s="351"/>
      <c r="I12" s="490" t="s">
        <v>268</v>
      </c>
      <c r="J12" s="491"/>
      <c r="K12" s="352" t="s">
        <v>267</v>
      </c>
    </row>
    <row r="13" spans="1:11" ht="22.5" thickBot="1">
      <c r="A13" s="165" t="s">
        <v>2</v>
      </c>
      <c r="B13" s="166">
        <f aca="true" t="shared" si="0" ref="B13:G13">SUM(B8:B11)</f>
        <v>4964020.45</v>
      </c>
      <c r="C13" s="166">
        <f t="shared" si="0"/>
        <v>86879714.73</v>
      </c>
      <c r="D13" s="166">
        <f t="shared" si="0"/>
        <v>0</v>
      </c>
      <c r="E13" s="166">
        <f t="shared" si="0"/>
        <v>0</v>
      </c>
      <c r="F13" s="166">
        <f t="shared" si="0"/>
        <v>0</v>
      </c>
      <c r="G13" s="166">
        <f t="shared" si="0"/>
        <v>159165885.67999998</v>
      </c>
      <c r="H13" s="166">
        <f>SUM(H8:H11)</f>
        <v>251009620.85999995</v>
      </c>
      <c r="I13" s="167"/>
      <c r="J13" s="167"/>
      <c r="K13" s="167"/>
    </row>
    <row r="14" spans="1:11" ht="22.5" thickTop="1">
      <c r="A14" s="308"/>
      <c r="B14" s="194"/>
      <c r="C14" s="277"/>
      <c r="D14" s="168"/>
      <c r="E14" s="168"/>
      <c r="F14" s="168"/>
      <c r="G14" s="168"/>
      <c r="H14" s="168"/>
      <c r="I14" s="277"/>
      <c r="J14" s="168"/>
      <c r="K14" s="168"/>
    </row>
    <row r="15" spans="2:8" ht="21.75">
      <c r="B15" s="241"/>
      <c r="C15" s="29"/>
      <c r="E15" s="29"/>
      <c r="G15" s="110"/>
      <c r="H15" s="1"/>
    </row>
    <row r="16" spans="3:8" ht="21.75">
      <c r="C16" s="1"/>
      <c r="F16" s="1"/>
      <c r="G16" s="110"/>
      <c r="H16" s="1"/>
    </row>
    <row r="17" spans="2:7" ht="21.75">
      <c r="B17" s="1"/>
      <c r="F17" s="29"/>
      <c r="G17" s="110"/>
    </row>
    <row r="18" ht="21.75">
      <c r="G18" s="110"/>
    </row>
    <row r="19" ht="21.75">
      <c r="G19" s="110"/>
    </row>
    <row r="20" ht="21.75">
      <c r="G20" s="110"/>
    </row>
    <row r="21" ht="21.75">
      <c r="G21" s="110"/>
    </row>
    <row r="22" ht="21.75">
      <c r="G22" s="1"/>
    </row>
  </sheetData>
  <sheetProtection/>
  <mergeCells count="9">
    <mergeCell ref="B5:F5"/>
    <mergeCell ref="A1:K1"/>
    <mergeCell ref="A2:K2"/>
    <mergeCell ref="A4:A6"/>
    <mergeCell ref="B4:F4"/>
    <mergeCell ref="H4:H6"/>
    <mergeCell ref="I4:I6"/>
    <mergeCell ref="J4:J6"/>
    <mergeCell ref="K4:K6"/>
  </mergeCells>
  <printOptions horizontalCentered="1" verticalCentered="1"/>
  <pageMargins left="0.104330709" right="0" top="0.169291339" bottom="0" header="0.905511811023622" footer="0.1574803149606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46"/>
  <sheetViews>
    <sheetView showGridLines="0" zoomScalePageLayoutView="0" workbookViewId="0" topLeftCell="A31">
      <selection activeCell="F12" sqref="F12"/>
    </sheetView>
  </sheetViews>
  <sheetFormatPr defaultColWidth="9.140625" defaultRowHeight="21.75"/>
  <cols>
    <col min="1" max="1" width="71.28125" style="0" customWidth="1"/>
    <col min="2" max="2" width="8.00390625" style="0" customWidth="1"/>
    <col min="4" max="4" width="9.57421875" style="0" customWidth="1"/>
    <col min="5" max="5" width="8.7109375" style="0" bestFit="1" customWidth="1"/>
    <col min="6" max="6" width="17.28125" style="0" customWidth="1"/>
    <col min="7" max="7" width="15.28125" style="0" customWidth="1"/>
    <col min="8" max="8" width="11.28125" style="0" customWidth="1"/>
    <col min="9" max="9" width="14.00390625" style="0" customWidth="1"/>
    <col min="10" max="10" width="14.57421875" style="0" customWidth="1"/>
  </cols>
  <sheetData>
    <row r="1" spans="1:10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0" ht="23.25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</row>
    <row r="3" ht="21.75" customHeight="1"/>
    <row r="4" spans="1:10" ht="21.75">
      <c r="A4" s="763" t="s">
        <v>1</v>
      </c>
      <c r="B4" s="765" t="s">
        <v>12</v>
      </c>
      <c r="C4" s="781"/>
      <c r="D4" s="781"/>
      <c r="E4" s="782"/>
      <c r="F4" s="767" t="s">
        <v>60</v>
      </c>
      <c r="G4" s="767" t="s">
        <v>13</v>
      </c>
      <c r="H4" s="763" t="s">
        <v>6</v>
      </c>
      <c r="I4" s="779" t="s">
        <v>7</v>
      </c>
      <c r="J4" s="763" t="s">
        <v>5</v>
      </c>
    </row>
    <row r="5" spans="1:10" ht="45" customHeight="1">
      <c r="A5" s="764"/>
      <c r="B5" s="23" t="s">
        <v>8</v>
      </c>
      <c r="C5" s="23" t="s">
        <v>9</v>
      </c>
      <c r="D5" s="23" t="s">
        <v>153</v>
      </c>
      <c r="E5" s="23" t="s">
        <v>10</v>
      </c>
      <c r="F5" s="778"/>
      <c r="G5" s="778"/>
      <c r="H5" s="764"/>
      <c r="I5" s="780"/>
      <c r="J5" s="764"/>
    </row>
    <row r="6" spans="1:10" ht="21.75">
      <c r="A6" s="7" t="s">
        <v>216</v>
      </c>
      <c r="B6" s="8"/>
      <c r="C6" s="8"/>
      <c r="D6" s="8"/>
      <c r="E6" s="8"/>
      <c r="F6" s="247"/>
      <c r="G6" s="8"/>
      <c r="H6" s="9"/>
      <c r="I6" s="9"/>
      <c r="J6" s="10"/>
    </row>
    <row r="7" spans="1:10" ht="24.75" customHeight="1">
      <c r="A7" s="674" t="s">
        <v>637</v>
      </c>
      <c r="B7" s="12"/>
      <c r="C7" s="12"/>
      <c r="D7" s="12"/>
      <c r="E7" s="12"/>
      <c r="F7" s="157"/>
      <c r="G7" s="12"/>
      <c r="H7" s="13"/>
      <c r="I7" s="13"/>
      <c r="J7" s="14"/>
    </row>
    <row r="8" spans="1:10" ht="24.75" customHeight="1">
      <c r="A8" s="541" t="s">
        <v>638</v>
      </c>
      <c r="B8" s="235"/>
      <c r="C8" s="235"/>
      <c r="D8" s="235"/>
      <c r="E8" s="235"/>
      <c r="F8" s="542">
        <f>1295280*18%</f>
        <v>233150.4</v>
      </c>
      <c r="G8" s="236">
        <f>SUM(B8:F8)</f>
        <v>233150.4</v>
      </c>
      <c r="H8" s="546" t="s">
        <v>36</v>
      </c>
      <c r="I8" s="409" t="s">
        <v>11</v>
      </c>
      <c r="J8" s="441">
        <v>0.18</v>
      </c>
    </row>
    <row r="9" spans="1:10" ht="24.75" customHeight="1">
      <c r="A9" s="541" t="s">
        <v>639</v>
      </c>
      <c r="B9" s="235"/>
      <c r="C9" s="235"/>
      <c r="D9" s="235"/>
      <c r="E9" s="235"/>
      <c r="F9" s="542">
        <v>3023200</v>
      </c>
      <c r="G9" s="236">
        <f aca="true" t="shared" si="0" ref="G9:G40">SUM(B9:F9)</f>
        <v>3023200</v>
      </c>
      <c r="H9" s="546" t="s">
        <v>36</v>
      </c>
      <c r="I9" s="409" t="s">
        <v>11</v>
      </c>
      <c r="J9" s="543"/>
    </row>
    <row r="10" spans="1:10" ht="24.75" customHeight="1">
      <c r="A10" s="541" t="s">
        <v>640</v>
      </c>
      <c r="B10" s="235"/>
      <c r="C10" s="235"/>
      <c r="D10" s="235"/>
      <c r="E10" s="235"/>
      <c r="F10" s="542">
        <f>4847832*16/100</f>
        <v>775653.12</v>
      </c>
      <c r="G10" s="236">
        <f t="shared" si="0"/>
        <v>775653.12</v>
      </c>
      <c r="H10" s="546" t="s">
        <v>36</v>
      </c>
      <c r="I10" s="409" t="s">
        <v>11</v>
      </c>
      <c r="J10" s="441">
        <v>0.16</v>
      </c>
    </row>
    <row r="11" spans="1:10" ht="24.75" customHeight="1">
      <c r="A11" s="541" t="s">
        <v>641</v>
      </c>
      <c r="B11" s="235"/>
      <c r="C11" s="235"/>
      <c r="D11" s="235"/>
      <c r="E11" s="235"/>
      <c r="F11" s="542">
        <f>169600*16/100</f>
        <v>27136</v>
      </c>
      <c r="G11" s="236">
        <f t="shared" si="0"/>
        <v>27136</v>
      </c>
      <c r="H11" s="546" t="s">
        <v>36</v>
      </c>
      <c r="I11" s="409" t="s">
        <v>11</v>
      </c>
      <c r="J11" s="441">
        <v>0.16</v>
      </c>
    </row>
    <row r="12" spans="1:10" ht="24.75" customHeight="1">
      <c r="A12" s="541" t="s">
        <v>642</v>
      </c>
      <c r="B12" s="235"/>
      <c r="C12" s="235"/>
      <c r="D12" s="235"/>
      <c r="E12" s="235"/>
      <c r="F12" s="542">
        <f>2000000*16/100</f>
        <v>320000</v>
      </c>
      <c r="G12" s="236">
        <f t="shared" si="0"/>
        <v>320000</v>
      </c>
      <c r="H12" s="546" t="s">
        <v>36</v>
      </c>
      <c r="I12" s="409" t="s">
        <v>11</v>
      </c>
      <c r="J12" s="441">
        <v>0.16</v>
      </c>
    </row>
    <row r="13" spans="1:10" ht="24.75" customHeight="1">
      <c r="A13" s="544" t="s">
        <v>643</v>
      </c>
      <c r="B13" s="235"/>
      <c r="C13" s="235"/>
      <c r="D13" s="235"/>
      <c r="E13" s="235"/>
      <c r="F13" s="542"/>
      <c r="G13" s="236"/>
      <c r="H13" s="521"/>
      <c r="I13" s="409"/>
      <c r="J13" s="543"/>
    </row>
    <row r="14" spans="1:10" ht="24.75" customHeight="1">
      <c r="A14" s="545" t="s">
        <v>644</v>
      </c>
      <c r="B14" s="235"/>
      <c r="C14" s="235"/>
      <c r="D14" s="235"/>
      <c r="E14" s="235"/>
      <c r="F14" s="542">
        <f>549216.7</f>
        <v>549216.7</v>
      </c>
      <c r="G14" s="236">
        <f t="shared" si="0"/>
        <v>549216.7</v>
      </c>
      <c r="H14" s="546" t="s">
        <v>36</v>
      </c>
      <c r="I14" s="409" t="s">
        <v>11</v>
      </c>
      <c r="J14" s="441"/>
    </row>
    <row r="15" spans="1:10" ht="24.75" customHeight="1">
      <c r="A15" s="545" t="s">
        <v>645</v>
      </c>
      <c r="B15" s="235"/>
      <c r="C15" s="235"/>
      <c r="D15" s="235"/>
      <c r="E15" s="235"/>
      <c r="F15" s="542">
        <f>6785894.56*4/100</f>
        <v>271435.78239999997</v>
      </c>
      <c r="G15" s="236">
        <f t="shared" si="0"/>
        <v>271435.78239999997</v>
      </c>
      <c r="H15" s="546" t="s">
        <v>36</v>
      </c>
      <c r="I15" s="409" t="s">
        <v>11</v>
      </c>
      <c r="J15" s="441">
        <v>0.04</v>
      </c>
    </row>
    <row r="16" spans="1:10" ht="24.75" customHeight="1">
      <c r="A16" s="545" t="s">
        <v>646</v>
      </c>
      <c r="B16" s="235"/>
      <c r="C16" s="235"/>
      <c r="D16" s="235"/>
      <c r="E16" s="235"/>
      <c r="F16" s="542">
        <f>395063*4/100</f>
        <v>15802.52</v>
      </c>
      <c r="G16" s="236">
        <f t="shared" si="0"/>
        <v>15802.52</v>
      </c>
      <c r="H16" s="546" t="s">
        <v>36</v>
      </c>
      <c r="I16" s="409" t="s">
        <v>11</v>
      </c>
      <c r="J16" s="441">
        <v>0.04</v>
      </c>
    </row>
    <row r="17" spans="1:10" ht="43.5">
      <c r="A17" s="545" t="s">
        <v>647</v>
      </c>
      <c r="B17" s="235"/>
      <c r="C17" s="235"/>
      <c r="D17" s="235"/>
      <c r="E17" s="235"/>
      <c r="F17" s="309">
        <f>100687*4/100</f>
        <v>4027.48</v>
      </c>
      <c r="G17" s="237">
        <f t="shared" si="0"/>
        <v>4027.48</v>
      </c>
      <c r="H17" s="546" t="s">
        <v>36</v>
      </c>
      <c r="I17" s="409" t="s">
        <v>11</v>
      </c>
      <c r="J17" s="441">
        <v>0.04</v>
      </c>
    </row>
    <row r="18" spans="1:10" ht="24.75" customHeight="1">
      <c r="A18" s="547" t="s">
        <v>648</v>
      </c>
      <c r="B18" s="235"/>
      <c r="C18" s="235"/>
      <c r="D18" s="235"/>
      <c r="E18" s="235"/>
      <c r="F18" s="542"/>
      <c r="G18" s="236"/>
      <c r="H18" s="546"/>
      <c r="I18" s="409"/>
      <c r="J18" s="543"/>
    </row>
    <row r="19" spans="1:10" ht="24.75" customHeight="1">
      <c r="A19" s="316" t="s">
        <v>649</v>
      </c>
      <c r="B19" s="235"/>
      <c r="C19" s="235"/>
      <c r="D19" s="235"/>
      <c r="E19" s="235"/>
      <c r="F19" s="542">
        <f>35727.08</f>
        <v>35727.08</v>
      </c>
      <c r="G19" s="236">
        <f t="shared" si="0"/>
        <v>35727.08</v>
      </c>
      <c r="H19" s="546" t="s">
        <v>36</v>
      </c>
      <c r="I19" s="409" t="s">
        <v>11</v>
      </c>
      <c r="J19" s="543"/>
    </row>
    <row r="20" spans="1:10" ht="24.75" customHeight="1">
      <c r="A20" s="316" t="s">
        <v>650</v>
      </c>
      <c r="B20" s="235"/>
      <c r="C20" s="235"/>
      <c r="D20" s="235"/>
      <c r="E20" s="235"/>
      <c r="F20" s="542">
        <f>762623</f>
        <v>762623</v>
      </c>
      <c r="G20" s="236">
        <f t="shared" si="0"/>
        <v>762623</v>
      </c>
      <c r="H20" s="546" t="s">
        <v>36</v>
      </c>
      <c r="I20" s="409" t="s">
        <v>11</v>
      </c>
      <c r="J20" s="543"/>
    </row>
    <row r="21" spans="1:10" ht="24.75" customHeight="1">
      <c r="A21" s="547" t="s">
        <v>651</v>
      </c>
      <c r="B21" s="235"/>
      <c r="C21" s="235"/>
      <c r="D21" s="235"/>
      <c r="E21" s="235"/>
      <c r="F21" s="542"/>
      <c r="G21" s="236">
        <f t="shared" si="0"/>
        <v>0</v>
      </c>
      <c r="H21" s="521"/>
      <c r="I21" s="409" t="s">
        <v>11</v>
      </c>
      <c r="J21" s="543"/>
    </row>
    <row r="22" spans="1:10" ht="21.75">
      <c r="A22" s="316" t="s">
        <v>652</v>
      </c>
      <c r="B22" s="235"/>
      <c r="C22" s="235"/>
      <c r="D22" s="235"/>
      <c r="E22" s="235"/>
      <c r="F22" s="542">
        <f>15589832.26*16/100</f>
        <v>2494373.1615999998</v>
      </c>
      <c r="G22" s="236">
        <f t="shared" si="0"/>
        <v>2494373.1615999998</v>
      </c>
      <c r="H22" s="546" t="s">
        <v>36</v>
      </c>
      <c r="I22" s="409" t="s">
        <v>11</v>
      </c>
      <c r="J22" s="441">
        <v>0.16</v>
      </c>
    </row>
    <row r="23" spans="1:10" ht="65.25">
      <c r="A23" s="316" t="s">
        <v>653</v>
      </c>
      <c r="B23" s="235"/>
      <c r="C23" s="235"/>
      <c r="D23" s="235"/>
      <c r="E23" s="235"/>
      <c r="F23" s="309">
        <f>426341.2</f>
        <v>426341.2</v>
      </c>
      <c r="G23" s="237">
        <f t="shared" si="0"/>
        <v>426341.2</v>
      </c>
      <c r="H23" s="238" t="s">
        <v>36</v>
      </c>
      <c r="I23" s="409" t="s">
        <v>11</v>
      </c>
      <c r="J23" s="543"/>
    </row>
    <row r="24" spans="1:10" ht="24.75" customHeight="1">
      <c r="A24" s="547" t="s">
        <v>654</v>
      </c>
      <c r="B24" s="235"/>
      <c r="C24" s="235"/>
      <c r="D24" s="235"/>
      <c r="E24" s="235"/>
      <c r="F24" s="542"/>
      <c r="G24" s="236">
        <f t="shared" si="0"/>
        <v>0</v>
      </c>
      <c r="H24" s="546" t="s">
        <v>36</v>
      </c>
      <c r="I24" s="409" t="s">
        <v>11</v>
      </c>
      <c r="J24" s="543"/>
    </row>
    <row r="25" spans="1:10" ht="24.75" customHeight="1">
      <c r="A25" s="316" t="s">
        <v>655</v>
      </c>
      <c r="B25" s="235"/>
      <c r="C25" s="235"/>
      <c r="D25" s="235"/>
      <c r="E25" s="235"/>
      <c r="F25" s="542">
        <f>70365</f>
        <v>70365</v>
      </c>
      <c r="G25" s="236">
        <f t="shared" si="0"/>
        <v>70365</v>
      </c>
      <c r="H25" s="546" t="s">
        <v>36</v>
      </c>
      <c r="I25" s="409" t="s">
        <v>11</v>
      </c>
      <c r="J25" s="543"/>
    </row>
    <row r="26" spans="1:10" ht="24.75" customHeight="1">
      <c r="A26" s="316" t="s">
        <v>656</v>
      </c>
      <c r="B26" s="235"/>
      <c r="C26" s="235"/>
      <c r="D26" s="235"/>
      <c r="E26" s="235"/>
      <c r="F26" s="542">
        <v>44537.66</v>
      </c>
      <c r="G26" s="236">
        <f t="shared" si="0"/>
        <v>44537.66</v>
      </c>
      <c r="H26" s="546" t="s">
        <v>36</v>
      </c>
      <c r="I26" s="409" t="s">
        <v>11</v>
      </c>
      <c r="J26" s="543"/>
    </row>
    <row r="27" spans="1:10" ht="24.75" customHeight="1">
      <c r="A27" s="316" t="s">
        <v>657</v>
      </c>
      <c r="B27" s="235"/>
      <c r="C27" s="235"/>
      <c r="D27" s="235"/>
      <c r="E27" s="235"/>
      <c r="F27" s="542">
        <v>332700</v>
      </c>
      <c r="G27" s="236">
        <f t="shared" si="0"/>
        <v>332700</v>
      </c>
      <c r="H27" s="546" t="s">
        <v>36</v>
      </c>
      <c r="I27" s="409" t="s">
        <v>11</v>
      </c>
      <c r="J27" s="543"/>
    </row>
    <row r="28" spans="1:10" ht="24.75" customHeight="1">
      <c r="A28" s="316" t="s">
        <v>658</v>
      </c>
      <c r="B28" s="235"/>
      <c r="C28" s="235"/>
      <c r="D28" s="235"/>
      <c r="E28" s="235"/>
      <c r="F28" s="542">
        <v>49231</v>
      </c>
      <c r="G28" s="236">
        <f t="shared" si="0"/>
        <v>49231</v>
      </c>
      <c r="H28" s="546" t="s">
        <v>36</v>
      </c>
      <c r="I28" s="409" t="s">
        <v>11</v>
      </c>
      <c r="J28" s="543"/>
    </row>
    <row r="29" spans="1:10" ht="24.75" customHeight="1">
      <c r="A29" s="316" t="s">
        <v>659</v>
      </c>
      <c r="B29" s="235"/>
      <c r="C29" s="235"/>
      <c r="D29" s="235"/>
      <c r="E29" s="235"/>
      <c r="F29" s="542">
        <v>508800</v>
      </c>
      <c r="G29" s="236">
        <f t="shared" si="0"/>
        <v>508800</v>
      </c>
      <c r="H29" s="546" t="s">
        <v>36</v>
      </c>
      <c r="I29" s="409" t="s">
        <v>11</v>
      </c>
      <c r="J29" s="543"/>
    </row>
    <row r="30" spans="1:10" ht="24.75" customHeight="1">
      <c r="A30" s="548" t="s">
        <v>660</v>
      </c>
      <c r="B30" s="235"/>
      <c r="C30" s="235"/>
      <c r="D30" s="235"/>
      <c r="E30" s="235"/>
      <c r="F30" s="542"/>
      <c r="G30" s="236">
        <f t="shared" si="0"/>
        <v>0</v>
      </c>
      <c r="H30" s="546" t="s">
        <v>36</v>
      </c>
      <c r="I30" s="409" t="s">
        <v>11</v>
      </c>
      <c r="J30" s="543"/>
    </row>
    <row r="31" spans="1:10" ht="21.75">
      <c r="A31" s="316" t="s">
        <v>661</v>
      </c>
      <c r="B31" s="235"/>
      <c r="C31" s="235"/>
      <c r="D31" s="235"/>
      <c r="E31" s="235"/>
      <c r="F31" s="542">
        <v>155382.2</v>
      </c>
      <c r="G31" s="236">
        <f t="shared" si="0"/>
        <v>155382.2</v>
      </c>
      <c r="H31" s="546" t="s">
        <v>36</v>
      </c>
      <c r="I31" s="409" t="s">
        <v>11</v>
      </c>
      <c r="J31" s="543"/>
    </row>
    <row r="32" spans="1:10" ht="21.75">
      <c r="A32" s="316" t="s">
        <v>662</v>
      </c>
      <c r="B32" s="235"/>
      <c r="C32" s="235"/>
      <c r="D32" s="235"/>
      <c r="E32" s="235"/>
      <c r="F32" s="542">
        <v>167255.6</v>
      </c>
      <c r="G32" s="236">
        <f t="shared" si="0"/>
        <v>167255.6</v>
      </c>
      <c r="H32" s="546" t="s">
        <v>36</v>
      </c>
      <c r="I32" s="409" t="s">
        <v>11</v>
      </c>
      <c r="J32" s="543"/>
    </row>
    <row r="33" spans="1:10" ht="24.75" customHeight="1">
      <c r="A33" s="547" t="s">
        <v>663</v>
      </c>
      <c r="B33" s="235"/>
      <c r="C33" s="235"/>
      <c r="D33" s="235"/>
      <c r="E33" s="235"/>
      <c r="F33" s="542"/>
      <c r="G33" s="236">
        <f t="shared" si="0"/>
        <v>0</v>
      </c>
      <c r="H33" s="546" t="s">
        <v>36</v>
      </c>
      <c r="I33" s="409" t="s">
        <v>11</v>
      </c>
      <c r="J33" s="543"/>
    </row>
    <row r="34" spans="1:10" ht="24.75" customHeight="1">
      <c r="A34" s="228" t="s">
        <v>664</v>
      </c>
      <c r="B34" s="235"/>
      <c r="C34" s="235"/>
      <c r="D34" s="235"/>
      <c r="E34" s="235"/>
      <c r="F34" s="542">
        <v>144178.08</v>
      </c>
      <c r="G34" s="236">
        <f t="shared" si="0"/>
        <v>144178.08</v>
      </c>
      <c r="H34" s="546" t="s">
        <v>36</v>
      </c>
      <c r="I34" s="409" t="s">
        <v>11</v>
      </c>
      <c r="J34" s="543"/>
    </row>
    <row r="35" spans="1:10" ht="24.75" customHeight="1">
      <c r="A35" s="228" t="s">
        <v>665</v>
      </c>
      <c r="B35" s="235"/>
      <c r="C35" s="235"/>
      <c r="D35" s="235"/>
      <c r="E35" s="235"/>
      <c r="F35" s="542">
        <v>45055.65</v>
      </c>
      <c r="G35" s="236">
        <f t="shared" si="0"/>
        <v>45055.65</v>
      </c>
      <c r="H35" s="546" t="s">
        <v>36</v>
      </c>
      <c r="I35" s="409" t="s">
        <v>11</v>
      </c>
      <c r="J35" s="543"/>
    </row>
    <row r="36" spans="1:10" ht="24.75" customHeight="1">
      <c r="A36" s="228" t="s">
        <v>666</v>
      </c>
      <c r="B36" s="235"/>
      <c r="C36" s="235"/>
      <c r="D36" s="235"/>
      <c r="E36" s="235"/>
      <c r="F36" s="542">
        <v>158250</v>
      </c>
      <c r="G36" s="236">
        <f t="shared" si="0"/>
        <v>158250</v>
      </c>
      <c r="H36" s="546" t="s">
        <v>36</v>
      </c>
      <c r="I36" s="409" t="s">
        <v>11</v>
      </c>
      <c r="J36" s="543"/>
    </row>
    <row r="37" spans="1:10" ht="24.75" customHeight="1">
      <c r="A37" s="228" t="s">
        <v>667</v>
      </c>
      <c r="B37" s="235"/>
      <c r="C37" s="235"/>
      <c r="D37" s="235"/>
      <c r="E37" s="235"/>
      <c r="F37" s="542">
        <v>1571460</v>
      </c>
      <c r="G37" s="236">
        <f t="shared" si="0"/>
        <v>1571460</v>
      </c>
      <c r="H37" s="546" t="s">
        <v>36</v>
      </c>
      <c r="I37" s="409" t="s">
        <v>11</v>
      </c>
      <c r="J37" s="543"/>
    </row>
    <row r="38" spans="1:10" ht="43.5">
      <c r="A38" s="228" t="s">
        <v>668</v>
      </c>
      <c r="B38" s="235"/>
      <c r="C38" s="235"/>
      <c r="D38" s="235"/>
      <c r="E38" s="235"/>
      <c r="F38" s="542">
        <v>24766.35</v>
      </c>
      <c r="G38" s="236">
        <f t="shared" si="0"/>
        <v>24766.35</v>
      </c>
      <c r="H38" s="546" t="s">
        <v>36</v>
      </c>
      <c r="I38" s="409" t="s">
        <v>11</v>
      </c>
      <c r="J38" s="543"/>
    </row>
    <row r="39" spans="1:10" ht="24.75" customHeight="1">
      <c r="A39" s="228" t="s">
        <v>669</v>
      </c>
      <c r="B39" s="235"/>
      <c r="C39" s="235"/>
      <c r="D39" s="235"/>
      <c r="E39" s="235"/>
      <c r="F39" s="542">
        <f>318053.82</f>
        <v>318053.82</v>
      </c>
      <c r="G39" s="236">
        <f t="shared" si="0"/>
        <v>318053.82</v>
      </c>
      <c r="H39" s="546" t="s">
        <v>36</v>
      </c>
      <c r="I39" s="409" t="s">
        <v>11</v>
      </c>
      <c r="J39" s="543"/>
    </row>
    <row r="40" spans="1:10" ht="24.75" customHeight="1">
      <c r="A40" s="228" t="s">
        <v>670</v>
      </c>
      <c r="B40" s="235"/>
      <c r="C40" s="235"/>
      <c r="D40" s="235"/>
      <c r="E40" s="235"/>
      <c r="F40" s="542">
        <f>171500</f>
        <v>171500</v>
      </c>
      <c r="G40" s="236">
        <f t="shared" si="0"/>
        <v>171500</v>
      </c>
      <c r="H40" s="546" t="s">
        <v>36</v>
      </c>
      <c r="I40" s="409" t="s">
        <v>11</v>
      </c>
      <c r="J40" s="543"/>
    </row>
    <row r="41" spans="1:10" ht="22.5" thickBot="1">
      <c r="A41" s="114" t="s">
        <v>2</v>
      </c>
      <c r="B41" s="21"/>
      <c r="C41" s="21"/>
      <c r="D41" s="21"/>
      <c r="E41" s="21"/>
      <c r="F41" s="410">
        <f>SUM(F8:F40)</f>
        <v>12700221.803999998</v>
      </c>
      <c r="G41" s="410">
        <f>SUM(G8:G40)</f>
        <v>12700221.803999998</v>
      </c>
      <c r="H41" s="167"/>
      <c r="I41" s="167"/>
      <c r="J41" s="411"/>
    </row>
    <row r="42" ht="22.5" thickTop="1"/>
    <row r="43" spans="6:9" ht="21.75">
      <c r="F43" s="1"/>
      <c r="I43" s="22"/>
    </row>
    <row r="44" ht="21.75">
      <c r="F44" s="1"/>
    </row>
    <row r="45" ht="21.75">
      <c r="F45" s="1"/>
    </row>
    <row r="46" ht="21.75">
      <c r="F46" s="1"/>
    </row>
  </sheetData>
  <sheetProtection/>
  <mergeCells count="9">
    <mergeCell ref="A1:J1"/>
    <mergeCell ref="G4:G5"/>
    <mergeCell ref="H4:H5"/>
    <mergeCell ref="I4:I5"/>
    <mergeCell ref="J4:J5"/>
    <mergeCell ref="A4:A5"/>
    <mergeCell ref="F4:F5"/>
    <mergeCell ref="B4:E4"/>
    <mergeCell ref="A2:J2"/>
  </mergeCells>
  <printOptions horizontalCentered="1" verticalCentered="1"/>
  <pageMargins left="0.31496062992126" right="0.354330708661417" top="0.31496062992126" bottom="0.196850393700787" header="0.669291338582677" footer="0.1574803149606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N25"/>
  <sheetViews>
    <sheetView showGridLines="0" zoomScalePageLayoutView="0" workbookViewId="0" topLeftCell="A4">
      <selection activeCell="B12" sqref="B12"/>
    </sheetView>
  </sheetViews>
  <sheetFormatPr defaultColWidth="9.140625" defaultRowHeight="21.75"/>
  <cols>
    <col min="1" max="1" width="56.00390625" style="70" customWidth="1"/>
    <col min="2" max="2" width="12.28125" style="70" customWidth="1"/>
    <col min="3" max="3" width="13.28125" style="70" bestFit="1" customWidth="1"/>
    <col min="4" max="4" width="12.140625" style="70" customWidth="1"/>
    <col min="5" max="5" width="12.8515625" style="70" bestFit="1" customWidth="1"/>
    <col min="6" max="6" width="12.140625" style="70" bestFit="1" customWidth="1"/>
    <col min="7" max="7" width="14.57421875" style="70" customWidth="1"/>
    <col min="8" max="8" width="15.00390625" style="70" customWidth="1"/>
    <col min="9" max="9" width="13.140625" style="70" customWidth="1"/>
    <col min="10" max="10" width="18.140625" style="70" customWidth="1"/>
    <col min="11" max="11" width="12.8515625" style="0" customWidth="1"/>
  </cols>
  <sheetData>
    <row r="1" spans="1:11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4" ht="23.25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104"/>
      <c r="M2" s="104"/>
      <c r="N2" s="104"/>
    </row>
    <row r="3" ht="21.75" customHeight="1"/>
    <row r="4" spans="1:11" ht="21.75" customHeight="1">
      <c r="A4" s="783" t="s">
        <v>1</v>
      </c>
      <c r="B4" s="785" t="s">
        <v>12</v>
      </c>
      <c r="C4" s="786"/>
      <c r="D4" s="786"/>
      <c r="E4" s="786"/>
      <c r="F4" s="239"/>
      <c r="G4" s="767" t="s">
        <v>86</v>
      </c>
      <c r="H4" s="779" t="s">
        <v>13</v>
      </c>
      <c r="I4" s="779" t="s">
        <v>6</v>
      </c>
      <c r="J4" s="779" t="s">
        <v>7</v>
      </c>
      <c r="K4" s="779" t="s">
        <v>31</v>
      </c>
    </row>
    <row r="5" spans="1:11" ht="42.75" customHeight="1">
      <c r="A5" s="784"/>
      <c r="B5" s="195" t="s">
        <v>8</v>
      </c>
      <c r="C5" s="195" t="s">
        <v>9</v>
      </c>
      <c r="D5" s="195" t="s">
        <v>166</v>
      </c>
      <c r="E5" s="195" t="s">
        <v>10</v>
      </c>
      <c r="F5" s="108" t="s">
        <v>33</v>
      </c>
      <c r="G5" s="778"/>
      <c r="H5" s="780"/>
      <c r="I5" s="780"/>
      <c r="J5" s="780"/>
      <c r="K5" s="780"/>
    </row>
    <row r="6" spans="1:11" ht="21.75">
      <c r="A6" s="71" t="s">
        <v>81</v>
      </c>
      <c r="B6" s="72"/>
      <c r="C6" s="72"/>
      <c r="D6" s="72"/>
      <c r="E6" s="72"/>
      <c r="F6" s="72"/>
      <c r="G6" s="72"/>
      <c r="H6" s="72"/>
      <c r="I6" s="73"/>
      <c r="J6" s="73"/>
      <c r="K6" s="10"/>
    </row>
    <row r="7" spans="1:11" ht="21.75">
      <c r="A7" s="674" t="s">
        <v>185</v>
      </c>
      <c r="B7" s="77"/>
      <c r="C7" s="74"/>
      <c r="D7" s="75"/>
      <c r="E7" s="75"/>
      <c r="F7" s="75"/>
      <c r="G7" s="75"/>
      <c r="H7" s="75"/>
      <c r="I7" s="50"/>
      <c r="J7" s="154"/>
      <c r="K7" s="14"/>
    </row>
    <row r="8" spans="1:11" ht="43.5">
      <c r="A8" s="223" t="s">
        <v>130</v>
      </c>
      <c r="B8" s="78"/>
      <c r="C8" s="184"/>
      <c r="D8" s="75"/>
      <c r="E8" s="75"/>
      <c r="F8" s="75"/>
      <c r="G8" s="184">
        <f>37439097.25*60%</f>
        <v>22463458.349999998</v>
      </c>
      <c r="H8" s="184">
        <f>SUM(B8:G8)</f>
        <v>22463458.349999998</v>
      </c>
      <c r="I8" s="50" t="s">
        <v>36</v>
      </c>
      <c r="J8" s="154" t="s">
        <v>82</v>
      </c>
      <c r="K8" s="734">
        <v>0.6</v>
      </c>
    </row>
    <row r="9" spans="1:11" ht="43.5">
      <c r="A9" s="388" t="s">
        <v>254</v>
      </c>
      <c r="B9" s="78"/>
      <c r="C9" s="74"/>
      <c r="D9" s="75"/>
      <c r="E9" s="75"/>
      <c r="F9" s="75"/>
      <c r="G9" s="75">
        <v>145076.4</v>
      </c>
      <c r="H9" s="75">
        <f>SUM(B9:G9)</f>
        <v>145076.4</v>
      </c>
      <c r="I9" s="50" t="s">
        <v>36</v>
      </c>
      <c r="J9" s="154" t="s">
        <v>82</v>
      </c>
      <c r="K9" s="14"/>
    </row>
    <row r="10" spans="1:11" ht="21.75">
      <c r="A10" s="76" t="s">
        <v>255</v>
      </c>
      <c r="B10" s="78"/>
      <c r="C10" s="74"/>
      <c r="D10" s="75"/>
      <c r="E10" s="75"/>
      <c r="F10" s="75"/>
      <c r="G10" s="75"/>
      <c r="H10" s="75"/>
      <c r="I10" s="105"/>
      <c r="J10" s="58"/>
      <c r="K10" s="14"/>
    </row>
    <row r="11" spans="1:11" ht="87">
      <c r="A11" s="379" t="s">
        <v>183</v>
      </c>
      <c r="B11" s="386"/>
      <c r="C11" s="386"/>
      <c r="D11" s="386"/>
      <c r="E11" s="386"/>
      <c r="F11" s="386"/>
      <c r="G11" s="386">
        <v>5438.45</v>
      </c>
      <c r="H11" s="184">
        <f>SUM(B11:G11)</f>
        <v>5438.45</v>
      </c>
      <c r="I11" s="176" t="s">
        <v>36</v>
      </c>
      <c r="J11" s="154" t="s">
        <v>82</v>
      </c>
      <c r="K11" s="349"/>
    </row>
    <row r="12" spans="1:11" ht="65.25">
      <c r="A12" s="388" t="s">
        <v>184</v>
      </c>
      <c r="B12" s="386"/>
      <c r="C12" s="386"/>
      <c r="D12" s="386"/>
      <c r="E12" s="386"/>
      <c r="F12" s="386"/>
      <c r="G12" s="386">
        <v>1736120.96</v>
      </c>
      <c r="H12" s="75">
        <f>SUM(B12:G12)</f>
        <v>1736120.96</v>
      </c>
      <c r="I12" s="176" t="s">
        <v>36</v>
      </c>
      <c r="J12" s="154" t="s">
        <v>82</v>
      </c>
      <c r="K12" s="176"/>
    </row>
    <row r="13" spans="1:11" ht="21.75">
      <c r="A13" s="76" t="s">
        <v>256</v>
      </c>
      <c r="B13" s="386"/>
      <c r="C13" s="386"/>
      <c r="D13" s="386"/>
      <c r="E13" s="386"/>
      <c r="F13" s="386"/>
      <c r="G13" s="387"/>
      <c r="H13" s="75"/>
      <c r="I13" s="176"/>
      <c r="J13" s="176"/>
      <c r="K13" s="176"/>
    </row>
    <row r="14" spans="1:11" ht="87">
      <c r="A14" s="223" t="s">
        <v>713</v>
      </c>
      <c r="B14" s="384">
        <v>303868</v>
      </c>
      <c r="C14" s="385">
        <v>2725925</v>
      </c>
      <c r="D14" s="385">
        <v>185278.82</v>
      </c>
      <c r="E14" s="385"/>
      <c r="F14" s="385"/>
      <c r="G14" s="385"/>
      <c r="H14" s="75">
        <f>SUM(B14:G14)</f>
        <v>3215071.82</v>
      </c>
      <c r="I14" s="176" t="s">
        <v>102</v>
      </c>
      <c r="J14" s="176" t="s">
        <v>39</v>
      </c>
      <c r="K14" s="262" t="s">
        <v>257</v>
      </c>
    </row>
    <row r="15" spans="1:11" ht="22.5" thickBot="1">
      <c r="A15" s="79" t="s">
        <v>2</v>
      </c>
      <c r="B15" s="96">
        <f aca="true" t="shared" si="0" ref="B15:H15">SUM(B7:B14)</f>
        <v>303868</v>
      </c>
      <c r="C15" s="96">
        <f t="shared" si="0"/>
        <v>2725925</v>
      </c>
      <c r="D15" s="96">
        <f t="shared" si="0"/>
        <v>185278.82</v>
      </c>
      <c r="E15" s="96">
        <f t="shared" si="0"/>
        <v>0</v>
      </c>
      <c r="F15" s="96">
        <f t="shared" si="0"/>
        <v>0</v>
      </c>
      <c r="G15" s="96">
        <f t="shared" si="0"/>
        <v>24350094.159999996</v>
      </c>
      <c r="H15" s="96">
        <f t="shared" si="0"/>
        <v>27565165.979999997</v>
      </c>
      <c r="I15" s="80"/>
      <c r="J15" s="80"/>
      <c r="K15" s="21"/>
    </row>
    <row r="16" ht="22.5" thickTop="1">
      <c r="H16" s="86"/>
    </row>
    <row r="17" spans="5:10" ht="21.75">
      <c r="E17" s="86"/>
      <c r="F17" s="86"/>
      <c r="H17" s="86"/>
      <c r="J17" s="81"/>
    </row>
    <row r="18" spans="6:8" ht="21.75">
      <c r="F18" s="307"/>
      <c r="G18" s="88"/>
      <c r="H18" s="88"/>
    </row>
    <row r="19" spans="1:7" ht="21.75">
      <c r="A19" s="70" t="s">
        <v>37</v>
      </c>
      <c r="E19" s="86"/>
      <c r="F19" s="86"/>
      <c r="G19" s="86"/>
    </row>
    <row r="20" spans="6:7" ht="21.75">
      <c r="F20" s="88"/>
      <c r="G20" s="88"/>
    </row>
    <row r="21" ht="21.75">
      <c r="G21" s="88"/>
    </row>
    <row r="25" ht="21.75">
      <c r="H25" s="240"/>
    </row>
  </sheetData>
  <sheetProtection/>
  <mergeCells count="9">
    <mergeCell ref="A1:K1"/>
    <mergeCell ref="A2:K2"/>
    <mergeCell ref="H4:H5"/>
    <mergeCell ref="I4:I5"/>
    <mergeCell ref="J4:J5"/>
    <mergeCell ref="K4:K5"/>
    <mergeCell ref="A4:A5"/>
    <mergeCell ref="B4:E4"/>
    <mergeCell ref="G4:G5"/>
  </mergeCells>
  <printOptions/>
  <pageMargins left="0.588582677" right="0.248031496" top="1.523622047" bottom="0.25" header="0.905511811023622" footer="0.15748031496063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3"/>
  <sheetViews>
    <sheetView showGridLines="0" zoomScalePageLayoutView="0" workbookViewId="0" topLeftCell="A7">
      <selection activeCell="B9" sqref="B9"/>
    </sheetView>
  </sheetViews>
  <sheetFormatPr defaultColWidth="9.140625" defaultRowHeight="21.75"/>
  <cols>
    <col min="1" max="1" width="52.57421875" style="0" customWidth="1"/>
    <col min="2" max="2" width="13.57421875" style="0" bestFit="1" customWidth="1"/>
    <col min="3" max="3" width="12.7109375" style="0" customWidth="1"/>
    <col min="4" max="4" width="13.140625" style="0" customWidth="1"/>
    <col min="5" max="5" width="12.421875" style="0" customWidth="1"/>
    <col min="6" max="6" width="11.140625" style="0" customWidth="1"/>
    <col min="7" max="7" width="13.57421875" style="0" customWidth="1"/>
    <col min="8" max="8" width="15.140625" style="0" customWidth="1"/>
    <col min="9" max="9" width="14.140625" style="0" customWidth="1"/>
    <col min="10" max="10" width="11.57421875" style="49" customWidth="1"/>
    <col min="11" max="11" width="15.28125" style="0" customWidth="1"/>
    <col min="12" max="12" width="11.28125" style="0" customWidth="1"/>
    <col min="13" max="13" width="10.00390625" style="0" bestFit="1" customWidth="1"/>
  </cols>
  <sheetData>
    <row r="1" spans="1:12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2" ht="23.25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</row>
    <row r="3" spans="1:2" ht="23.25" customHeight="1">
      <c r="A3" s="47"/>
      <c r="B3" s="48"/>
    </row>
    <row r="4" spans="1:12" ht="21.75" customHeight="1">
      <c r="A4" s="763" t="s">
        <v>1</v>
      </c>
      <c r="B4" s="765" t="s">
        <v>12</v>
      </c>
      <c r="C4" s="766"/>
      <c r="D4" s="766"/>
      <c r="E4" s="766"/>
      <c r="F4" s="766"/>
      <c r="G4" s="775"/>
      <c r="H4" s="767" t="s">
        <v>60</v>
      </c>
      <c r="I4" s="767" t="s">
        <v>123</v>
      </c>
      <c r="J4" s="767" t="s">
        <v>6</v>
      </c>
      <c r="K4" s="779" t="s">
        <v>7</v>
      </c>
      <c r="L4" s="779" t="s">
        <v>31</v>
      </c>
    </row>
    <row r="5" spans="1:12" ht="42.75" customHeight="1">
      <c r="A5" s="764"/>
      <c r="B5" s="23" t="s">
        <v>8</v>
      </c>
      <c r="C5" s="23" t="s">
        <v>9</v>
      </c>
      <c r="D5" s="23" t="s">
        <v>153</v>
      </c>
      <c r="E5" s="23" t="s">
        <v>10</v>
      </c>
      <c r="F5" s="23" t="s">
        <v>19</v>
      </c>
      <c r="G5" s="108" t="s">
        <v>33</v>
      </c>
      <c r="H5" s="778"/>
      <c r="I5" s="778"/>
      <c r="J5" s="778"/>
      <c r="K5" s="780"/>
      <c r="L5" s="780"/>
    </row>
    <row r="6" spans="1:12" ht="21.75">
      <c r="A6" s="7" t="s">
        <v>26</v>
      </c>
      <c r="B6" s="8"/>
      <c r="C6" s="8"/>
      <c r="D6" s="8"/>
      <c r="E6" s="8"/>
      <c r="F6" s="8"/>
      <c r="G6" s="8"/>
      <c r="H6" s="247"/>
      <c r="I6" s="8"/>
      <c r="J6" s="341"/>
      <c r="K6" s="342"/>
      <c r="L6" s="10"/>
    </row>
    <row r="7" spans="1:12" ht="21.75">
      <c r="A7" s="144" t="s">
        <v>169</v>
      </c>
      <c r="B7" s="12"/>
      <c r="C7" s="12"/>
      <c r="D7" s="12"/>
      <c r="E7" s="12"/>
      <c r="F7" s="12"/>
      <c r="G7" s="12"/>
      <c r="H7" s="157"/>
      <c r="I7" s="12"/>
      <c r="J7" s="153"/>
      <c r="K7" s="145"/>
      <c r="L7" s="87"/>
    </row>
    <row r="8" spans="1:12" ht="43.5" customHeight="1">
      <c r="A8" s="368" t="s">
        <v>186</v>
      </c>
      <c r="B8" s="158"/>
      <c r="C8" s="158"/>
      <c r="D8" s="158"/>
      <c r="E8" s="158"/>
      <c r="F8" s="232"/>
      <c r="G8" s="158"/>
      <c r="H8" s="158">
        <v>2846</v>
      </c>
      <c r="I8" s="158">
        <f>SUM(B8:H8)</f>
        <v>2846</v>
      </c>
      <c r="J8" s="298" t="s">
        <v>36</v>
      </c>
      <c r="K8" s="185" t="s">
        <v>113</v>
      </c>
      <c r="L8" s="186"/>
    </row>
    <row r="9" spans="1:12" ht="43.5">
      <c r="A9" s="368" t="s">
        <v>187</v>
      </c>
      <c r="B9" s="158"/>
      <c r="C9" s="158"/>
      <c r="D9" s="158"/>
      <c r="E9" s="158"/>
      <c r="F9" s="232"/>
      <c r="G9" s="158"/>
      <c r="H9" s="158">
        <v>7784</v>
      </c>
      <c r="I9" s="158">
        <f>SUM(B9:H9)</f>
        <v>7784</v>
      </c>
      <c r="J9" s="298" t="s">
        <v>36</v>
      </c>
      <c r="K9" s="185" t="s">
        <v>113</v>
      </c>
      <c r="L9" s="389"/>
    </row>
    <row r="10" spans="1:12" ht="20.25" customHeight="1">
      <c r="A10" s="271" t="s">
        <v>122</v>
      </c>
      <c r="B10" s="39"/>
      <c r="C10" s="343"/>
      <c r="D10" s="39"/>
      <c r="E10" s="39"/>
      <c r="F10" s="343"/>
      <c r="G10" s="39"/>
      <c r="H10" s="159"/>
      <c r="I10" s="39"/>
      <c r="J10" s="153"/>
      <c r="K10" s="149"/>
      <c r="L10" s="14"/>
    </row>
    <row r="11" spans="1:12" ht="53.25" customHeight="1">
      <c r="A11" s="637" t="s">
        <v>714</v>
      </c>
      <c r="B11" s="39">
        <v>1220000</v>
      </c>
      <c r="C11" s="343"/>
      <c r="D11" s="39"/>
      <c r="E11" s="39"/>
      <c r="F11" s="343"/>
      <c r="G11" s="39"/>
      <c r="H11" s="159"/>
      <c r="I11" s="39">
        <f>SUM(B11:H11)</f>
        <v>1220000</v>
      </c>
      <c r="J11" s="153" t="s">
        <v>36</v>
      </c>
      <c r="K11" s="149" t="s">
        <v>188</v>
      </c>
      <c r="L11" s="14"/>
    </row>
    <row r="12" spans="1:12" ht="24" customHeight="1">
      <c r="A12" s="486" t="s">
        <v>246</v>
      </c>
      <c r="B12" s="237"/>
      <c r="C12" s="403"/>
      <c r="D12" s="237"/>
      <c r="E12" s="237"/>
      <c r="F12" s="403"/>
      <c r="G12" s="237"/>
      <c r="H12" s="358">
        <v>2633091</v>
      </c>
      <c r="I12" s="237">
        <f>SUM(B12:H12)</f>
        <v>2633091</v>
      </c>
      <c r="J12" s="231" t="s">
        <v>27</v>
      </c>
      <c r="K12" s="238" t="s">
        <v>113</v>
      </c>
      <c r="L12" s="87"/>
    </row>
    <row r="13" spans="1:12" ht="20.25" customHeight="1">
      <c r="A13" s="482"/>
      <c r="B13" s="233"/>
      <c r="C13" s="483"/>
      <c r="D13" s="233"/>
      <c r="E13" s="233"/>
      <c r="F13" s="483"/>
      <c r="G13" s="233"/>
      <c r="H13" s="484"/>
      <c r="I13" s="39">
        <f>SUM(B13:H13)</f>
        <v>0</v>
      </c>
      <c r="J13" s="485"/>
      <c r="K13" s="234"/>
      <c r="L13" s="87"/>
    </row>
    <row r="14" spans="1:12" ht="22.5" thickBot="1">
      <c r="A14" s="19" t="s">
        <v>29</v>
      </c>
      <c r="B14" s="20">
        <f aca="true" t="shared" si="0" ref="B14:G14">SUM(B8:B11)</f>
        <v>1220000</v>
      </c>
      <c r="C14" s="20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166">
        <f>SUM(H8:H13)</f>
        <v>2643721</v>
      </c>
      <c r="I14" s="166">
        <f>SUM(I8:I13)</f>
        <v>3863721</v>
      </c>
      <c r="J14" s="52"/>
      <c r="K14" s="21"/>
      <c r="L14" s="21"/>
    </row>
    <row r="15" spans="1:12" ht="22.5" thickTop="1">
      <c r="A15" s="345"/>
      <c r="B15" s="41"/>
      <c r="C15" s="35"/>
      <c r="D15" s="35"/>
      <c r="E15" s="35"/>
      <c r="F15" s="35"/>
      <c r="G15" s="35"/>
      <c r="H15" s="35"/>
      <c r="I15" s="53"/>
      <c r="J15" s="54"/>
      <c r="K15" s="35"/>
      <c r="L15" s="35"/>
    </row>
    <row r="16" spans="1:12" ht="21.75">
      <c r="A16" s="346"/>
      <c r="B16" s="41"/>
      <c r="C16" s="35"/>
      <c r="D16" s="35"/>
      <c r="E16" s="35"/>
      <c r="F16" s="35"/>
      <c r="G16" s="305"/>
      <c r="H16" s="35"/>
      <c r="I16" s="53"/>
      <c r="J16" s="54"/>
      <c r="K16" s="35"/>
      <c r="L16" s="35"/>
    </row>
    <row r="17" spans="1:12" ht="21.75">
      <c r="A17" s="346"/>
      <c r="B17" s="415"/>
      <c r="C17" s="415"/>
      <c r="D17" s="415"/>
      <c r="E17" s="415"/>
      <c r="F17" s="415"/>
      <c r="G17" s="305"/>
      <c r="H17" s="35"/>
      <c r="I17" s="53"/>
      <c r="J17" s="54"/>
      <c r="K17" s="35"/>
      <c r="L17" s="35"/>
    </row>
    <row r="18" spans="1:12" ht="21.75">
      <c r="A18" s="346"/>
      <c r="B18" s="41"/>
      <c r="C18" s="35"/>
      <c r="D18" s="35"/>
      <c r="E18" s="35"/>
      <c r="F18" s="305"/>
      <c r="G18" s="35"/>
      <c r="H18" s="35"/>
      <c r="I18" s="53"/>
      <c r="J18" s="54"/>
      <c r="K18" s="35"/>
      <c r="L18" s="35"/>
    </row>
    <row r="19" spans="1:12" ht="21.75">
      <c r="A19" s="346"/>
      <c r="B19" s="41"/>
      <c r="C19" s="35"/>
      <c r="D19" s="35"/>
      <c r="E19" s="35"/>
      <c r="F19" s="35"/>
      <c r="G19" s="35"/>
      <c r="H19" s="35"/>
      <c r="I19" s="53"/>
      <c r="J19" s="54"/>
      <c r="K19" s="35"/>
      <c r="L19" s="35"/>
    </row>
    <row r="20" spans="1:12" ht="21.75">
      <c r="A20" s="346"/>
      <c r="B20" s="41"/>
      <c r="C20" s="35"/>
      <c r="D20" s="35"/>
      <c r="E20" s="35"/>
      <c r="F20" s="35"/>
      <c r="G20" s="35"/>
      <c r="H20" s="35"/>
      <c r="I20" s="53"/>
      <c r="J20" s="54"/>
      <c r="K20" s="35"/>
      <c r="L20" s="35"/>
    </row>
    <row r="21" spans="1:12" ht="21.75">
      <c r="A21" s="346"/>
      <c r="B21" s="41"/>
      <c r="C21" s="35"/>
      <c r="D21" s="35"/>
      <c r="E21" s="35"/>
      <c r="F21" s="35"/>
      <c r="G21" s="35"/>
      <c r="H21" s="35"/>
      <c r="I21" s="53"/>
      <c r="J21" s="54"/>
      <c r="K21" s="35"/>
      <c r="L21" s="35"/>
    </row>
    <row r="22" spans="1:12" ht="21.75">
      <c r="A22" s="346"/>
      <c r="B22" s="41"/>
      <c r="C22" s="35"/>
      <c r="D22" s="35"/>
      <c r="E22" s="35"/>
      <c r="F22" s="35"/>
      <c r="G22" s="35"/>
      <c r="H22" s="35"/>
      <c r="I22" s="53"/>
      <c r="J22" s="54"/>
      <c r="K22" s="35"/>
      <c r="L22" s="35"/>
    </row>
    <row r="23" spans="1:12" ht="21.75">
      <c r="A23" s="346"/>
      <c r="B23" s="41"/>
      <c r="C23" s="35"/>
      <c r="D23" s="35"/>
      <c r="E23" s="35"/>
      <c r="F23" s="35"/>
      <c r="G23" s="35"/>
      <c r="H23" s="35"/>
      <c r="I23" s="53"/>
      <c r="J23" s="54"/>
      <c r="K23" s="35"/>
      <c r="L23" s="35"/>
    </row>
    <row r="24" spans="1:12" ht="21.75">
      <c r="A24" s="346"/>
      <c r="B24" s="41"/>
      <c r="C24" s="35"/>
      <c r="D24" s="35"/>
      <c r="E24" s="35"/>
      <c r="F24" s="35"/>
      <c r="G24" s="35"/>
      <c r="H24" s="35"/>
      <c r="I24" s="53"/>
      <c r="J24" s="54"/>
      <c r="K24" s="35"/>
      <c r="L24" s="35"/>
    </row>
    <row r="25" spans="1:12" ht="21.75">
      <c r="A25" s="346"/>
      <c r="B25" s="41"/>
      <c r="C25" s="35"/>
      <c r="D25" s="35"/>
      <c r="E25" s="35"/>
      <c r="F25" s="35"/>
      <c r="G25" s="35"/>
      <c r="H25" s="35"/>
      <c r="I25" s="53"/>
      <c r="J25" s="54"/>
      <c r="K25" s="35"/>
      <c r="L25" s="35"/>
    </row>
    <row r="26" spans="1:11" ht="21.75">
      <c r="A26" s="36"/>
      <c r="B26" s="1"/>
      <c r="C26" s="1"/>
      <c r="D26" s="1"/>
      <c r="E26" s="1"/>
      <c r="F26" s="1"/>
      <c r="G26" s="1"/>
      <c r="H26" s="1"/>
      <c r="I26" s="1"/>
      <c r="K26" s="55"/>
    </row>
    <row r="27" spans="2:9" ht="21.75">
      <c r="B27" s="1"/>
      <c r="G27" s="1"/>
      <c r="H27" s="1"/>
      <c r="I27" s="29"/>
    </row>
    <row r="29" spans="8:9" ht="21.75">
      <c r="H29" s="1"/>
      <c r="I29" s="29"/>
    </row>
    <row r="31" spans="1:7" ht="42">
      <c r="A31" t="s">
        <v>165</v>
      </c>
      <c r="B31" s="23" t="s">
        <v>8</v>
      </c>
      <c r="C31" s="23" t="s">
        <v>9</v>
      </c>
      <c r="D31" s="23" t="s">
        <v>93</v>
      </c>
      <c r="E31" s="23" t="s">
        <v>10</v>
      </c>
      <c r="F31" s="23" t="s">
        <v>19</v>
      </c>
      <c r="G31" s="108" t="s">
        <v>33</v>
      </c>
    </row>
    <row r="32" spans="1:9" ht="21.75">
      <c r="A32" s="319">
        <f>426510/58</f>
        <v>7353.620689655172</v>
      </c>
      <c r="B32" s="319">
        <f>7353.62*3</f>
        <v>22060.86</v>
      </c>
      <c r="C32" s="319">
        <f>7353.62*17</f>
        <v>125011.54</v>
      </c>
      <c r="D32" s="319">
        <f>7353.62*4</f>
        <v>29414.48</v>
      </c>
      <c r="E32" s="319">
        <f>7353.62*6</f>
        <v>44121.72</v>
      </c>
      <c r="F32" s="319"/>
      <c r="G32" s="319">
        <f>7353.62*5</f>
        <v>36768.1</v>
      </c>
      <c r="H32" s="1">
        <f>SUM(B32:G32)</f>
        <v>257376.7</v>
      </c>
      <c r="I32">
        <v>1</v>
      </c>
    </row>
    <row r="33" spans="1:9" ht="21.75">
      <c r="A33" s="319">
        <f>704907.17/226</f>
        <v>3119.0582743362834</v>
      </c>
      <c r="B33" s="319">
        <f>A33*163</f>
        <v>508406.4987168142</v>
      </c>
      <c r="C33" s="319">
        <f>3119.06*54</f>
        <v>168429.24</v>
      </c>
      <c r="D33" s="319"/>
      <c r="E33" s="319"/>
      <c r="F33" s="319"/>
      <c r="G33" s="319"/>
      <c r="H33" s="1">
        <f aca="true" t="shared" si="1" ref="H33:H43">SUM(B33:G33)</f>
        <v>676835.7387168142</v>
      </c>
      <c r="I33">
        <v>2</v>
      </c>
    </row>
    <row r="34" spans="1:9" ht="21.75">
      <c r="A34" s="319">
        <f>699688.67/33</f>
        <v>21202.68696969697</v>
      </c>
      <c r="B34" s="319">
        <f>A34*2</f>
        <v>42405.37393939394</v>
      </c>
      <c r="C34" s="319">
        <f>21202.69</f>
        <v>21202.69</v>
      </c>
      <c r="D34" s="319">
        <f>21202.69*2</f>
        <v>42405.38</v>
      </c>
      <c r="E34" s="319"/>
      <c r="F34" s="319">
        <f>21202.69*2</f>
        <v>42405.38</v>
      </c>
      <c r="G34" s="319">
        <f>21202.69*20</f>
        <v>424053.8</v>
      </c>
      <c r="H34" s="1">
        <f t="shared" si="1"/>
        <v>572472.6239393939</v>
      </c>
      <c r="I34">
        <v>3</v>
      </c>
    </row>
    <row r="35" spans="1:9" ht="21.75">
      <c r="A35" s="319">
        <f>516899.53/242</f>
        <v>2135.9484710743804</v>
      </c>
      <c r="B35" s="319">
        <f>2135.95</f>
        <v>2135.95</v>
      </c>
      <c r="C35" s="319"/>
      <c r="D35" s="319">
        <v>2135.95</v>
      </c>
      <c r="E35" s="319">
        <f>2135.95*3</f>
        <v>6407.849999999999</v>
      </c>
      <c r="F35" s="319"/>
      <c r="G35" s="319">
        <f>2135.95*63</f>
        <v>134564.84999999998</v>
      </c>
      <c r="H35" s="1">
        <f t="shared" si="1"/>
        <v>145244.59999999998</v>
      </c>
      <c r="I35">
        <v>4</v>
      </c>
    </row>
    <row r="36" spans="1:9" ht="21.75">
      <c r="A36" s="319">
        <f>521807.17/152</f>
        <v>3432.9419078947367</v>
      </c>
      <c r="B36" s="319"/>
      <c r="C36" s="319">
        <f>3432.94*133</f>
        <v>456581.02</v>
      </c>
      <c r="D36" s="319"/>
      <c r="E36" s="319"/>
      <c r="F36" s="319"/>
      <c r="G36" s="319"/>
      <c r="H36" s="1">
        <f t="shared" si="1"/>
        <v>456581.02</v>
      </c>
      <c r="I36">
        <v>5</v>
      </c>
    </row>
    <row r="37" spans="1:9" ht="21.75">
      <c r="A37" s="319">
        <f>1327813/158</f>
        <v>8403.879746835442</v>
      </c>
      <c r="B37" s="319">
        <f>8403.88*16</f>
        <v>134462.08</v>
      </c>
      <c r="C37" s="319">
        <v>134462.08</v>
      </c>
      <c r="D37" s="319">
        <f>8403.88*17</f>
        <v>142865.96</v>
      </c>
      <c r="E37" s="319">
        <f>8403.88*14</f>
        <v>117654.31999999999</v>
      </c>
      <c r="F37" s="319"/>
      <c r="G37" s="319">
        <f>8403.88*5</f>
        <v>42019.399999999994</v>
      </c>
      <c r="H37" s="1">
        <f t="shared" si="1"/>
        <v>571463.84</v>
      </c>
      <c r="I37">
        <v>6</v>
      </c>
    </row>
    <row r="38" spans="1:9" ht="21.75">
      <c r="A38" s="319">
        <f>923573.78/29</f>
        <v>31847.37172413793</v>
      </c>
      <c r="B38" s="319">
        <f>31847.37*2</f>
        <v>63694.74</v>
      </c>
      <c r="C38" s="319"/>
      <c r="D38" s="319">
        <f>31847.37*3</f>
        <v>95542.11</v>
      </c>
      <c r="E38" s="319">
        <v>31847.37</v>
      </c>
      <c r="F38" s="319"/>
      <c r="G38" s="319">
        <f>31847*21</f>
        <v>668787</v>
      </c>
      <c r="H38" s="1">
        <f t="shared" si="1"/>
        <v>859871.22</v>
      </c>
      <c r="I38">
        <v>7</v>
      </c>
    </row>
    <row r="39" spans="1:9" ht="21.75">
      <c r="A39" s="319">
        <f>2528210/33</f>
        <v>76612.42424242424</v>
      </c>
      <c r="B39" s="319">
        <f>76612.42*2</f>
        <v>153224.84</v>
      </c>
      <c r="C39" s="319">
        <v>76612.42</v>
      </c>
      <c r="D39" s="319">
        <f>76612.42*2</f>
        <v>153224.84</v>
      </c>
      <c r="E39" s="319"/>
      <c r="F39" s="319">
        <f>76612.42*2</f>
        <v>153224.84</v>
      </c>
      <c r="G39" s="319">
        <f>76612.42*20</f>
        <v>1532248.4</v>
      </c>
      <c r="H39" s="1">
        <f t="shared" si="1"/>
        <v>2068535.3399999999</v>
      </c>
      <c r="I39">
        <v>8</v>
      </c>
    </row>
    <row r="40" spans="1:9" ht="21.75">
      <c r="A40" s="319">
        <f>225000/29</f>
        <v>7758.620689655172</v>
      </c>
      <c r="B40" s="319">
        <f>7758.62*2</f>
        <v>15517.24</v>
      </c>
      <c r="C40" s="319"/>
      <c r="D40" s="319">
        <f>7758.62*3</f>
        <v>23275.86</v>
      </c>
      <c r="E40" s="319">
        <v>7758.62</v>
      </c>
      <c r="F40" s="319"/>
      <c r="G40" s="319">
        <f>7758.62*21</f>
        <v>162931.02</v>
      </c>
      <c r="H40" s="1">
        <f t="shared" si="1"/>
        <v>209482.74</v>
      </c>
      <c r="I40">
        <v>9</v>
      </c>
    </row>
    <row r="41" spans="1:9" ht="21.75">
      <c r="A41" s="319">
        <f>228759/285</f>
        <v>802.6631578947369</v>
      </c>
      <c r="B41" s="320">
        <f>802.66*2</f>
        <v>1605.32</v>
      </c>
      <c r="C41" s="320">
        <f>802.66*20</f>
        <v>16053.199999999999</v>
      </c>
      <c r="D41" s="320"/>
      <c r="E41" s="320"/>
      <c r="F41" s="320"/>
      <c r="G41" s="320"/>
      <c r="H41" s="1">
        <f t="shared" si="1"/>
        <v>17658.52</v>
      </c>
      <c r="I41">
        <v>10</v>
      </c>
    </row>
    <row r="42" spans="1:8" ht="22.5" thickBot="1">
      <c r="A42" s="319" t="s">
        <v>2</v>
      </c>
      <c r="B42" s="322">
        <f aca="true" t="shared" si="2" ref="B42:G42">SUM(B32:B41)</f>
        <v>943512.9026562079</v>
      </c>
      <c r="C42" s="322">
        <f t="shared" si="2"/>
        <v>998352.19</v>
      </c>
      <c r="D42" s="322">
        <f t="shared" si="2"/>
        <v>488864.57999999996</v>
      </c>
      <c r="E42" s="322">
        <f t="shared" si="2"/>
        <v>207789.87999999998</v>
      </c>
      <c r="F42" s="322">
        <f t="shared" si="2"/>
        <v>195630.22</v>
      </c>
      <c r="G42" s="322">
        <f t="shared" si="2"/>
        <v>3001372.57</v>
      </c>
      <c r="H42" s="323">
        <f t="shared" si="1"/>
        <v>5835522.342656208</v>
      </c>
    </row>
    <row r="43" spans="1:8" ht="22.5" thickTop="1">
      <c r="A43" s="319"/>
      <c r="B43" s="321"/>
      <c r="C43" s="321"/>
      <c r="D43" s="321"/>
      <c r="E43" s="321"/>
      <c r="F43" s="321"/>
      <c r="G43" s="321"/>
      <c r="H43" s="1">
        <f t="shared" si="1"/>
        <v>0</v>
      </c>
    </row>
  </sheetData>
  <sheetProtection/>
  <mergeCells count="9">
    <mergeCell ref="A1:L1"/>
    <mergeCell ref="A2:L2"/>
    <mergeCell ref="A4:A5"/>
    <mergeCell ref="B4:G4"/>
    <mergeCell ref="H4:H5"/>
    <mergeCell ref="I4:I5"/>
    <mergeCell ref="J4:J5"/>
    <mergeCell ref="K4:K5"/>
    <mergeCell ref="L4:L5"/>
  </mergeCells>
  <printOptions/>
  <pageMargins left="0.511811024" right="0.56496063" top="0.917322835" bottom="0" header="1.06299212598425" footer="0.15748031496063"/>
  <pageSetup fitToHeight="3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"/>
  <sheetViews>
    <sheetView showGridLines="0" zoomScalePageLayoutView="0" workbookViewId="0" topLeftCell="A1">
      <pane xSplit="1" ySplit="5" topLeftCell="B9" activePane="bottomRight" state="frozen"/>
      <selection pane="topLeft" activeCell="G191" sqref="G191"/>
      <selection pane="topRight" activeCell="G191" sqref="G191"/>
      <selection pane="bottomLeft" activeCell="G191" sqref="G191"/>
      <selection pane="bottomRight" activeCell="A19" sqref="A19"/>
    </sheetView>
  </sheetViews>
  <sheetFormatPr defaultColWidth="9.140625" defaultRowHeight="21.75"/>
  <cols>
    <col min="1" max="1" width="61.57421875" style="0" customWidth="1"/>
    <col min="2" max="2" width="9.140625" style="0" customWidth="1"/>
    <col min="3" max="3" width="10.28125" style="0" customWidth="1"/>
    <col min="4" max="5" width="9.421875" style="0" customWidth="1"/>
    <col min="6" max="6" width="12.421875" style="0" customWidth="1"/>
    <col min="7" max="7" width="17.8515625" style="0" customWidth="1"/>
    <col min="8" max="8" width="16.7109375" style="0" customWidth="1"/>
    <col min="9" max="9" width="12.8515625" style="0" customWidth="1"/>
    <col min="10" max="10" width="14.00390625" style="0" customWidth="1"/>
    <col min="11" max="11" width="15.00390625" style="0" customWidth="1"/>
  </cols>
  <sheetData>
    <row r="1" spans="1:11" ht="23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5" ht="24">
      <c r="A2" s="762" t="s">
        <v>241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203"/>
      <c r="M2" s="203"/>
      <c r="N2" s="203"/>
      <c r="O2" s="203"/>
    </row>
    <row r="3" spans="2:11" ht="21.75" customHeight="1"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 customHeight="1">
      <c r="A4" s="763" t="s">
        <v>1</v>
      </c>
      <c r="B4" s="765" t="s">
        <v>12</v>
      </c>
      <c r="C4" s="766"/>
      <c r="D4" s="766"/>
      <c r="E4" s="766"/>
      <c r="F4" s="766"/>
      <c r="G4" s="767" t="s">
        <v>86</v>
      </c>
      <c r="H4" s="767" t="s">
        <v>13</v>
      </c>
      <c r="I4" s="763" t="s">
        <v>6</v>
      </c>
      <c r="J4" s="779" t="s">
        <v>7</v>
      </c>
      <c r="K4" s="779" t="s">
        <v>31</v>
      </c>
    </row>
    <row r="5" spans="1:11" ht="42" customHeight="1">
      <c r="A5" s="764"/>
      <c r="B5" s="23" t="s">
        <v>8</v>
      </c>
      <c r="C5" s="23" t="s">
        <v>9</v>
      </c>
      <c r="D5" s="23" t="s">
        <v>166</v>
      </c>
      <c r="E5" s="23" t="s">
        <v>10</v>
      </c>
      <c r="F5" s="108" t="s">
        <v>33</v>
      </c>
      <c r="G5" s="778"/>
      <c r="H5" s="778"/>
      <c r="I5" s="764"/>
      <c r="J5" s="780"/>
      <c r="K5" s="780"/>
    </row>
    <row r="6" spans="1:11" ht="21.75">
      <c r="A6" s="7" t="s">
        <v>140</v>
      </c>
      <c r="B6" s="56"/>
      <c r="C6" s="56"/>
      <c r="D6" s="56"/>
      <c r="E6" s="56"/>
      <c r="F6" s="56"/>
      <c r="G6" s="56"/>
      <c r="H6" s="56"/>
      <c r="I6" s="9"/>
      <c r="J6" s="9"/>
      <c r="K6" s="10"/>
    </row>
    <row r="7" spans="1:11" ht="21.75">
      <c r="A7" s="144" t="s">
        <v>141</v>
      </c>
      <c r="B7" s="57"/>
      <c r="C7" s="57"/>
      <c r="D7" s="57"/>
      <c r="E7" s="57"/>
      <c r="F7" s="57"/>
      <c r="G7" s="57"/>
      <c r="H7" s="57"/>
      <c r="I7" s="13"/>
      <c r="J7" s="13"/>
      <c r="K7" s="14"/>
    </row>
    <row r="8" spans="1:11" ht="69" customHeight="1">
      <c r="A8" s="154" t="s">
        <v>170</v>
      </c>
      <c r="B8" s="57"/>
      <c r="C8" s="39"/>
      <c r="D8" s="15"/>
      <c r="E8" s="14"/>
      <c r="F8" s="14"/>
      <c r="G8" s="39">
        <v>39600000</v>
      </c>
      <c r="H8" s="39">
        <f>SUM(B8:G8)</f>
        <v>39600000</v>
      </c>
      <c r="I8" s="442" t="s">
        <v>232</v>
      </c>
      <c r="J8" s="149" t="s">
        <v>142</v>
      </c>
      <c r="K8" s="183" t="s">
        <v>143</v>
      </c>
    </row>
    <row r="9" spans="1:11" ht="48.75" customHeight="1">
      <c r="A9" s="154" t="s">
        <v>224</v>
      </c>
      <c r="B9" s="63"/>
      <c r="C9" s="63"/>
      <c r="D9" s="63"/>
      <c r="E9" s="63"/>
      <c r="F9" s="63"/>
      <c r="G9" s="444">
        <v>30778000</v>
      </c>
      <c r="H9" s="28">
        <f>SUM(B9:G9)</f>
        <v>30778000</v>
      </c>
      <c r="I9" s="442" t="s">
        <v>232</v>
      </c>
      <c r="J9" s="149" t="s">
        <v>142</v>
      </c>
      <c r="K9" s="183" t="s">
        <v>143</v>
      </c>
    </row>
    <row r="10" spans="1:11" ht="21.75">
      <c r="A10" s="154"/>
      <c r="B10" s="28"/>
      <c r="C10" s="65"/>
      <c r="D10" s="65"/>
      <c r="E10" s="65"/>
      <c r="F10" s="65"/>
      <c r="G10" s="65"/>
      <c r="H10" s="28"/>
      <c r="I10" s="145"/>
      <c r="J10" s="145"/>
      <c r="K10" s="101"/>
    </row>
    <row r="11" spans="1:11" ht="22.5" thickBot="1">
      <c r="A11" s="19" t="s">
        <v>2</v>
      </c>
      <c r="B11" s="59">
        <f>SUM(B8:B10)</f>
        <v>0</v>
      </c>
      <c r="C11" s="59">
        <f>SUM(C8:C10)</f>
        <v>0</v>
      </c>
      <c r="D11" s="59">
        <f>SUM(D8:D10)</f>
        <v>0</v>
      </c>
      <c r="E11" s="59"/>
      <c r="F11" s="59">
        <f>SUM(F8:F10)</f>
        <v>0</v>
      </c>
      <c r="G11" s="59">
        <f>SUM(G8:G10)</f>
        <v>70378000</v>
      </c>
      <c r="H11" s="59">
        <f>SUM(H6:H10)</f>
        <v>70378000</v>
      </c>
      <c r="I11" s="21"/>
      <c r="J11" s="21"/>
      <c r="K11" s="21"/>
    </row>
    <row r="12" spans="1:11" ht="22.5" thickTop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</row>
    <row r="13" spans="1:10" ht="21.75">
      <c r="A13" s="36"/>
      <c r="G13" s="1"/>
      <c r="H13" s="29"/>
      <c r="J13" s="55"/>
    </row>
  </sheetData>
  <sheetProtection/>
  <mergeCells count="9">
    <mergeCell ref="A1:K1"/>
    <mergeCell ref="A2:K2"/>
    <mergeCell ref="A4:A5"/>
    <mergeCell ref="B4:F4"/>
    <mergeCell ref="G4:G5"/>
    <mergeCell ref="H4:H5"/>
    <mergeCell ref="I4:I5"/>
    <mergeCell ref="J4:J5"/>
    <mergeCell ref="K4:K5"/>
  </mergeCells>
  <printOptions/>
  <pageMargins left="0.433070866141732" right="0" top="1.246062992" bottom="0.15748031496063" header="0.78740157480315" footer="0.1574803149606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User01</cp:lastModifiedBy>
  <cp:lastPrinted>2021-11-30T02:46:22Z</cp:lastPrinted>
  <dcterms:created xsi:type="dcterms:W3CDTF">2005-01-26T04:21:05Z</dcterms:created>
  <dcterms:modified xsi:type="dcterms:W3CDTF">2021-11-30T03:24:15Z</dcterms:modified>
  <cp:category/>
  <cp:version/>
  <cp:contentType/>
  <cp:contentStatus/>
</cp:coreProperties>
</file>