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535" windowWidth="11715" windowHeight="1230" tabRatio="956" activeTab="0"/>
  </bookViews>
  <sheets>
    <sheet name="Type มค-ธค62" sheetId="1" r:id="rId1"/>
    <sheet name="สาขา" sheetId="2" r:id="rId2"/>
    <sheet name="TICA แยกสาขา2019" sheetId="3" r:id="rId3"/>
    <sheet name="MFAปี62 (2)" sheetId="4" r:id="rId4"/>
    <sheet name="สพพ62แยกloan-grant (2)" sheetId="5" r:id="rId5"/>
    <sheet name="สพพ62รวมloan+grant " sheetId="6" r:id="rId6"/>
    <sheet name="ดิจิทัล62 (2)" sheetId="7" r:id="rId7"/>
    <sheet name="ศึกษา62" sheetId="8" r:id="rId8"/>
    <sheet name="พาณิชย์62 (2)" sheetId="9" r:id="rId9"/>
    <sheet name="นายก62 (2)" sheetId="10" r:id="rId10"/>
    <sheet name="ธปท62" sheetId="11" r:id="rId11"/>
    <sheet name="แรงงาน62 (2)" sheetId="12" r:id="rId12"/>
    <sheet name="อุตสาหกรรม62" sheetId="13" r:id="rId13"/>
    <sheet name="ยุติธรรม62" sheetId="14" r:id="rId14"/>
    <sheet name="วัฒนธรรม62" sheetId="15" r:id="rId15"/>
    <sheet name="พัฒนาสังคม62" sheetId="16" r:id="rId16"/>
    <sheet name="ทรัพยากร62" sheetId="17" r:id="rId17"/>
    <sheet name="คมนาคม62" sheetId="18" r:id="rId18"/>
    <sheet name="พลังงาน62" sheetId="19" r:id="rId19"/>
    <sheet name="สาธารณสุข62  (2)" sheetId="20" r:id="rId20"/>
    <sheet name="สกอ2562" sheetId="21" r:id="rId21"/>
    <sheet name="การคลัง62" sheetId="22" r:id="rId22"/>
    <sheet name="ท่องเที่ยว62 (2)" sheetId="23" r:id="rId23"/>
    <sheet name="มหาดไทย62" sheetId="24" r:id="rId24"/>
    <sheet name="Sheet9" sheetId="25" state="hidden" r:id="rId25"/>
    <sheet name="Sheet12" sheetId="26" state="hidden" r:id="rId26"/>
    <sheet name="Sheet5" sheetId="27" state="hidden" r:id="rId27"/>
    <sheet name="Sheet7" sheetId="28" state="hidden" r:id="rId28"/>
    <sheet name="Sheet4" sheetId="29" state="hidden" r:id="rId29"/>
    <sheet name="Sheet1" sheetId="30" state="hidden" r:id="rId30"/>
    <sheet name="Sheet2" sheetId="31" state="hidden" r:id="rId31"/>
    <sheet name="Sheet3" sheetId="32" state="hidden" r:id="rId32"/>
  </sheets>
  <externalReferences>
    <externalReference r:id="rId35"/>
  </externalReferences>
  <definedNames>
    <definedName name="country" localSheetId="2">#REF!</definedName>
    <definedName name="country" localSheetId="21">#REF!</definedName>
    <definedName name="country" localSheetId="22">#REF!</definedName>
    <definedName name="country" localSheetId="9">#REF!</definedName>
    <definedName name="country" localSheetId="18">#REF!</definedName>
    <definedName name="country" localSheetId="15">#REF!</definedName>
    <definedName name="country" localSheetId="23">#REF!</definedName>
    <definedName name="country" localSheetId="14">#REF!</definedName>
    <definedName name="country" localSheetId="20">#REF!</definedName>
    <definedName name="country" localSheetId="4">#REF!</definedName>
    <definedName name="country" localSheetId="5">#REF!</definedName>
    <definedName name="country" localSheetId="1">#REF!</definedName>
    <definedName name="country">#REF!</definedName>
    <definedName name="_xlnm.Print_Area" localSheetId="2">'TICA แยกสาขา2019'!$A$1:$I$101</definedName>
    <definedName name="_xlnm.Print_Area" localSheetId="0">'Type มค-ธค62'!$A$1:$F$30</definedName>
    <definedName name="_xlnm.Print_Area" localSheetId="11">'แรงงาน62 (2)'!$A$1:$K$16</definedName>
    <definedName name="_xlnm.Print_Area" localSheetId="21">'การคลัง62'!$A$1:$K$16</definedName>
    <definedName name="_xlnm.Print_Area" localSheetId="17">'คมนาคม62'!$A$1:$K$20</definedName>
    <definedName name="_xlnm.Print_Area" localSheetId="6">'ดิจิทัล62 (2)'!$A$1:$J$44</definedName>
    <definedName name="_xlnm.Print_Area" localSheetId="16">'ทรัพยากร62'!$A$1:$K$40</definedName>
    <definedName name="_xlnm.Print_Area" localSheetId="22">'ท่องเที่ยว62 (2)'!$A$1:$L$19</definedName>
    <definedName name="_xlnm.Print_Area" localSheetId="10">'ธปท62'!$B$1:$K$23</definedName>
    <definedName name="_xlnm.Print_Area" localSheetId="9">'นายก62 (2)'!$A$1:$L$17</definedName>
    <definedName name="_xlnm.Print_Area" localSheetId="18">'พลังงาน62'!$A$1:$K$27</definedName>
    <definedName name="_xlnm.Print_Area" localSheetId="15">'พัฒนาสังคม62'!$A$1:$K$18</definedName>
    <definedName name="_xlnm.Print_Area" localSheetId="8">'พาณิชย์62 (2)'!$A$1:$J$21</definedName>
    <definedName name="_xlnm.Print_Area" localSheetId="23">'มหาดไทย62'!$A$1:$L$19</definedName>
    <definedName name="_xlnm.Print_Area" localSheetId="13">'ยุติธรรม62'!$A$1:$L$17</definedName>
    <definedName name="_xlnm.Print_Area" localSheetId="14">'วัฒนธรรม62'!$A$1:$K$18</definedName>
    <definedName name="_xlnm.Print_Area" localSheetId="7">'ศึกษา62'!$A$1:$K$15</definedName>
    <definedName name="_xlnm.Print_Area" localSheetId="20">'สกอ2562'!$B$6:$M$282</definedName>
    <definedName name="_xlnm.Print_Area" localSheetId="4">'สพพ62แยกloan-grant (2)'!$A$1:$K$19</definedName>
    <definedName name="_xlnm.Print_Area" localSheetId="5">'สพพ62รวมloan+grant '!$A$1:$J$19</definedName>
    <definedName name="_xlnm.Print_Area" localSheetId="1">'สาขา'!$A$6:$I$84</definedName>
    <definedName name="_xlnm.Print_Area" localSheetId="19">'สาธารณสุข62  (2)'!$A$1:$L$28</definedName>
    <definedName name="_xlnm.Print_Area" localSheetId="12">'อุตสาหกรรม62'!$A$1:$K$31</definedName>
    <definedName name="_xlnm.Print_Titles" localSheetId="3">'MFAปี62 (2)'!$1:$5</definedName>
    <definedName name="_xlnm.Print_Titles" localSheetId="2">'TICA แยกสาขา2019'!$1:$5</definedName>
    <definedName name="_xlnm.Print_Titles" localSheetId="6">'ดิจิทัล62 (2)'!$1:$5</definedName>
    <definedName name="_xlnm.Print_Titles" localSheetId="16">'ทรัพยากร62'!$3:$5</definedName>
    <definedName name="_xlnm.Print_Titles" localSheetId="9">'นายก62 (2)'!$3:$5</definedName>
    <definedName name="_xlnm.Print_Titles" localSheetId="18">'พลังงาน62'!$1:$5</definedName>
    <definedName name="_xlnm.Print_Titles" localSheetId="7">'ศึกษา62'!$1:$5</definedName>
    <definedName name="_xlnm.Print_Titles" localSheetId="20">'สกอ2562'!$1:$5</definedName>
    <definedName name="_xlnm.Print_Titles" localSheetId="1">'สาขา'!$1:$5</definedName>
    <definedName name="_xlnm.Print_Titles" localSheetId="19">'สาธารณสุข62  (2)'!$1:$5</definedName>
    <definedName name="_xlnm.Print_Titles" localSheetId="12">'อุตสาหกรรม62'!$1:$5</definedName>
  </definedNames>
  <calcPr fullCalcOnLoad="1"/>
</workbook>
</file>

<file path=xl/comments10.xml><?xml version="1.0" encoding="utf-8"?>
<comments xmlns="http://schemas.openxmlformats.org/spreadsheetml/2006/main">
  <authors>
    <author>User01</author>
  </authors>
  <commentList>
    <comment ref="F8" authorId="0">
      <text>
        <r>
          <rPr>
            <b/>
            <sz val="9"/>
            <rFont val="Tahoma"/>
            <family val="2"/>
          </rPr>
          <t xml:space="preserve">User01:สิงค์โปร อินโดเซีย มาเลเซีย บูรไน ฟิลิปปินส์ ภูฎาน ติมอร์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User01</author>
  </authors>
  <commentList>
    <comment ref="G21" authorId="0">
      <text>
        <r>
          <rPr>
            <b/>
            <sz val="9"/>
            <rFont val="Tahoma"/>
            <family val="2"/>
          </rPr>
          <t>User01:Kazakhstan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User01</author>
  </authors>
  <commentList>
    <comment ref="F11" authorId="0">
      <text>
        <r>
          <rPr>
            <b/>
            <sz val="9"/>
            <rFont val="Tahoma"/>
            <family val="2"/>
          </rPr>
          <t>User01:มาเลเซีย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DELL</author>
    <author>User01</author>
  </authors>
  <commentList>
    <comment ref="F13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บูรไน อินโดนีเซีย มาเลเซีย ฟิลิปปินส์ สิงคโปร์</t>
        </r>
      </text>
    </comment>
    <comment ref="F8" authorId="1">
      <text>
        <r>
          <rPr>
            <b/>
            <sz val="9"/>
            <rFont val="Tahoma"/>
            <family val="2"/>
          </rPr>
          <t xml:space="preserve">User01:บูรไน อินโดนีเซีย มาเลเซีย สิงคโปร์ ฟิลิปปินส์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User01</author>
  </authors>
  <commentList>
    <comment ref="F13" authorId="0">
      <text>
        <r>
          <rPr>
            <sz val="9"/>
            <rFont val="Tahoma"/>
            <family val="2"/>
          </rPr>
          <t xml:space="preserve">มาดากัสการ์
</t>
        </r>
      </text>
    </comment>
  </commentList>
</comments>
</file>

<file path=xl/comments19.xml><?xml version="1.0" encoding="utf-8"?>
<comments xmlns="http://schemas.openxmlformats.org/spreadsheetml/2006/main">
  <authors>
    <author>DELL</author>
    <author>User01</author>
  </authors>
  <commentList>
    <comment ref="F20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ฟิลิปปินส์1
</t>
        </r>
      </text>
    </comment>
    <comment ref="F21" authorId="1">
      <text>
        <r>
          <rPr>
            <b/>
            <sz val="9"/>
            <rFont val="Tahoma"/>
            <family val="2"/>
          </rPr>
          <t>User01:ภูฎาน อินโดนีเซีย</t>
        </r>
        <r>
          <rPr>
            <sz val="9"/>
            <rFont val="Tahoma"/>
            <family val="2"/>
          </rPr>
          <t xml:space="preserve">
มาเลเซีย ฟิลิปปินส์ </t>
        </r>
      </text>
    </comment>
  </commentList>
</comments>
</file>

<file path=xl/comments20.xml><?xml version="1.0" encoding="utf-8"?>
<comments xmlns="http://schemas.openxmlformats.org/spreadsheetml/2006/main">
  <authors>
    <author>DELL</author>
    <author>User01</author>
  </authors>
  <commentList>
    <comment ref="G23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Bhutan 10</t>
        </r>
      </text>
    </comment>
    <comment ref="G25" authorId="1">
      <text>
        <r>
          <rPr>
            <b/>
            <sz val="9"/>
            <rFont val="Tahoma"/>
            <family val="2"/>
          </rPr>
          <t>User01:สิงคโปร์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DELL</author>
    <author>User01</author>
  </authors>
  <commentList>
    <comment ref="K8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เกษตร สัตวแพทย์ วิทยาศาสตร์การกีฬา</t>
        </r>
      </text>
    </comment>
    <comment ref="H12" authorId="1">
      <text>
        <r>
          <rPr>
            <sz val="9"/>
            <rFont val="Tahoma"/>
            <family val="2"/>
          </rPr>
          <t xml:space="preserve">ฟิลิปปินส์ อินโดนีเซีย ยูกันดา มัลดีฟส์
</t>
        </r>
      </text>
    </comment>
    <comment ref="H13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ethiopia 1 kenya 1</t>
        </r>
      </text>
    </comment>
    <comment ref="H14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ภูฎาน 1 ศรีลังกา 1 
</t>
        </r>
      </text>
    </comment>
    <comment ref="H16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Indonesia 1
</t>
        </r>
      </text>
    </comment>
    <comment ref="H29" authorId="1">
      <text>
        <r>
          <rPr>
            <b/>
            <sz val="9"/>
            <rFont val="Tahoma"/>
            <family val="2"/>
          </rPr>
          <t>User01:</t>
        </r>
        <r>
          <rPr>
            <sz val="9"/>
            <rFont val="Tahoma"/>
            <family val="2"/>
          </rPr>
          <t xml:space="preserve">
ประเทศอื่นๆ ที่ไม่ใช่ CLMV China</t>
        </r>
      </text>
    </comment>
    <comment ref="H37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บังคลาเทศ2
</t>
        </r>
      </text>
    </comment>
    <comment ref="H38" authorId="0">
      <text>
        <r>
          <rPr>
            <b/>
            <sz val="9"/>
            <rFont val="Tahoma"/>
            <family val="2"/>
          </rPr>
          <t>DELL:banglades 1</t>
        </r>
      </text>
    </comment>
    <comment ref="H41" authorId="0">
      <text>
        <r>
          <rPr>
            <b/>
            <sz val="9"/>
            <rFont val="Tahoma"/>
            <family val="2"/>
          </rPr>
          <t xml:space="preserve">DELL:Pakistan 1
</t>
        </r>
        <r>
          <rPr>
            <sz val="9"/>
            <rFont val="Tahoma"/>
            <family val="2"/>
          </rPr>
          <t xml:space="preserve">
</t>
        </r>
      </text>
    </comment>
    <comment ref="H42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maldives4 pakistan1</t>
        </r>
      </text>
    </comment>
    <comment ref="H43" authorId="1">
      <text>
        <r>
          <rPr>
            <b/>
            <sz val="9"/>
            <rFont val="Tahoma"/>
            <family val="2"/>
          </rPr>
          <t xml:space="preserve">User01:kenya
</t>
        </r>
        <r>
          <rPr>
            <sz val="9"/>
            <rFont val="Tahoma"/>
            <family val="2"/>
          </rPr>
          <t xml:space="preserve">
</t>
        </r>
      </text>
    </comment>
    <comment ref="H45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Iran
</t>
        </r>
      </text>
    </comment>
    <comment ref="H46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ศรีลังกา</t>
        </r>
      </text>
    </comment>
    <comment ref="H50" authorId="1">
      <text>
        <r>
          <rPr>
            <b/>
            <sz val="9"/>
            <rFont val="Tahoma"/>
            <family val="2"/>
          </rPr>
          <t xml:space="preserve">User01:อินโดนีเซีย
</t>
        </r>
      </text>
    </comment>
    <comment ref="H51" authorId="1">
      <text>
        <r>
          <rPr>
            <b/>
            <sz val="9"/>
            <rFont val="Tahoma"/>
            <family val="2"/>
          </rPr>
          <t xml:space="preserve">User01:pakistan2 Fiji 1
</t>
        </r>
        <r>
          <rPr>
            <sz val="9"/>
            <rFont val="Tahoma"/>
            <family val="2"/>
          </rPr>
          <t xml:space="preserve">
</t>
        </r>
      </text>
    </comment>
    <comment ref="H52" authorId="1">
      <text>
        <r>
          <rPr>
            <b/>
            <sz val="9"/>
            <rFont val="Tahoma"/>
            <family val="2"/>
          </rPr>
          <t>User01:india</t>
        </r>
        <r>
          <rPr>
            <sz val="9"/>
            <rFont val="Tahoma"/>
            <family val="2"/>
          </rPr>
          <t xml:space="preserve">
</t>
        </r>
      </text>
    </comment>
    <comment ref="H53" authorId="1">
      <text>
        <r>
          <rPr>
            <b/>
            <sz val="9"/>
            <rFont val="Tahoma"/>
            <family val="2"/>
          </rPr>
          <t xml:space="preserve">User01:บังลาทศ
</t>
        </r>
        <r>
          <rPr>
            <sz val="9"/>
            <rFont val="Tahoma"/>
            <family val="2"/>
          </rPr>
          <t xml:space="preserve">
</t>
        </r>
      </text>
    </comment>
    <comment ref="H67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nepal 3 burundi 2</t>
        </r>
      </text>
    </comment>
    <comment ref="H69" authorId="0">
      <text>
        <r>
          <rPr>
            <b/>
            <sz val="9"/>
            <rFont val="Tahoma"/>
            <family val="2"/>
          </rPr>
          <t>DELL: Bhutan</t>
        </r>
        <r>
          <rPr>
            <sz val="9"/>
            <rFont val="Tahoma"/>
            <family val="2"/>
          </rPr>
          <t xml:space="preserve">
</t>
        </r>
      </text>
    </comment>
    <comment ref="H157" authorId="1">
      <text>
        <r>
          <rPr>
            <b/>
            <sz val="9"/>
            <rFont val="Tahoma"/>
            <family val="2"/>
          </rPr>
          <t>User01:</t>
        </r>
        <r>
          <rPr>
            <sz val="9"/>
            <rFont val="Tahoma"/>
            <family val="2"/>
          </rPr>
          <t xml:space="preserve">
อิหร่าน 
</t>
        </r>
      </text>
    </comment>
    <comment ref="H159" authorId="1">
      <text>
        <r>
          <rPr>
            <sz val="9"/>
            <rFont val="Tahoma"/>
            <family val="2"/>
          </rPr>
          <t xml:space="preserve">Jordon Philippines
</t>
        </r>
      </text>
    </comment>
    <comment ref="H160" authorId="1">
      <text>
        <r>
          <rPr>
            <sz val="9"/>
            <rFont val="Tahoma"/>
            <family val="2"/>
          </rPr>
          <t xml:space="preserve">อินโดนีเซีย อิหร่าน มาเลเซีย ปากีสถาน Serbia
</t>
        </r>
      </text>
    </comment>
    <comment ref="H161" authorId="1">
      <text>
        <r>
          <rPr>
            <sz val="9"/>
            <rFont val="Tahoma"/>
            <family val="2"/>
          </rPr>
          <t xml:space="preserve">Tanzania Sri Lanka Nepal
</t>
        </r>
      </text>
    </comment>
    <comment ref="H174" authorId="1">
      <text>
        <r>
          <rPr>
            <b/>
            <sz val="9"/>
            <rFont val="Tahoma"/>
            <family val="2"/>
          </rPr>
          <t>User01:</t>
        </r>
        <r>
          <rPr>
            <sz val="9"/>
            <rFont val="Tahoma"/>
            <family val="2"/>
          </rPr>
          <t xml:space="preserve">
ภูฎาน</t>
        </r>
      </text>
    </comment>
    <comment ref="H224" authorId="1">
      <text>
        <r>
          <rPr>
            <b/>
            <sz val="9"/>
            <rFont val="Tahoma"/>
            <family val="2"/>
          </rPr>
          <t>User01:</t>
        </r>
        <r>
          <rPr>
            <sz val="9"/>
            <rFont val="Tahoma"/>
            <family val="2"/>
          </rPr>
          <t xml:space="preserve">
มาเลเซีย 2
</t>
        </r>
      </text>
    </comment>
    <comment ref="H227" authorId="1">
      <text>
        <r>
          <rPr>
            <b/>
            <sz val="9"/>
            <rFont val="Tahoma"/>
            <family val="2"/>
          </rPr>
          <t>User01:</t>
        </r>
        <r>
          <rPr>
            <sz val="9"/>
            <rFont val="Tahoma"/>
            <family val="2"/>
          </rPr>
          <t xml:space="preserve">
อินเดีย</t>
        </r>
      </text>
    </comment>
    <comment ref="H235" authorId="1">
      <text>
        <r>
          <rPr>
            <b/>
            <sz val="9"/>
            <rFont val="Tahoma"/>
            <family val="2"/>
          </rPr>
          <t>User01:บูรไน ปากีสถาน</t>
        </r>
        <r>
          <rPr>
            <sz val="9"/>
            <rFont val="Tahoma"/>
            <family val="2"/>
          </rPr>
          <t xml:space="preserve">
ภูฎาน 1 เนปาล 2
</t>
        </r>
      </text>
    </comment>
    <comment ref="H236" authorId="1">
      <text>
        <r>
          <rPr>
            <b/>
            <sz val="9"/>
            <rFont val="Tahoma"/>
            <family val="2"/>
          </rPr>
          <t xml:space="preserve">User01::ซิมบับเว บังกลาเทศ ปากีสถาน ฟิลิปปินส์ เนปาล เอธิโอเปีย โรมาเรีย อียิปต์ ภูฎาน อินโดนีเซีย 
</t>
        </r>
        <r>
          <rPr>
            <sz val="9"/>
            <rFont val="Tahoma"/>
            <family val="2"/>
          </rPr>
          <t xml:space="preserve">
</t>
        </r>
      </text>
    </comment>
    <comment ref="H237" authorId="1">
      <text>
        <r>
          <rPr>
            <b/>
            <sz val="9"/>
            <rFont val="Tahoma"/>
            <family val="2"/>
          </rPr>
          <t>User01:ปากีสถาน</t>
        </r>
        <r>
          <rPr>
            <sz val="9"/>
            <rFont val="Tahoma"/>
            <family val="2"/>
          </rPr>
          <t xml:space="preserve">
</t>
        </r>
      </text>
    </comment>
    <comment ref="H238" authorId="1">
      <text>
        <r>
          <rPr>
            <b/>
            <sz val="9"/>
            <rFont val="Tahoma"/>
            <family val="2"/>
          </rPr>
          <t xml:space="preserve">User01:บังกลาเทศ 2
</t>
        </r>
        <r>
          <rPr>
            <sz val="9"/>
            <rFont val="Tahoma"/>
            <family val="2"/>
          </rPr>
          <t xml:space="preserve"> ปากีสถาน ภูฎาน</t>
        </r>
      </text>
    </comment>
    <comment ref="H239" authorId="1">
      <text>
        <r>
          <rPr>
            <b/>
            <sz val="9"/>
            <rFont val="Tahoma"/>
            <family val="2"/>
          </rPr>
          <t>User01:บังคลาเทศ อัฟกานิสถาน</t>
        </r>
        <r>
          <rPr>
            <sz val="9"/>
            <rFont val="Tahoma"/>
            <family val="2"/>
          </rPr>
          <t xml:space="preserve">
</t>
        </r>
      </text>
    </comment>
    <comment ref="H242" authorId="1">
      <text>
        <r>
          <rPr>
            <b/>
            <sz val="9"/>
            <rFont val="Tahoma"/>
            <family val="2"/>
          </rPr>
          <t xml:space="preserve">User01:เนปาล
</t>
        </r>
        <r>
          <rPr>
            <sz val="9"/>
            <rFont val="Tahoma"/>
            <family val="2"/>
          </rPr>
          <t xml:space="preserve">
</t>
        </r>
      </text>
    </comment>
    <comment ref="H243" authorId="1">
      <text>
        <r>
          <rPr>
            <b/>
            <sz val="9"/>
            <rFont val="Tahoma"/>
            <family val="2"/>
          </rPr>
          <t xml:space="preserve">User01:ภูฎาน2 เกาหลี2 เนปาล เม็กซิโก ฟิลิปปินส์
</t>
        </r>
        <r>
          <rPr>
            <sz val="9"/>
            <rFont val="Tahoma"/>
            <family val="2"/>
          </rPr>
          <t xml:space="preserve">
</t>
        </r>
      </text>
    </comment>
    <comment ref="H244" authorId="1">
      <text>
        <r>
          <rPr>
            <b/>
            <sz val="9"/>
            <rFont val="Tahoma"/>
            <family val="2"/>
          </rPr>
          <t xml:space="preserve">User01:เกาหลี ฟิลิปปินส์
</t>
        </r>
        <r>
          <rPr>
            <sz val="9"/>
            <rFont val="Tahoma"/>
            <family val="2"/>
          </rPr>
          <t xml:space="preserve">
</t>
        </r>
      </text>
    </comment>
    <comment ref="H246" authorId="1">
      <text>
        <r>
          <rPr>
            <b/>
            <sz val="9"/>
            <rFont val="Tahoma"/>
            <family val="2"/>
          </rPr>
          <t>User01:อินโดนีเนีย ฟิลิปปินส์ เม็กซิโก</t>
        </r>
        <r>
          <rPr>
            <sz val="9"/>
            <rFont val="Tahoma"/>
            <family val="2"/>
          </rPr>
          <t xml:space="preserve">
</t>
        </r>
      </text>
    </comment>
    <comment ref="H253" authorId="1">
      <text>
        <r>
          <rPr>
            <b/>
            <sz val="9"/>
            <rFont val="Tahoma"/>
            <family val="2"/>
          </rPr>
          <t>เนปาล</t>
        </r>
        <r>
          <rPr>
            <sz val="9"/>
            <rFont val="Tahoma"/>
            <family val="2"/>
          </rPr>
          <t xml:space="preserve">
</t>
        </r>
      </text>
    </comment>
    <comment ref="H269" authorId="1">
      <text>
        <r>
          <rPr>
            <sz val="9"/>
            <rFont val="Tahoma"/>
            <family val="2"/>
          </rPr>
          <t xml:space="preserve">อินโดนีเซีย2 ฟิลิปปินส์1
</t>
        </r>
      </text>
    </comment>
    <comment ref="H272" authorId="1">
      <text>
        <r>
          <rPr>
            <sz val="9"/>
            <rFont val="Tahoma"/>
            <family val="2"/>
          </rPr>
          <t xml:space="preserve">บูรไน 2 อินโดนี้ซีย 2 ฟิลิปปินส์ 2 สิงคโปร์ 2
</t>
        </r>
      </text>
    </comment>
  </commentList>
</comments>
</file>

<file path=xl/comments23.xml><?xml version="1.0" encoding="utf-8"?>
<comments xmlns="http://schemas.openxmlformats.org/spreadsheetml/2006/main">
  <authors>
    <author>DELL</author>
  </authors>
  <commentList>
    <comment ref="G14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เติร์กเมนิสถาน 9 ลาว 7
มาเลเซีย 52 ภูฎาน 14 กัมพูชา 7 สิงคโปร์ 2 อินโด 19
</t>
        </r>
      </text>
    </comment>
  </commentList>
</comments>
</file>

<file path=xl/comments24.xml><?xml version="1.0" encoding="utf-8"?>
<comments xmlns="http://schemas.openxmlformats.org/spreadsheetml/2006/main">
  <authors>
    <author>User01</author>
  </authors>
  <commentList>
    <comment ref="G12" authorId="0">
      <text>
        <r>
          <rPr>
            <b/>
            <sz val="9"/>
            <rFont val="Tahoma"/>
            <family val="2"/>
          </rPr>
          <t>User01:บังคลาเทศ บรูไน ฟิจิ อินเดีย อินโดนีเซีย อิหร่าน มาเลเซีย มองโกเลีย ฟิลิปปินส์ สิงคโปร์ เกาหลี รัสเซีย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sz val="9"/>
            <rFont val="Tahoma"/>
            <family val="2"/>
          </rPr>
          <t xml:space="preserve">เติร์กเมนิสถาน มาเลเซียภูฎาน สิงคโปร์ อินโดนีเซีย
</t>
        </r>
      </text>
    </comment>
  </commentList>
</comments>
</file>

<file path=xl/comments5.xml><?xml version="1.0" encoding="utf-8"?>
<comments xmlns="http://schemas.openxmlformats.org/spreadsheetml/2006/main">
  <authors>
    <author>DELL</author>
  </authors>
  <commentList>
    <comment ref="F16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ศรีลังกา1, ภูฏาน 1
</t>
        </r>
      </text>
    </comment>
    <comment ref="F17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ศรีลังกา2 ตืมอร์2
 </t>
        </r>
      </text>
    </comment>
  </commentList>
</comments>
</file>

<file path=xl/comments6.xml><?xml version="1.0" encoding="utf-8"?>
<comments xmlns="http://schemas.openxmlformats.org/spreadsheetml/2006/main">
  <authors>
    <author>DELL</author>
  </authors>
  <commentList>
    <comment ref="F16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ศรีลังกา1, ภูฏาน 1
</t>
        </r>
      </text>
    </comment>
    <comment ref="F17" authorId="0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ศรีลังกา2 ตืมอร์2
 </t>
        </r>
      </text>
    </comment>
  </commentList>
</comments>
</file>

<file path=xl/sharedStrings.xml><?xml version="1.0" encoding="utf-8"?>
<sst xmlns="http://schemas.openxmlformats.org/spreadsheetml/2006/main" count="2339" uniqueCount="1085">
  <si>
    <t>ตารางความร่วมมือเพื่อการพัฒนาที่ประเทศไทยให้แก่ต่างประเทศ</t>
  </si>
  <si>
    <t>กระทรวง</t>
  </si>
  <si>
    <t>รวม</t>
  </si>
  <si>
    <t xml:space="preserve">  สำนักนายกรัฐมนตรี</t>
  </si>
  <si>
    <t>มูลค่ารวม (บาท)</t>
  </si>
  <si>
    <t>หมายเหตุ</t>
  </si>
  <si>
    <t>สาขา</t>
  </si>
  <si>
    <t>ลักษณะความร่วมมือ</t>
  </si>
  <si>
    <t>กัมพูชา</t>
  </si>
  <si>
    <t>สปป.ลาว</t>
  </si>
  <si>
    <t>เวียดนาม</t>
  </si>
  <si>
    <t xml:space="preserve"> ตามพันธกรณี</t>
  </si>
  <si>
    <t xml:space="preserve"> Contribution</t>
  </si>
  <si>
    <t>ประเทศผู้รับ</t>
  </si>
  <si>
    <t xml:space="preserve">   มูลค่ารวม     (บาท)</t>
  </si>
  <si>
    <t xml:space="preserve">      เงินอุดหนุนองค์การระหว่างประเทศ</t>
  </si>
  <si>
    <t xml:space="preserve">        -  ค่าบำรุง องค์การโทรคมนาคมเอเชียและแปซิฟิก (Asia Pacific Telecommunity: APT)</t>
  </si>
  <si>
    <t>การสื่อสาร</t>
  </si>
  <si>
    <t>เงินให้เปล่า</t>
  </si>
  <si>
    <t xml:space="preserve">     มูลค่ารวม       (บาท)</t>
  </si>
  <si>
    <t xml:space="preserve">  สำนักงานความร่วมมือพัฒนาเศรษฐกิจกับประเทศเพื่อนบ้านฯ</t>
  </si>
  <si>
    <t>ประเทศอื่นๆ</t>
  </si>
  <si>
    <t xml:space="preserve"> หลากสาขา</t>
  </si>
  <si>
    <t>จีน</t>
  </si>
  <si>
    <t xml:space="preserve">   กระทรวงยุติธรรม</t>
  </si>
  <si>
    <t xml:space="preserve">      สนง. ป.ป.ส.</t>
  </si>
  <si>
    <t>หมายเหตุ/กรอบความร่วมือ</t>
  </si>
  <si>
    <t xml:space="preserve">   กระทรวงพาณิชย์</t>
  </si>
  <si>
    <t xml:space="preserve"> ธุรกิจและบริการอื่นๆ</t>
  </si>
  <si>
    <t>ภูฎาน</t>
  </si>
  <si>
    <t xml:space="preserve">   ธนาคารแห่งประเทศไทย</t>
  </si>
  <si>
    <t xml:space="preserve">   กระทรวงศึกษาธิการ</t>
  </si>
  <si>
    <t>การศึกษา</t>
  </si>
  <si>
    <t>สาธารณสุข</t>
  </si>
  <si>
    <t xml:space="preserve">   รวม</t>
  </si>
  <si>
    <t xml:space="preserve">  กระทรวงทรัพยากรธรรมชาติและสิ่งแวดล้อม</t>
  </si>
  <si>
    <t>หมายเหตุ/กรอบความร่วมมือ</t>
  </si>
  <si>
    <t xml:space="preserve"> </t>
  </si>
  <si>
    <t>เนปาล</t>
  </si>
  <si>
    <t xml:space="preserve">   กระทรวงอุตสาหกรรม</t>
  </si>
  <si>
    <t xml:space="preserve">      กรมโรงงานอุตสาหกรรม</t>
  </si>
  <si>
    <t>รวมประเทศอื่นๆ</t>
  </si>
  <si>
    <t>GMS</t>
  </si>
  <si>
    <t>หลากสาขา</t>
  </si>
  <si>
    <t xml:space="preserve">                                                                                                   </t>
  </si>
  <si>
    <t>อินโดนีเซีย</t>
  </si>
  <si>
    <t>วิทยาศาสตร์และเทคโนโลยี</t>
  </si>
  <si>
    <t>อินเดีย</t>
  </si>
  <si>
    <t xml:space="preserve">      กรมอุตุนิยมวิทยา</t>
  </si>
  <si>
    <t xml:space="preserve">        -  ค่าสมาชิก คณะกรรมการไต้ฝุ่น (ESCAP/WMO Typhoon Committee Trust Fund: TC)</t>
  </si>
  <si>
    <t xml:space="preserve">        -  ค่าสมาชิก คณะกรรมการพายุไซโคลนเขตร้อน (ESCAP/WMO Panel on Tropical Cyclones Trust Fund: PTC)</t>
  </si>
  <si>
    <t xml:space="preserve">        -  ค่าบำรุงสมาชิก ศูนย์พยากรณ์อากาศโลก Exeter ระบบ SADIS ของ UK Met Office</t>
  </si>
  <si>
    <t xml:space="preserve">      สำนักงานสถิติแห่งชาติ</t>
  </si>
  <si>
    <t xml:space="preserve">        -  เงินอุดหนุน (ค่าสมาชิก) International Statistical Institute (ISI) </t>
  </si>
  <si>
    <t xml:space="preserve">        -  เงินอุดหนุน (ค่าสมาชิก) Statistical Institute for Asia and the Pacific (SIAP)</t>
  </si>
  <si>
    <t>ฝึกอบรม</t>
  </si>
  <si>
    <t xml:space="preserve">   กระทรวงการต่างประเทศ</t>
  </si>
  <si>
    <t>Ministries</t>
  </si>
  <si>
    <t>Grant/Technical Cooperation</t>
  </si>
  <si>
    <t>Contributions to International Org.</t>
  </si>
  <si>
    <t>Loans</t>
  </si>
  <si>
    <t>Total (Thai Baht)</t>
  </si>
  <si>
    <t>Ministry of Transport</t>
  </si>
  <si>
    <t>Ministry of Education</t>
  </si>
  <si>
    <t>Ministry of Industry</t>
  </si>
  <si>
    <t>Ministry of Energy</t>
  </si>
  <si>
    <t>Ministry of Natural Resources and Environment</t>
  </si>
  <si>
    <t>Ministry of Justice</t>
  </si>
  <si>
    <t>Ministry of Agriculture and Cooperatives</t>
  </si>
  <si>
    <t>Ministry of Defence</t>
  </si>
  <si>
    <t>Bank of Thailand</t>
  </si>
  <si>
    <t>Ministry of Commerce</t>
  </si>
  <si>
    <t>Office of the Prime Minister</t>
  </si>
  <si>
    <t>Ministry of Labour</t>
  </si>
  <si>
    <t>Ministry of Foreign Affairs (excl. TICA)</t>
  </si>
  <si>
    <t>Ministry of Public Health</t>
  </si>
  <si>
    <t>Ministry of Interior</t>
  </si>
  <si>
    <t>Ministry of Culture</t>
  </si>
  <si>
    <t xml:space="preserve">        -  ค่าสมาชิกองค์การพัฒนาอุตสาหกรรมแห่งสหประชาชาติ (United Nations Industrial Development Organization : UNIDO)</t>
  </si>
  <si>
    <t xml:space="preserve">      สำนักงานเศรษฐกิจอุตสาหกรรม</t>
  </si>
  <si>
    <t>เงินบำรุง/เงินบริจาค องค์การระหว่างประเทศ</t>
  </si>
  <si>
    <t>Ministry of Finance</t>
  </si>
  <si>
    <t xml:space="preserve">Total </t>
  </si>
  <si>
    <t xml:space="preserve">Thailand Official Development Assistance </t>
  </si>
  <si>
    <t>Ministry/ Sector</t>
  </si>
  <si>
    <t>Recipient</t>
  </si>
  <si>
    <t>Type of Cooperation</t>
  </si>
  <si>
    <t>Cambodia</t>
  </si>
  <si>
    <t>Lao PDR</t>
  </si>
  <si>
    <t>Myanmar</t>
  </si>
  <si>
    <t xml:space="preserve"> Vietnam</t>
  </si>
  <si>
    <t>China</t>
  </si>
  <si>
    <t>others</t>
  </si>
  <si>
    <t>- Education</t>
  </si>
  <si>
    <t>- Agriculture</t>
  </si>
  <si>
    <t>Ministry of Natural Resources &amp; Environment</t>
  </si>
  <si>
    <t>- Banking and Financial Services</t>
  </si>
  <si>
    <t xml:space="preserve">  TICA*</t>
  </si>
  <si>
    <t xml:space="preserve">- Multisector/Cross-Cutting </t>
  </si>
  <si>
    <t>Total</t>
  </si>
  <si>
    <t xml:space="preserve">   กระทรวงแรงงาน</t>
  </si>
  <si>
    <t>ตามพันธกรณี</t>
  </si>
  <si>
    <t>- Public Health</t>
  </si>
  <si>
    <t>มาเลเซีย</t>
  </si>
  <si>
    <t>ศรีลังกา</t>
  </si>
  <si>
    <t>ปากีสถาน</t>
  </si>
  <si>
    <t>ฟิลิปปินส์</t>
  </si>
  <si>
    <t>บังคลาเทศ</t>
  </si>
  <si>
    <t>มองโกเลีย</t>
  </si>
  <si>
    <t>ติมอร์</t>
  </si>
  <si>
    <t>มัลดีฟส์</t>
  </si>
  <si>
    <t>มาดากัสกา</t>
  </si>
  <si>
    <t>เซเนกัล</t>
  </si>
  <si>
    <t>ไนจีเรีย</t>
  </si>
  <si>
    <t>สวาซิแลนด์</t>
  </si>
  <si>
    <t>รวมทั้งสิ้น</t>
  </si>
  <si>
    <t>ยาเสพติด</t>
  </si>
  <si>
    <t>เงินบำรุง/เงินบริจาคองค์การระหว่างประเทศ</t>
  </si>
  <si>
    <t xml:space="preserve">   กระทรวงสาธารณสุข</t>
  </si>
  <si>
    <t>ทุนศึกษา</t>
  </si>
  <si>
    <t>อิหร่าน</t>
  </si>
  <si>
    <t>อียิปต์</t>
  </si>
  <si>
    <t>เอธิโอเปีย</t>
  </si>
  <si>
    <t>ฟิจิ</t>
  </si>
  <si>
    <t xml:space="preserve"> ตามความสมัครใจ</t>
  </si>
  <si>
    <t>- Technical Cooperation (Multisector/Cross-Cutting)</t>
  </si>
  <si>
    <t xml:space="preserve">- ความร่วมมือทางวิชาการ </t>
  </si>
  <si>
    <t>- เงินบำรุง/เงินบริจาค องค์การระหว่างประเทศ</t>
  </si>
  <si>
    <r>
      <t>-</t>
    </r>
    <r>
      <rPr>
        <sz val="14"/>
        <rFont val="Cordia New"/>
        <family val="2"/>
      </rPr>
      <t xml:space="preserve"> Multisector/Cross-Cutting</t>
    </r>
  </si>
  <si>
    <t>ทุนศึกษา 6 ทุน</t>
  </si>
  <si>
    <t xml:space="preserve">   มูลค่ารวม    (บาท)</t>
  </si>
  <si>
    <t xml:space="preserve">   กระทรวงคมนาคม</t>
  </si>
  <si>
    <t>- Water Supply and Sanitation</t>
  </si>
  <si>
    <t>ไต้หวัน</t>
  </si>
  <si>
    <t xml:space="preserve">    มหาวิทยาลัยเกษตรศาสตร์</t>
  </si>
  <si>
    <t>- Justice</t>
  </si>
  <si>
    <t xml:space="preserve">       สนง. นโยบายและแผนทรัพยากรธรรมชาติและสิ่งแวดล้อม</t>
  </si>
  <si>
    <t xml:space="preserve">       -  องค์การอนามัยโลก (World Health Organization : WHO)</t>
  </si>
  <si>
    <t xml:space="preserve">       -   สมาพันธ์วางแผนครอบครัวระหว่างประเทศ (International Planned Perenthood Federation : (IPPF)</t>
  </si>
  <si>
    <t xml:space="preserve">       -  โครงการโรคเอดส์แห่งสหประชาชาติ (Joint United Nations Programme on HIV/AIDS : UNAIDS)</t>
  </si>
  <si>
    <r>
      <t>Exim Bank  ได้รับคืนเงินกู้ (โครงการให้กู้เงินในการซื้อเครื่องจักรและพัฒนาประเทศแก่รัฐบาลเมียนมาร์ ปี 2547 จำนวน 4,000 ล้านบาท ยอดเบิกถอน 3,946 ล้านบาท) รวมยอดเงินต้นที่รับคืนตั้งแต่ปี 2553-2556 เป็นเงินทั้งสิ้น</t>
    </r>
    <r>
      <rPr>
        <sz val="16"/>
        <color indexed="10"/>
        <rFont val="Cordia New"/>
        <family val="2"/>
      </rPr>
      <t xml:space="preserve"> 2,254.94</t>
    </r>
    <r>
      <rPr>
        <sz val="16"/>
        <color indexed="12"/>
        <rFont val="Cordia New"/>
        <family val="2"/>
      </rPr>
      <t xml:space="preserve"> ล้าน</t>
    </r>
    <r>
      <rPr>
        <sz val="16"/>
        <rFont val="Cordia New"/>
        <family val="2"/>
      </rPr>
      <t>บาท ยอดคงเหลือ 1,691 ล้านบาท</t>
    </r>
  </si>
  <si>
    <t xml:space="preserve">       -   กองทุนระหว่างประเทศสำหรับเด็กแห่งสหประชาชาติ (United Nations Children's Fund : UNICEF)</t>
  </si>
  <si>
    <t xml:space="preserve">       -   กองทุนประชากรแห่งสหประชาชาติ (United Nations Population Fund : UNFPA)</t>
  </si>
  <si>
    <t>- Social /Welfare Services</t>
  </si>
  <si>
    <t>บูรไน</t>
  </si>
  <si>
    <t>สิงคโปร์</t>
  </si>
  <si>
    <t xml:space="preserve">   - TICA</t>
  </si>
  <si>
    <t>ค่าสมาชิก</t>
  </si>
  <si>
    <t>Uganda</t>
  </si>
  <si>
    <t xml:space="preserve"> training</t>
  </si>
  <si>
    <t xml:space="preserve"> training, study visit </t>
  </si>
  <si>
    <t xml:space="preserve"> training, study visit, research</t>
  </si>
  <si>
    <t xml:space="preserve">     กรมทางหลวง</t>
  </si>
  <si>
    <t xml:space="preserve"> โครงการ</t>
  </si>
  <si>
    <t xml:space="preserve">        -  ค่าบำรุงสมาชิกองค์การห้ามอาวุธเคมี (Organisation for the Prohibition of Chemical Weapons, OPCW) </t>
  </si>
  <si>
    <t xml:space="preserve">     สนง.คณะกรรมการอาชีวศึกษา</t>
  </si>
  <si>
    <t xml:space="preserve">  มูลค่ารวม  (บาท)</t>
  </si>
  <si>
    <t xml:space="preserve">        -  ค่าบำรุง องค์การความร่วมมือด้านอวกาศแห่งเอเซียและแปซิฟิก (Asia-Pacific Space Cooperation: APSCO)</t>
  </si>
  <si>
    <r>
      <rPr>
        <sz val="14"/>
        <rFont val="Cordia New"/>
        <family val="2"/>
      </rPr>
      <t>Natural Resources &amp; Environment</t>
    </r>
  </si>
  <si>
    <t>เงินกู้/เงินให้เปล่า</t>
  </si>
  <si>
    <r>
      <t xml:space="preserve">- </t>
    </r>
    <r>
      <rPr>
        <sz val="14"/>
        <rFont val="Cordia New"/>
        <family val="2"/>
      </rPr>
      <t xml:space="preserve"> Multisector/Cross-Cutting</t>
    </r>
  </si>
  <si>
    <t xml:space="preserve">        -  เงินอุดหนุนหน่วยสันติภาพสหรัฐ (Peace Corps)</t>
  </si>
  <si>
    <t>กรมความร่วมมือระหว่างประเทศ</t>
  </si>
  <si>
    <t xml:space="preserve">    มหาวิทยาลัยเชียงใหม่</t>
  </si>
  <si>
    <t>Tanzania</t>
  </si>
  <si>
    <t>Gambia</t>
  </si>
  <si>
    <t>Kenya</t>
  </si>
  <si>
    <t>El Salvador</t>
  </si>
  <si>
    <t xml:space="preserve">        -  เงินค่าบำรุงรายปีองค์การแรงงานระหว่างประเทศ (ILO)</t>
  </si>
  <si>
    <t xml:space="preserve">       กรมทรัพยากรน้ำ</t>
  </si>
  <si>
    <t>ตามสมัครใจ</t>
  </si>
  <si>
    <t xml:space="preserve">       กรมทรัพยากรทางทะเลและชายฝั่ง</t>
  </si>
  <si>
    <t xml:space="preserve">       สำนักงานคณะกรรมการอ้อยและน้ำตาล</t>
  </si>
  <si>
    <t>อุตสาหกรรม/เกษตร</t>
  </si>
  <si>
    <t xml:space="preserve">        -  ค่าบำรุงสมาชิกองค์การวิจัยน้ำตาลโลก (World Sugar Research Organization : WSRO)</t>
  </si>
  <si>
    <t xml:space="preserve">        -  ค่าสมาชิก  Asian Productivity Organization (APO)</t>
  </si>
  <si>
    <t xml:space="preserve">        -  ค่าบำรุงสมาชิกองค์การน้ำตาลระหว่างประเทศ International Sugar Organization :  ISO</t>
  </si>
  <si>
    <t xml:space="preserve">   กระทรวงการคลัง</t>
  </si>
  <si>
    <t xml:space="preserve">     สำนักงานเศรษฐกิจการคลัง</t>
  </si>
  <si>
    <t>การบริจาคเงิน</t>
  </si>
  <si>
    <t>ตามความสมัครใจ</t>
  </si>
  <si>
    <t>Oman</t>
  </si>
  <si>
    <t>โคลัมเบีย</t>
  </si>
  <si>
    <t xml:space="preserve">       -  กองทุนโลกเพื่อการต่อสู้โรคเอดส์ วัณโรค และมาลาเรีย</t>
  </si>
  <si>
    <t xml:space="preserve">       -   โครงการพิเศษขององค์การอนามัยโลกในด้านการวิจัยและฝึกอบรมเกี่ยวกับโรคเมืองร้อน (WHO Special Programme for Research and Training in Tropical Disease : TDR)</t>
  </si>
  <si>
    <t>ทุนศึกษา 2 ทุน</t>
  </si>
  <si>
    <t xml:space="preserve">    มหาวิทยาลัยมหิดล</t>
  </si>
  <si>
    <t>วัฒนธรรม</t>
  </si>
  <si>
    <t>ทุนศึกษา 4 ทุน</t>
  </si>
  <si>
    <t xml:space="preserve">        -  ค่าบำรุงสหภาพสากลไปรษณีย์ (Universal Postal Union : UPU)</t>
  </si>
  <si>
    <t xml:space="preserve"> training, meeting</t>
  </si>
  <si>
    <t xml:space="preserve">-  Multisector/Cross-Cutting </t>
  </si>
  <si>
    <t>- Humanitarian Aid</t>
  </si>
  <si>
    <t>วานูอาตู</t>
  </si>
  <si>
    <t>โมซัมบิก</t>
  </si>
  <si>
    <t>afghanistan</t>
  </si>
  <si>
    <t>Palestine</t>
  </si>
  <si>
    <t>Jordan</t>
  </si>
  <si>
    <t>Cook Island</t>
  </si>
  <si>
    <t>kiribati</t>
  </si>
  <si>
    <t>comoros</t>
  </si>
  <si>
    <t>Congo</t>
  </si>
  <si>
    <t>Eritea</t>
  </si>
  <si>
    <t>malawi</t>
  </si>
  <si>
    <t>seychelles</t>
  </si>
  <si>
    <t>mauritania</t>
  </si>
  <si>
    <t>mauritius</t>
  </si>
  <si>
    <t>morocco</t>
  </si>
  <si>
    <t>sudan</t>
  </si>
  <si>
    <t>Costa Rica</t>
  </si>
  <si>
    <t>Jamaica</t>
  </si>
  <si>
    <t>Mexico</t>
  </si>
  <si>
    <t>Panama</t>
  </si>
  <si>
    <t>Paraguay</t>
  </si>
  <si>
    <t>Bahamas</t>
  </si>
  <si>
    <t>Uzbekistan</t>
  </si>
  <si>
    <t>Tajikistan</t>
  </si>
  <si>
    <t>Kyrgyzstan</t>
  </si>
  <si>
    <t>Kazakhstan</t>
  </si>
  <si>
    <t>Georgia</t>
  </si>
  <si>
    <t>Togo</t>
  </si>
  <si>
    <t>เมียนมา</t>
  </si>
  <si>
    <t xml:space="preserve">        -  เงินอุดหนุนแผนโคลัมโบ (Colombo Plan)</t>
  </si>
  <si>
    <t xml:space="preserve">        -  เงินอุดหนุน International Atomic Agency (IAEA)</t>
  </si>
  <si>
    <t xml:space="preserve">        -  เงินอุดหนุนโครงการอาสาสมัคร United Nations Volunteers (UNV)</t>
  </si>
  <si>
    <t>project</t>
  </si>
  <si>
    <t>เงินกู้</t>
  </si>
  <si>
    <t xml:space="preserve">   สำนักงานประกันสังคม</t>
  </si>
  <si>
    <t>โครงการ</t>
  </si>
  <si>
    <t>เงินให้เปล่า / ความร่วมมือทางวิชาการ</t>
  </si>
  <si>
    <t>สปป. ลาว</t>
  </si>
  <si>
    <t xml:space="preserve">     สนง.ปลัดกระทรวง</t>
  </si>
  <si>
    <t xml:space="preserve">   กระทรวงวัฒนธรรม</t>
  </si>
  <si>
    <t>.</t>
  </si>
  <si>
    <t xml:space="preserve">        -  ค่าบำรุงกองทุนพิธีสารมอนทรีออล (Trust Fund for the Montreal Protocol on Substances that Deplete the Ozone Layer) United Nations Enviromment Peogram (UNEP)</t>
  </si>
  <si>
    <t xml:space="preserve">       - ค่าบำรุงกองทุนกองทุนอนุสัญญาเวียนนา (Trust Fund for the Vienna Convention for the Protection of the Ozone Layer)</t>
  </si>
  <si>
    <t xml:space="preserve">เมียนมา </t>
  </si>
  <si>
    <t xml:space="preserve">    -  Contribution to UN High Commissioner for Refugees (UNHCR)</t>
  </si>
  <si>
    <t xml:space="preserve">     -  Contribution to UN Disarmament Information Programme (UNDIP)</t>
  </si>
  <si>
    <t xml:space="preserve">      กรมองค์การระหว่างประเทศ</t>
  </si>
  <si>
    <t xml:space="preserve">     สนง.กศน.</t>
  </si>
  <si>
    <t xml:space="preserve">     -  การบริจาคเงินในการเพิ่มทุนของสมาคมพัฒนาการระหว่างประเทศ (International Development Association : IDA)  ภายใต้ (International Bank for Reconstruction and Development : IBRD)</t>
  </si>
  <si>
    <t>การเพิ่มทุน</t>
  </si>
  <si>
    <t xml:space="preserve">     -  การเพิ่มทุนสามัญทั่วไป (General Capital Increase) ของ ADB</t>
  </si>
  <si>
    <t>การลงทุน</t>
  </si>
  <si>
    <t>Iraq</t>
  </si>
  <si>
    <t>Ghana/กาน่า</t>
  </si>
  <si>
    <t>DR Congo</t>
  </si>
  <si>
    <t>Botswana</t>
  </si>
  <si>
    <t>Chile/ชิลี</t>
  </si>
  <si>
    <t>St.Lucia</t>
  </si>
  <si>
    <t>St. Kitts and Nevis</t>
  </si>
  <si>
    <t>Montenego</t>
  </si>
  <si>
    <t>Cuba/คิวบา</t>
  </si>
  <si>
    <t>Argentina</t>
  </si>
  <si>
    <t>Guatemala</t>
  </si>
  <si>
    <t>Papua new Guinea</t>
  </si>
  <si>
    <t>Benin</t>
  </si>
  <si>
    <t>Cape Verde</t>
  </si>
  <si>
    <t>Liberia</t>
  </si>
  <si>
    <t>Rwanda</t>
  </si>
  <si>
    <t>Mali</t>
  </si>
  <si>
    <t>Sao Tome &amp; Principe</t>
  </si>
  <si>
    <t>Tunisia</t>
  </si>
  <si>
    <t>Zambia</t>
  </si>
  <si>
    <t>Guinea</t>
  </si>
  <si>
    <t>Lesotho</t>
  </si>
  <si>
    <t>ซามัว/Samoa</t>
  </si>
  <si>
    <t>ซาอุดิอาระเบีย</t>
  </si>
  <si>
    <t>Ecuador</t>
  </si>
  <si>
    <t>- Banking &amp; Finacial Services</t>
  </si>
  <si>
    <t>Neighbouring Countries Economic Development Cooperation Agency (Public Organization)</t>
  </si>
  <si>
    <t>- Transport and Storage</t>
  </si>
  <si>
    <t>Transport and Storage</t>
  </si>
  <si>
    <t>- Urban Development</t>
  </si>
  <si>
    <t>Ministry of Finance  *</t>
  </si>
  <si>
    <t xml:space="preserve">    - เงินอุดหนุนอนุสัญญาว่าด้วยพื้นที่ชุ่มน้ำ (Ramsar)</t>
  </si>
  <si>
    <t>เซียร์ราลิโอน</t>
  </si>
  <si>
    <t>Zimbabwe/ซิมบับเว</t>
  </si>
  <si>
    <t>grant</t>
  </si>
  <si>
    <t xml:space="preserve">     กรมทรัพย์สินทางปัญญา</t>
  </si>
  <si>
    <t xml:space="preserve">    - ค่าสมาชิกองค์การทรัพย์สินทางปัญญาโลก (WIPO)</t>
  </si>
  <si>
    <t xml:space="preserve">     กรมอนามัย</t>
  </si>
  <si>
    <t xml:space="preserve">      กรมอาเซียน</t>
  </si>
  <si>
    <t xml:space="preserve">        -  ค่าบำรุงรักษาและปรับปรุง Website ของสมาคมการประกันสังคมอาเซียน (ASEAN Social Security Association (ASSA))</t>
  </si>
  <si>
    <t xml:space="preserve">        สนง. ปลัดกระทรวงแรงงาน</t>
  </si>
  <si>
    <t xml:space="preserve">        -  เงินอุดหนุนค่าบำรุงรายปีกรอบความร่วมมือ (colombo Process)</t>
  </si>
  <si>
    <t>ทุนศึกษา/ฝึกอบรม</t>
  </si>
  <si>
    <t xml:space="preserve">     กรมวัฒนธรรม</t>
  </si>
  <si>
    <t>เงินสนับสนุนกองทุน</t>
  </si>
  <si>
    <t>ป่าไม้</t>
  </si>
  <si>
    <t>บริหารจัดการน้ำ</t>
  </si>
  <si>
    <t xml:space="preserve">      สนง.ปลัดกระทรวงทรัพยากรธรรมชาติและสิ่งแวดล้อม</t>
  </si>
  <si>
    <t xml:space="preserve">    - เงินอุดหนนุกองทุนสิ่งแวดล้อมของโครงการสิ่งแวดล้อมแห่งสหประชาชาติ (UNEP)</t>
  </si>
  <si>
    <t xml:space="preserve">   กระทรวงพลังงาน</t>
  </si>
  <si>
    <t>ตามพันธกิจ</t>
  </si>
  <si>
    <t xml:space="preserve">     การไฟฟ้าฝ่ายผลิตแห่งประเทศ</t>
  </si>
  <si>
    <t>พลังงาน</t>
  </si>
  <si>
    <t xml:space="preserve">       สำนักงานมาตรฐานผลิตภัณฑ์อุตสาหกรรม</t>
  </si>
  <si>
    <t xml:space="preserve">        -  ค่าบำรุงการเป็นสมาชิกองค์การระหว่างประเทศว่าด้วยการมาตรฐาน (International Organization for Standardization (ISO)</t>
  </si>
  <si>
    <t xml:space="preserve">        -  ค่าบำรุงสมาชิกองค์การระหว่างประเทศว่าด้วยการรับรองห้องปฏิบัติการ (Internation Laboratory Accreditation Cooperation -ILAC)</t>
  </si>
  <si>
    <t xml:space="preserve">     สนง.ปลัดกระทรวงฯ</t>
  </si>
  <si>
    <t xml:space="preserve">   กระทรวงมหาดไทย</t>
  </si>
  <si>
    <t>การพัฒนาเมือง</t>
  </si>
  <si>
    <t>การลดภัยพิบัติ</t>
  </si>
  <si>
    <t>พันธกิจ</t>
  </si>
  <si>
    <t>เงินบริจาค</t>
  </si>
  <si>
    <t>พัฒนาสังคม</t>
  </si>
  <si>
    <t xml:space="preserve">      -  Contribution to UN Institute for Training and Research (UNITAR) กองทุนทั่วไปของสถาบันเพื่อการฝึกอบรมและวิจัยแห่งสหประชาชาติ </t>
  </si>
  <si>
    <t xml:space="preserve">       กรมประชาสัมพันธ์</t>
  </si>
  <si>
    <t>ทวิภาคี</t>
  </si>
  <si>
    <t>Ministry of Digital Economy and Society</t>
  </si>
  <si>
    <t xml:space="preserve">   กระทรวงดิจิทัลเพื่อเศรษฐกิจและสังคม</t>
  </si>
  <si>
    <t xml:space="preserve">      สนง. ปลัดกระทรวงดิจิทัลเพื่อเศรษฐกิจและสังคม</t>
  </si>
  <si>
    <t xml:space="preserve">    มหาวิทยาลัยพะเยา</t>
  </si>
  <si>
    <t>ทุนศึกษา 28 ทุน</t>
  </si>
  <si>
    <t>ทุนศึกษา 38 ทุน</t>
  </si>
  <si>
    <t>ฝึกอบรม 18 คน</t>
  </si>
  <si>
    <t xml:space="preserve">    มหาวิทยาลัยมหาสารคาม</t>
  </si>
  <si>
    <t xml:space="preserve">    มหาวิทยาลัยขอนแก่น</t>
  </si>
  <si>
    <t xml:space="preserve">    มหาวิทยาลัยนเรศวร</t>
  </si>
  <si>
    <t>บราซิล</t>
  </si>
  <si>
    <t>ตุรกี</t>
  </si>
  <si>
    <t>Cameroon</t>
  </si>
  <si>
    <t>- Science and Technology</t>
  </si>
  <si>
    <t>- Energy Generation and Supply</t>
  </si>
  <si>
    <t>พัฒนาสังคมฯ</t>
  </si>
  <si>
    <t>Bahrain</t>
  </si>
  <si>
    <t>Lebanon</t>
  </si>
  <si>
    <t>Palau</t>
  </si>
  <si>
    <t>Solomon Islands</t>
  </si>
  <si>
    <t>Burkina Faso</t>
  </si>
  <si>
    <t>Burundi</t>
  </si>
  <si>
    <t>Chad</t>
  </si>
  <si>
    <t>Gabon</t>
  </si>
  <si>
    <t>Niger</t>
  </si>
  <si>
    <t>Armenia</t>
  </si>
  <si>
    <t>Azerbaijan</t>
  </si>
  <si>
    <t>Belize</t>
  </si>
  <si>
    <t>Dominican Republic</t>
  </si>
  <si>
    <t>Guyana</t>
  </si>
  <si>
    <t>Honduras</t>
  </si>
  <si>
    <t>Nicarragua</t>
  </si>
  <si>
    <t>St. Vincent and the Grenadines</t>
  </si>
  <si>
    <t xml:space="preserve">ทวิภาคี ไทย - กัมพูชา </t>
  </si>
  <si>
    <t>ทวิภาคี ไทย - เมียนมา</t>
  </si>
  <si>
    <t xml:space="preserve">     -  การบริจาคเงินในการเพิ่มทุนของกองทุนพัฒนาเอเซีย (Asian Development Fund : ADF) </t>
  </si>
  <si>
    <t>GMS, ACMECS</t>
  </si>
  <si>
    <t xml:space="preserve">       กรมทรัพยากรน้ำบาดาล</t>
  </si>
  <si>
    <t xml:space="preserve">    - เงินอุดหนุนกองทุนอนุสัญญาสหประชาชาติว่าด้วยการเปลี่ยนแปลงสภาพภูมิอากาศ (UNFCCC) และพิธีสารเกียวโต (KP)</t>
  </si>
  <si>
    <t xml:space="preserve">  -  อนุสัญญาห้ามทุ่นระเบิดสังหารบุคคล (AP Mine Ban Convention)</t>
  </si>
  <si>
    <t>Grenada</t>
  </si>
  <si>
    <t xml:space="preserve">    -  Contribution of UN  Alliance of Civilization Trust Fund (UNAOC)</t>
  </si>
  <si>
    <t xml:space="preserve">    -  สถาบันสิทธิมนุษยชนแห่งชาติของภูมิภาคเอเซียแปซิฟิก  (APF)</t>
  </si>
  <si>
    <t xml:space="preserve">     -  Contribution to UN Development Programme (UNDP)</t>
  </si>
  <si>
    <t>Tuvalu</t>
  </si>
  <si>
    <t>Libya</t>
  </si>
  <si>
    <t>Namibia</t>
  </si>
  <si>
    <t xml:space="preserve"> training, study visit, fellowship, project, 
Experts,Equipment,orthers</t>
  </si>
  <si>
    <t>- Communication</t>
  </si>
  <si>
    <t>- Economics</t>
  </si>
  <si>
    <t xml:space="preserve">- Energy </t>
  </si>
  <si>
    <t>- Industry</t>
  </si>
  <si>
    <t>- Information Technology</t>
  </si>
  <si>
    <t>- Infrastructure &amp; Public Utilities</t>
  </si>
  <si>
    <t>- Labour &amp; Employment</t>
  </si>
  <si>
    <t>- Natural Resources and Environment</t>
  </si>
  <si>
    <t>- Public Administration</t>
  </si>
  <si>
    <t>- Science &amp; Technology</t>
  </si>
  <si>
    <t>- Social Development &amp; Welfare</t>
  </si>
  <si>
    <t>- Tourism</t>
  </si>
  <si>
    <t>- Trade, Services &amp; Investment</t>
  </si>
  <si>
    <t>- Transportation</t>
  </si>
  <si>
    <t xml:space="preserve">                "                              "                 </t>
  </si>
  <si>
    <t>Value (Baht)</t>
  </si>
  <si>
    <t xml:space="preserve">    -  โครงการทุนพระราชทานสมเด็จพระเทพรัตนราชสุดาฯ สยามบรมราชกุมารี โครงการพระราชทานความช่วยเหลือแก่ราชอาณาจักรกัมพูชา (ด้านการศึกษา) ระดับมัธยมศึกษาตอนปลาย และระดับปริญญาตรี</t>
  </si>
  <si>
    <t xml:space="preserve">       -  คณะกรรมการกาชาดระหว่างประเทศ ( International Committee 
of the Red Cross : ICRC)</t>
  </si>
  <si>
    <r>
      <t xml:space="preserve">     -     ค่าสมาชิกองค์การมหกรรมวัฒนธรรมพื้นบ้านนานาชาติ (CIOFF)</t>
    </r>
    <r>
      <rPr>
        <vertAlign val="superscript"/>
        <sz val="14"/>
        <rFont val="Cordia New"/>
        <family val="2"/>
      </rPr>
      <t>R</t>
    </r>
  </si>
  <si>
    <t xml:space="preserve"> -   โครงการปรับปรุงและก่อสร้างถนนจากบ้านฮวก (พะเยา) -เมืองคอบ-
เมืองเชียงฮ่อน-และเมืองคอบ-เมืองปากคอบ-บ้านก้อตื้น สปป.ลาว
(มูลค่าเงินกู้ 1,112 ล้านบาทและ เงินให้เปล่า 278 ล้านบาท)</t>
  </si>
  <si>
    <t xml:space="preserve"> -   โครงการสร้างทางรถไฟไทย-ลาว ระยะที่ 2 (ท่านาแล้ง-เวียงจันทน์ )
(มูลค่าเงินกู้ 696.28 ล้านบาทและเงินให้เปล่า 298.40 ล้านบาท) </t>
  </si>
  <si>
    <t xml:space="preserve"> -  งานศึกษาความเป็นไปได้และออกแบบรายละเอียดโครงการพัฒนาเส้นทางหมายเลข 12 (R12) ช่วงเมืองท่าแขก-แขวงคำม่วน-จุดผ่านแดนบ้านนาเพ้า สปป.ลาว</t>
  </si>
  <si>
    <t xml:space="preserve">      -  Scholarship Student (NBC)</t>
  </si>
  <si>
    <t>Study Visit  14</t>
  </si>
  <si>
    <t>Study Visit  40</t>
  </si>
  <si>
    <t xml:space="preserve">     กรมเจรจาการค้าระหว่างประเทศ</t>
  </si>
  <si>
    <t xml:space="preserve">    - ค่าสมาชิกองค์การการค้าโลก</t>
  </si>
  <si>
    <t xml:space="preserve">      กรมส่งเสริมอุตสาหกรรม</t>
  </si>
  <si>
    <t xml:space="preserve">        -  ค่าสมาชิกสภาการช่างศิลป์โลก ภูมิภาคเอเซีย-แปซิฟิค</t>
  </si>
  <si>
    <t xml:space="preserve">        -  ค่าสมาชิกสภาการช่างศิลป์โลกระหว่างประเทศ</t>
  </si>
  <si>
    <t xml:space="preserve">        -  ค่าสมาชิกสหพันธ์การบรรจุภัณฑ์แห่งเอเซีย</t>
  </si>
  <si>
    <t xml:space="preserve">      สถาบันเพิ่มผลผลิตแห่งชาติ</t>
  </si>
  <si>
    <t xml:space="preserve">        -  เงินอุดหนุนกองทุน  ASEAN ICT Fund</t>
  </si>
  <si>
    <t xml:space="preserve">      บริษัท ไปรษณีย์ไทย จำกัด</t>
  </si>
  <si>
    <t xml:space="preserve">        -  ค่าอุดหนุนกิจกรรมของ Regional Technical Centre for Asia Pacific (RTCAP)</t>
  </si>
  <si>
    <t xml:space="preserve">        -  ค่าบำรุงสมาชิก EMS Cooperativer ของ (UPU)</t>
  </si>
  <si>
    <t xml:space="preserve">        -  ค่าบำรุงการเป็นสมาชิก UPU Telematics Cooperative ของ Universal Postal Union (UPU)</t>
  </si>
  <si>
    <t xml:space="preserve">        -  ค่าบำรุงการใช้ระบบสอบสวนทางอินเทอร์เน็ตสำหรับการบริการพัสดุไปรษณีย์ระหว่างประเทศ (IBIS) International Post Corporation</t>
  </si>
  <si>
    <t xml:space="preserve">        -  ค่าบำรุงการเข้าร่วมระบบ PRIME</t>
  </si>
  <si>
    <t xml:space="preserve">        -  ค่าบำรุงสมาชิก .post user group ของ UPU</t>
  </si>
  <si>
    <t xml:space="preserve">      กรมควบคุมมลพิษ</t>
  </si>
  <si>
    <t xml:space="preserve">      กรมอุทยานแห่งชาติ สัตว์ป่า และพันธุ์พืช</t>
  </si>
  <si>
    <t xml:space="preserve">    -  ค่าบำรุงสมาชิก IUCN </t>
  </si>
  <si>
    <t xml:space="preserve">    -  ค่าสมาชิกอนุสัญญา CITES </t>
  </si>
  <si>
    <t xml:space="preserve">        -  ค่าสมาชิก Colombo Plan Staff College for Technician Education (CPSC)</t>
  </si>
  <si>
    <t xml:space="preserve">    - ค่าสมาชิกสมาคมจดหมายเหตุเสียงและโสตทัศน์ระหว่างชาติ (International Association of Sound and Audiovisual Archives : IASA)</t>
  </si>
  <si>
    <t xml:space="preserve">       สนง. ปลัดสำนักนายกรัฐมนตรี</t>
  </si>
  <si>
    <t xml:space="preserve">    - The 2nd ASEAN Youth Representatives in Experiencing the Philosophy of Sufficiency Economy</t>
  </si>
  <si>
    <t xml:space="preserve">   กระทรวงการพัฒนาสังคมและความมั่นคงของมนุษย์</t>
  </si>
  <si>
    <t>ศึกษาดูงาน</t>
  </si>
  <si>
    <t xml:space="preserve">     -     เงินอุดหนุนสำหรับค่าสมาชิกและสมทบองค์กรระหว่างประเทศ กองทุนสหประชาชาติเพื่อการพัฒนาสตรี (UN Women)</t>
  </si>
  <si>
    <t xml:space="preserve">   กรมพัฒนาฝึมือแรงงาน</t>
  </si>
  <si>
    <t>Contribution</t>
  </si>
  <si>
    <t>ประชุม</t>
  </si>
  <si>
    <t>ASEAN and GMS Contires</t>
  </si>
  <si>
    <t>ทุนศึกษา 8 ทุน</t>
  </si>
  <si>
    <t>ทุนศึกษา 5 ทุน</t>
  </si>
  <si>
    <t>ทุนศึกษา 1 ทุน</t>
  </si>
  <si>
    <t>ทุนศึกษา 3 ทุน</t>
  </si>
  <si>
    <t>รัสเซีย</t>
  </si>
  <si>
    <t xml:space="preserve">     -   ค่าธรรมเนียมรายปีสำหรับค่าบำรุงองค์การพลังงานโลก (World Energy Council)</t>
  </si>
  <si>
    <t>Energy</t>
  </si>
  <si>
    <t xml:space="preserve">     -   ค่าบำรุงองค์การพลังงานหมุนเวียนระหว่างประเทศ  (International Renewable Energy Agency : IRENA)</t>
  </si>
  <si>
    <t xml:space="preserve">     บริษัท ปตท. จำกัด</t>
  </si>
  <si>
    <t xml:space="preserve">     -   ค่าธรรมเนียมสมาชิก (International Gas Union (IGU))</t>
  </si>
  <si>
    <t xml:space="preserve">     -   MERIT Scholarship</t>
  </si>
  <si>
    <t xml:space="preserve">     -   ค่าธรรมเนียมสมาชิก (Asia Pacific Natural Gas Vehicles Association (ANGVA))</t>
  </si>
  <si>
    <t>Ministry of Social Development and Human Security</t>
  </si>
  <si>
    <t>Banking and Financial Services</t>
  </si>
  <si>
    <t>Tonga/ตองกา</t>
  </si>
  <si>
    <t xml:space="preserve">ทุนศึกษา </t>
  </si>
  <si>
    <t xml:space="preserve">     -  ค่าสมาชิกองค์การระหว่างประเทศเพื่อการโยกย้ายถิ่นฐาน (International Organization for  Migration : IOM </t>
  </si>
  <si>
    <t xml:space="preserve">     -  สมาคมพัฒนาเมืองระหว่างประเทศ (International Urban Development  Association - INTA)</t>
  </si>
  <si>
    <t xml:space="preserve">     -  ศูนย์ประสานงานอาเซียนในการให้ความช่วยเหลือด้านมนุษยธรรม (AHA Centre)</t>
  </si>
  <si>
    <t xml:space="preserve">     กรมป้องกันและบรรเทาสาธารณภัย</t>
  </si>
  <si>
    <t xml:space="preserve">     -  ค่าบำรุงสมาชิกศูนย์ลดภัยพิบัติแห่งเอเซีย (Asian Disaster Reduction Center :  ADRC )</t>
  </si>
  <si>
    <t xml:space="preserve">     กรมโยธาธิการและผังเมือง</t>
  </si>
  <si>
    <t xml:space="preserve">     -  การให้ความร่วมมือจัดการดูงาน/และ/หรือการอบรมให้แก่คณะต่างประเทศ</t>
  </si>
  <si>
    <t>ฝึกอบรม 8 คน</t>
  </si>
  <si>
    <t xml:space="preserve">    - กองทุนร่วมสำหรับหมู่เกาะแปซิฟิก Trust Fund for the Pacific Island Countries (ESCAP)</t>
  </si>
  <si>
    <t xml:space="preserve">    - เงินอุดหนุนกองทุนกลางเพื่อรับสถานการณ์ฉุกเฉิน Central Emergency Response Fund (CERF)</t>
  </si>
  <si>
    <t xml:space="preserve">     -  เงินอุดหนุนศูนย์อาเซียน-สาธารณรัฐเกาหลี</t>
  </si>
  <si>
    <t xml:space="preserve">     -  เงินอุดหนุนศูนย์อาเซียน-จีน</t>
  </si>
  <si>
    <t xml:space="preserve">     -  เงินอุดหนุนสมาคมซีสแคป (CSCAP)</t>
  </si>
  <si>
    <t xml:space="preserve">     -  เงินอุดหนุนมูลมิธิอาเซียน</t>
  </si>
  <si>
    <t xml:space="preserve">     -  เงินอุดหนุนสำนักเลขาธิการอาเซียน</t>
  </si>
  <si>
    <t xml:space="preserve">        -  เงินอุดหนุน United Nations Development Program (UNDP)</t>
  </si>
  <si>
    <t>ทุนการศึกษา</t>
  </si>
  <si>
    <t xml:space="preserve">     -  ค่าสมาชิก ASEAN (HAPUA) HAPUA Secretary และ  ASEAN Power Grid Consultative Committee (APGCC)</t>
  </si>
  <si>
    <t xml:space="preserve">        - โครงการพัฒนาฝึมือแรงงานนานาชาติเพื่อการฬฒนาความร่วมมือทางเศรษฐกิจในอนุภาคลุ่มน้ำโขงและภูมิภาคเอเซียตะวันออกเฉียงใต้ (International Skill Development for Economic Cooperation Development in GMS and ASEAN Project)</t>
  </si>
  <si>
    <t xml:space="preserve">    - ค่าสมาชิกสหภาพกิจการวิทยุและโทรทัศน์แห่งเอเซียแปซิฟิก (Asia-Pacicfic Broadcasting Union : ABU)</t>
  </si>
  <si>
    <t xml:space="preserve">    - ค่าสมาชิกสมาคมอนุรักษ์สื่อโสตทัศน์แห่งภาคพื้นเอเซียตะวันออกเฉียงใต้และแปซิฟิก (South East Asia-Pacicfic Audio Visual Archive Association: SEAPAVAA)</t>
  </si>
  <si>
    <t xml:space="preserve">    -  เงินอุดหนุนการดำเนินงานของคณะกรรมาธิการแม่น้ำโขง (Mekong River Commission : MRC)</t>
  </si>
  <si>
    <t xml:space="preserve">    -  เงินอุดหนุนคณะอนุกรรมการสมุทรศาสตร์ระหว่างรัฐบาลประจำภูมิภาคแปซิฟิกตะวันออก (Intergoverment al Oceangraphic Commission: IOC) IOC/WESTPAC</t>
  </si>
  <si>
    <t xml:space="preserve">    -  เงินอุดหนุนกองทุน IOSEA Marine Turtle MoU/UNEP</t>
  </si>
  <si>
    <t xml:space="preserve">    -  เงินอุดหนุนกองทุน  Coodinating Body on the Seas of East Asia (COBSEA)</t>
  </si>
  <si>
    <t xml:space="preserve">        -  ค่าสมาชิกสภาการศึกษาผู้ใหญ่ระหว่างประเทศ (International Council for Adult Education : ICAE)</t>
  </si>
  <si>
    <t xml:space="preserve">        -  ค่าสมาชิกสมาคมการศึกษาพื้นฐานและการศึกษาผู้ใหญ่แห่งภาคพื้นเอเซียและแปซิกใต้ (Asia South Pacific Association for Basic and Adult Education :  ASPBAE)</t>
  </si>
  <si>
    <t>ฝึกอบรม 25 คน</t>
  </si>
  <si>
    <t xml:space="preserve">     - ค่าสมาชิกรายปี Committee on Space Research (COSPAR) </t>
  </si>
  <si>
    <t xml:space="preserve">     - ค่าสมาชิกรายปี (IAF  ประจำปี 2018</t>
  </si>
  <si>
    <t xml:space="preserve">      - CLMVT Bankers' Leadership Program</t>
  </si>
  <si>
    <t xml:space="preserve">    -  โครงการเสริมสร้างและยกระดับความร่วมมือกับประเทศเพื่อนบ้าน ในการยุติแหล่งผลิตและทำลายเครือข่ายการค้ายาเสพติดระหว่างประเทศ  (Letter of Agreement - LOA)                                                                 </t>
  </si>
  <si>
    <t xml:space="preserve">      - สนับสนุนกองทุนโครงการควบคุมยาเสพติดระหว่างประเทศ แห่งสหประชาชาติ   (United Nations International Drug Control - UNDCP) สำนักงานยาเสพติดและอาชญากรรมแห่งสหประชาชาติ (UNODC) </t>
  </si>
  <si>
    <t xml:space="preserve">    -  เงินอุดหนุนกองทุนแผนปฏิบัติการว่าด้วยความร่วมมือด้านยาเสพติดระหว่างอาเซียนและจีน (Asean and China Cooperative Operations in Response to Dangerous Drugs - ACCORD)   สำนักเลขาธิการอาเซียน                                                                    </t>
  </si>
  <si>
    <t xml:space="preserve">    -  เงินสมทบทุนกองทุนอนุกรรมการการจัดประชุมผู้บริหารงาน  ราชฑัณฑ์ ภาคพื้นเอเซียและแปซิฟิก (Asian and Pacific Conference of Correctional Administrators - APCCA)                                                                 </t>
  </si>
  <si>
    <t xml:space="preserve">        -  ค่าบำรุงการเป็นสมาชิกคณะกรรมาธิการระหว่างประเทศว่าด้วยมาตรฐานสาขาอิเล็กทรอเทคนิกส์ (International Electrotechnical Commission - IEC)</t>
  </si>
  <si>
    <t xml:space="preserve">        -  ค่าบำรุงสมาชิกระบบการตรวจสอบและรับรองบริภัณฑ์เทคนิคทางไฟฟ้าและชิ้นส่วนฯ (IEC System for Conforrmity Testing and Certification of Electrical Equipment - IECEE) </t>
  </si>
  <si>
    <t xml:space="preserve">        -  ค่าบำรุงสมาชิกองค์การระหว่างประเทศว่าด้วยการรับรองระบบงาน (International Accreditation Firum -IAF)</t>
  </si>
  <si>
    <t xml:space="preserve">        -  ค่าบำรุงสมาชิกองค์การภูมิภาคแปซิฟิกว่าด้วยการรับรองห้องปฏิบัติการ (Asia Pacific Laboratory Accrediitation Cooperation - APLAC)</t>
  </si>
  <si>
    <t xml:space="preserve">        -  ค่าบำรุงสมาชิกองค์การภูมิภาคแปซิฟิกว่าด้วยการรับรองระบบงาน (Pacific  Accreditation Cooperation - PAC)</t>
  </si>
  <si>
    <t xml:space="preserve">        -  ค่าบำรุงสหภาพไปรษณีย์แห่งเอเซียและแปซิฟิก (Asia-Pacific Postal  Union : APPU)</t>
  </si>
  <si>
    <t xml:space="preserve">      สนง. คกก.ดิจิทัลเพื่อเศรษฐกิจและสังคม</t>
  </si>
  <si>
    <t xml:space="preserve">      บริษัท ทีโอที จำกัด (มหาชน)</t>
  </si>
  <si>
    <t xml:space="preserve">     -     Contribution to the Fund for the Safeguarding of the Intangible Cultural Heritage - UNESCO</t>
  </si>
  <si>
    <t>ผชช./วัสดุอุปกรณ์</t>
  </si>
  <si>
    <t xml:space="preserve">       - โครงการ  Asia Pacific Observatory on Health Systems and Policies</t>
  </si>
  <si>
    <r>
      <t xml:space="preserve">     </t>
    </r>
    <r>
      <rPr>
        <b/>
        <sz val="14"/>
        <rFont val="Cordia New"/>
        <family val="2"/>
      </rPr>
      <t xml:space="preserve">  กรมการแพทย์แผนไทยและการแพทย์ทางเลือก</t>
    </r>
  </si>
  <si>
    <t xml:space="preserve"> training, study visit</t>
  </si>
  <si>
    <t>- Natural Resources &amp; Environment</t>
  </si>
  <si>
    <t>- Disaster Reduction</t>
  </si>
  <si>
    <t xml:space="preserve">    มหาวิทยาลัยแม่ฟ้าหลวง</t>
  </si>
  <si>
    <t>- Forestry Development</t>
  </si>
  <si>
    <t xml:space="preserve"> training, grant</t>
  </si>
  <si>
    <t>Beralus</t>
  </si>
  <si>
    <t>Serbia</t>
  </si>
  <si>
    <t>South แอฟริกา</t>
  </si>
  <si>
    <t>โซมาเลีย</t>
  </si>
  <si>
    <t xml:space="preserve"> concessionary loan/grant </t>
  </si>
  <si>
    <t xml:space="preserve">Ministry of Tourism and Sports  </t>
  </si>
  <si>
    <t xml:space="preserve"> ตามความ
สมัครใจ</t>
  </si>
  <si>
    <t>ตามความ
สมัครใจ</t>
  </si>
  <si>
    <t>- Sustainable Community Development</t>
  </si>
  <si>
    <t>กระทรวงการอุดมศึกษา วิทยาศาสตร์ วิจัยและนวัตกรรม</t>
  </si>
  <si>
    <t>Others</t>
  </si>
  <si>
    <t>contributions to International org.</t>
  </si>
  <si>
    <t xml:space="preserve"> fellowship, training, study visit</t>
  </si>
  <si>
    <t xml:space="preserve"> contributions to International org.</t>
  </si>
  <si>
    <t>training</t>
  </si>
  <si>
    <t xml:space="preserve"> training/meeting</t>
  </si>
  <si>
    <t>training/meeting</t>
  </si>
  <si>
    <t xml:space="preserve">    -  Contribution to UN Regional Center for Peace and Disarmament in Asia and the Pacific (UNRCPD)</t>
  </si>
  <si>
    <t xml:space="preserve">    -  Contribution to United Nations Children's Found (UNICEF)</t>
  </si>
  <si>
    <t xml:space="preserve">    -  Contribution to UN Capital Development Fund (UNCDF)</t>
  </si>
  <si>
    <t xml:space="preserve">  -  โครงการสำนักงานข้าหลวงใหญ่สิทธิมนุษยชนแห่งสหประชาชาติ (OHCHR)</t>
  </si>
  <si>
    <t xml:space="preserve">    -  Contribution to UN Relief and Works Agency for Palestine Refugees in the Near East (UNRWA)</t>
  </si>
  <si>
    <t xml:space="preserve">    - ค่าสมาชิกสถาบันพัฒนากิจการวิทยุ-โทรทัศน์แห่งเอเซียแปซิฟิก (Asia-Pacific institute for Broadcasting Development : AIBD)</t>
  </si>
  <si>
    <t xml:space="preserve">        -  เงินอุดหนุนทุนการศึกษาไทย - อเมริกัน Thailand - 
US Educational Foundation (TUSEF)</t>
  </si>
  <si>
    <t>ลักษณะ
ความร่วมมือ</t>
  </si>
  <si>
    <t>ทุนศึกษา ฝึกอบรม ผชช. 
โครงการ วัสดุอุปกรณ์ อื่นๆ</t>
  </si>
  <si>
    <t xml:space="preserve">        -  เงินสนับสนุนระบบผู้ประสานงานสหประชาชาติแบบใหม่           UN development system reform (UNRC)</t>
  </si>
  <si>
    <t xml:space="preserve">     -  เงินอุดหนุนคณะกรรมาธิการระหว่างรัฐบาลอาเซียนว่าด้วยสิทธิมนุษยชน (ASEAN Intergoverment Commission 
on Human Rights)</t>
  </si>
  <si>
    <t xml:space="preserve"> January - December 2019</t>
  </si>
  <si>
    <t>มกราคม - ธันวาคม 2562</t>
  </si>
  <si>
    <t>มกราคม - ธันวาคม  2562</t>
  </si>
  <si>
    <t xml:space="preserve"> -   โครงการก่อสร้างถนนจากเมืองหงสา-บ้านเชียงแมน (เมืองจอมเพชร 
แขวงหลวงพระบาง) (เมืองแบ่ง เมืองคอบ เมืองห้วยทราย เมืองไชยบุรี
และเมืองโขง (เงินให้เปล่ามูลค่า 395.4 ล้านบาท  และ
เงินให้กู้ 1,581.6 ล้านบาท)</t>
  </si>
  <si>
    <t xml:space="preserve"> -  งานศึกษาความเป็นไปได้และออกแบบรายละเอียดโครงการปรับปรุงถนนหมายเลข 67 (NR67) ช่วงเสียมราฐ-อันลองเวง-จวม/สะงำ ราชอาณาจักรกัมพูชา</t>
  </si>
  <si>
    <t xml:space="preserve"> -   งานสำรวจและออกแบบรายละเอียด โครงการปรับปรุงถนนสองช่องทางเชื่อมพื้นที่เขตเศรษฐกิจพิเศษทวายสู่ชายแดนไทย-เมียนมา</t>
  </si>
  <si>
    <t>ทุนฝึกอบรม 16 คน</t>
  </si>
  <si>
    <t xml:space="preserve"> -   โครงการฝึกอบรม หลักสูตร Project  Management for Road, Expressway and Bridge Construction</t>
  </si>
  <si>
    <t xml:space="preserve">        -  โครงการพัฒนาการจัดการอาชีวศึกษาในโครงการพระราชทานความช่วยเหลือแก่ สถาบันเทคโนโลยีกำปงสปือ ราชอาณาจักรกัมพูชา</t>
  </si>
  <si>
    <t xml:space="preserve">        -  Project on Development  and Improvement of CLCs</t>
  </si>
  <si>
    <t>ศึกษาดูงาน 16 คน</t>
  </si>
  <si>
    <t>GMS MIT-GT</t>
  </si>
  <si>
    <t>พัฒนาทรัพยากรมนุษย์</t>
  </si>
  <si>
    <t xml:space="preserve">        -  เงินอุดหนุนสถาบันความร่วมมือเพื่อพัฒนาเศรษฐกิจลุ่มน้ำโขง</t>
  </si>
  <si>
    <t xml:space="preserve">     -  เงินอุดหนุนสำนักเลขาธิการถาวรของศูนย์ ARMAC</t>
  </si>
  <si>
    <t xml:space="preserve">     -  เงินอุดหนุนสถาบันอาเซียนว่าด้วยสันติภาพและความสมานฉันท์</t>
  </si>
  <si>
    <t xml:space="preserve">      - Banking Supervision and Financial Stability Assessment</t>
  </si>
  <si>
    <t>Study Visit  12</t>
  </si>
  <si>
    <t>Study Visit  35</t>
  </si>
  <si>
    <t xml:space="preserve">      - Study Visit on Blockchain Technology and Retail Payment Systems</t>
  </si>
  <si>
    <t xml:space="preserve">      กรมเอเซียตะวันออกฯ</t>
  </si>
  <si>
    <t xml:space="preserve">     -  โครงการพัฒนาด่านพรมแดน (Border Control Facilities - BCFs) ฝั่ง มม. ณ สะพานมิตรภาพไทย - เมียนมา ข้ามแม่น้ำเมย แห่งที่ 2</t>
  </si>
  <si>
    <t xml:space="preserve">     -  โครงการก่อสร้างอาคารเรียนหลังใหม่ของโรงเรียนประถมสมบูรณ์แขวงไชยะบุรี</t>
  </si>
  <si>
    <t>Study Visit 3</t>
  </si>
  <si>
    <t xml:space="preserve">      - Study Visit on Banking Supervision College</t>
  </si>
  <si>
    <t>Study Visit 4</t>
  </si>
  <si>
    <t>Study Visit 5</t>
  </si>
  <si>
    <t>Study Visit 6</t>
  </si>
  <si>
    <t>Study Visit 2</t>
  </si>
  <si>
    <t xml:space="preserve">      -  Onsite and Offsite Payment Supervision Secondment and Wrap-up Workshop</t>
  </si>
  <si>
    <t xml:space="preserve">      - </t>
  </si>
  <si>
    <t xml:space="preserve">      - Sharing Experience on Leadership and Communication Workshop</t>
  </si>
  <si>
    <t>Study Visit 10</t>
  </si>
  <si>
    <t>Study Visit 30</t>
  </si>
  <si>
    <t xml:space="preserve">      - Study Vistit on the Developments of Interoperable QR Code for Payments </t>
  </si>
  <si>
    <t xml:space="preserve">      - QR Payment Workshop </t>
  </si>
  <si>
    <t xml:space="preserve">      - FX Managenet Lecture</t>
  </si>
  <si>
    <t>Study Visit 40-50</t>
  </si>
  <si>
    <t xml:space="preserve">      - Consolidated Supervision Workshop</t>
  </si>
  <si>
    <t xml:space="preserve">      - Scholarship students (BOL)</t>
  </si>
  <si>
    <t>Study Visit 1</t>
  </si>
  <si>
    <t xml:space="preserve">      - Study Visit on Implementing Onflation Targeting Framework</t>
  </si>
  <si>
    <t xml:space="preserve">      - National Bank of Jazakhstan Study Visit at the Bank of Thailand </t>
  </si>
  <si>
    <t xml:space="preserve">      - Central Bank Communication Strategy Lecture</t>
  </si>
  <si>
    <t xml:space="preserve">    -  Contribution to UNICEF Thailand</t>
  </si>
  <si>
    <t xml:space="preserve">    - Contribution to United Nations Volunyeers - UNV</t>
  </si>
  <si>
    <t xml:space="preserve">    - Contribution to United Nations Human Settlements Programme UN-Habiltal</t>
  </si>
  <si>
    <t xml:space="preserve">    - ค่าสมาชิกสำนักเลขาธิการอาเซียน</t>
  </si>
  <si>
    <t xml:space="preserve">     กรมการค้าระหว่างประเทศ</t>
  </si>
  <si>
    <t xml:space="preserve">    - ผู้แทนด้านทรัพย์สินทางปัญญาแห่งเมียนมาขอพบหารือ และเยี่ยมชมการดำเนินงานของกรมทรัพย์สินทางปัญญา</t>
  </si>
  <si>
    <t xml:space="preserve">        -  ค่าบำรุงวิทยาลัยการไปรษณีย์แห่งเอเชียและแปซิฟิก (Asia-Pacific Postal College: APPC)</t>
  </si>
  <si>
    <t xml:space="preserve">        -  ค่าบำรุงสมาชิก  APP Cooperative  (Asia Pacific Post Cooperative)</t>
  </si>
  <si>
    <t xml:space="preserve">        -  ค่าบำรุง Forum of Incident Response and Security Teams (FIRST) </t>
  </si>
  <si>
    <t xml:space="preserve">        -  ค่าบำรุง Trusted Introducer</t>
  </si>
  <si>
    <t xml:space="preserve">        -  ค่าบำรุง Asia Pacific Network Information Centre (APKIC)</t>
  </si>
  <si>
    <t xml:space="preserve">        -  ค่าบำรุง Asia PKI Consortium (APKiC)</t>
  </si>
  <si>
    <t xml:space="preserve">        -  ค่าบำรุง FIDO Allance</t>
  </si>
  <si>
    <t xml:space="preserve">      บริษัท กสท โทรคมนาคม จำกัด</t>
  </si>
  <si>
    <t xml:space="preserve">        -  ค่าบำรุง  Asia Pacific Telecommunity (APT)</t>
  </si>
  <si>
    <t xml:space="preserve">        -  โครงการอบรมหลักสูตรผู้นำการส่งเสริมเศรษฐกิจดิจิทัล (Digital CEO)</t>
  </si>
  <si>
    <t>ฝึกอบรม 3 คน</t>
  </si>
  <si>
    <t xml:space="preserve">     -  โครงการการฝึกซ้อมแผนเผชิญเหตุระดับภูมิภาคเอเซีย - แปซิฟิก  พ.ศ.2562</t>
  </si>
  <si>
    <t>ผชช. ฝึกอบรม วัสดุอุปกรณ์</t>
  </si>
  <si>
    <t>ฝึกอบรม 110 คน</t>
  </si>
  <si>
    <t xml:space="preserve">    - ค่าใช้จ่ายสมาคมเรือนจำและการราชทัณฑ์  ระหว่างประเทศ 
(Internation Corrections and Pirsons Association : ICPA)                                                             </t>
  </si>
  <si>
    <t xml:space="preserve">     กรมพัฒนาสังคมและสวัสดิการ</t>
  </si>
  <si>
    <t xml:space="preserve">     -     โครงการอบรมการจัดทำร่างหลักสูตรการคุ้มครองทางสังคม 
(Introductory Training Workshop TRANSFORM leadership and Transfomation Learning Package on Social Protection in ASEAN</t>
  </si>
  <si>
    <t>ฝึกอบรม 60 คน</t>
  </si>
  <si>
    <t xml:space="preserve">     กรมส่งเสริมและพัฒนาคุณภาพชีวิตคนพิการ</t>
  </si>
  <si>
    <t xml:space="preserve">     -     มูลนิธิศูนย์พัฒนาและฝึกอบรมแห่งเอเซียและแปซิฟิก  (Asia-Pacific Development Center on Disability : APCD)</t>
  </si>
  <si>
    <t xml:space="preserve">     กรมกิจการสตรีและสถาบันครอบครัว</t>
  </si>
  <si>
    <t xml:space="preserve">     -     การสัมมนาเชิงปฏิบัติการระดับอาเซียน เรื่อง การพัฒนาที่อยู่อาศัยสำหรับผู้สูงอายุในอาเซียน</t>
  </si>
  <si>
    <t>สัมมนา</t>
  </si>
  <si>
    <t xml:space="preserve">     - เงินสนับสนุนทบวงการพลังงานระหว่างประเทศ (IEA)</t>
  </si>
  <si>
    <t xml:space="preserve">     -  World Petroleum Council (WPC)</t>
  </si>
  <si>
    <t xml:space="preserve">     -   ค่าธรรมเนียมสมาชิก  ASEAN Council on Petroleum (ASCOPE)</t>
  </si>
  <si>
    <t xml:space="preserve">     กรมพัฒนาพลังงานทดแทนและอนุรักษ์พลังงาน</t>
  </si>
  <si>
    <t xml:space="preserve">     -  โครงการการเพิ่มประสิทธิภาพการดำเนินความร่วมมือกับต่างประเทศ ประจำปีงบประมาณ 2562</t>
  </si>
  <si>
    <t>ASEAN BIMSTEC</t>
  </si>
  <si>
    <t xml:space="preserve">     -  โครงการส่งเสริมความร่วมมือด้านพลังงานทดแทนและอนุรักษ์พลังงานในระดับภมิภาคและภูมิภาค</t>
  </si>
  <si>
    <t>ประชุมเชิงปฏิบัติการ</t>
  </si>
  <si>
    <t xml:space="preserve">     -  ค่าบำรุงสมาชิกองค์การซีเกร (International Council on Large Electric Systems : CIGRE)</t>
  </si>
  <si>
    <t xml:space="preserve">     -  ค่าบำรุงสมาชิกเข้ากองทุน (International Energy Agency Photovoltaic Power Systems Programme (IEAPVPS)) ประจำปี 2519</t>
  </si>
  <si>
    <t xml:space="preserve">     -  ค่าสมาชิกสภาการจดหมายเหตุระหว่างประเทศ (International Council on Archives : ICA)</t>
  </si>
  <si>
    <t xml:space="preserve">     -  ค่าสมาชิกสภาการจดหมายเหตุสากลประจำภาคพื้นเอเซียตะวันออกเฉียงใต้  ( Southeast  Asia Regional Branch International Council on 
Archives : SARBICA)</t>
  </si>
  <si>
    <t xml:space="preserve">     กรมเจ้าท่า</t>
  </si>
  <si>
    <t xml:space="preserve">     -  ค่าบำรุงสมาชิกองค์การทางทะเลระหว่างประเทศ ( IMO )</t>
  </si>
  <si>
    <t>- หลากสาขา</t>
  </si>
  <si>
    <t xml:space="preserve">     -  ค่าบำรุงสมาชิกบันทึกความเข้าใจโตเกียวว่าด้วยการตรวจควบคุมเรือในเมืองท่า ( Tokyo  MOU )</t>
  </si>
  <si>
    <t xml:space="preserve">     กรมส่งเสริมวัฒนธรรม</t>
  </si>
  <si>
    <t xml:space="preserve">     กรมควบคุมโรค</t>
  </si>
  <si>
    <t xml:space="preserve">       - ประชุมราชการเพื่อพัฒนาศักยภาพบุคลากรของด่านควบคุมโรคติดต่อระหว่างประเทศและหน่วยบริการสุขภาพที่ติดอำเภอชายแดนของประเทศไทยและสปป.ลาว</t>
  </si>
  <si>
    <t xml:space="preserve">     สถาบันพระบรมราชชนก</t>
  </si>
  <si>
    <t xml:space="preserve">       - โครงการพระราชทานความช่วยเหลือแก่ราชอาณาจักรกัมพูชา ตามพระราชดำริสมเด็จพระกนิษฐาธิราชเจ้า กรมสมเด็จพระเทพรัตนราชสุดาฯ สยามบรมราชกุมารี</t>
  </si>
  <si>
    <t xml:space="preserve">       - Training on Identification, Conservation, Cultivation and Processing of Medicinal Plants in the communities </t>
  </si>
  <si>
    <t>ฝึกอบรม  10 คน</t>
  </si>
  <si>
    <t xml:space="preserve">       - Partners in Population and Development (PPD)</t>
  </si>
  <si>
    <t xml:space="preserve">       - The Preventive  Medicine and Pubilc Health</t>
  </si>
  <si>
    <t>ฝึกอบรม  11 คน</t>
  </si>
  <si>
    <t xml:space="preserve">GMS </t>
  </si>
  <si>
    <t>ทุนศึกษา 17 ทุนผชช. 2 คน</t>
  </si>
  <si>
    <t xml:space="preserve">   - ทุนการศึกษา</t>
  </si>
  <si>
    <t xml:space="preserve">   - Royal Scholarship under Her Royal Highness Princess  Maha Chakri Sirindhorn Education Project to Kingdom of Cambodia</t>
  </si>
  <si>
    <t xml:space="preserve">   - The Faculty of Pharmaceutical Sciences, KKU Scholarship for International Graduate</t>
  </si>
  <si>
    <t xml:space="preserve">   - The Faculty of Pharmaceutical Sciences, KKU Scholarship for dissertation, Thesis Independent Study for Graduate</t>
  </si>
  <si>
    <t xml:space="preserve">   - The 6th The Greater Mekong Sub-Region Internation Conferrence 2019</t>
  </si>
  <si>
    <t>การประชุม</t>
  </si>
  <si>
    <t xml:space="preserve">    จุฬาลงกรณ์มหาวิทยาลัย</t>
  </si>
  <si>
    <t xml:space="preserve">   - ค่าสมาชิกองค์การต่างประเทศ   ASAIHL</t>
  </si>
  <si>
    <t xml:space="preserve">   - ค่าสมาชิกองค์การต่างประเทศ ASEA-UNINET</t>
  </si>
  <si>
    <t xml:space="preserve">   - ค่าสมาชิกองค์การต่างประเทศ SATU</t>
  </si>
  <si>
    <t xml:space="preserve">   - ค่าสมาชิกองค์การต่างประเทศ AC21</t>
  </si>
  <si>
    <t xml:space="preserve">   - ค่าสมาชิกองค์การต่างประเทศ IAU</t>
  </si>
  <si>
    <t xml:space="preserve">   - ค่าสมาชิกองค์การต่างประเทศ AUA</t>
  </si>
  <si>
    <t xml:space="preserve">   - ค่าสมาชิกองค์การต่างประเทศ   APRU</t>
  </si>
  <si>
    <t>contribution</t>
  </si>
  <si>
    <t xml:space="preserve">   -  MFU schlolarship</t>
  </si>
  <si>
    <t xml:space="preserve">   -  โครงการพัฒนาศักยภาพบุคลากรด้านงานต่างประเทศ แขวงอุดมไชย สปป.ลาว</t>
  </si>
  <si>
    <t>บริหารจัดการทรัพยากรมนุษย์</t>
  </si>
  <si>
    <t xml:space="preserve">   - ค่าสมาชิกองค์การต่างประเทศ ASAIHL</t>
  </si>
  <si>
    <t>ทุนศึกษา 62 ทุน</t>
  </si>
  <si>
    <t xml:space="preserve">   - การจัดประชุมวิชาการนานาชาติ iCOMOS</t>
  </si>
  <si>
    <t>วิทยาศาสตร์สุขภาพ</t>
  </si>
  <si>
    <t>ฝึกอบรม 120 คน</t>
  </si>
  <si>
    <t>ฝึกอบรม 10 คน</t>
  </si>
  <si>
    <t xml:space="preserve">   - CMU Presidential Scholarship</t>
  </si>
  <si>
    <t xml:space="preserve">        Veterinary Science</t>
  </si>
  <si>
    <t xml:space="preserve"> Entomology</t>
  </si>
  <si>
    <t>Plant Pathology</t>
  </si>
  <si>
    <t>Medical Technology</t>
  </si>
  <si>
    <t xml:space="preserve"> Environmental Science</t>
  </si>
  <si>
    <t xml:space="preserve"> Biomedical Science</t>
  </si>
  <si>
    <t>Nursing</t>
  </si>
  <si>
    <t>Entomology</t>
  </si>
  <si>
    <t xml:space="preserve"> Applied Microbiology</t>
  </si>
  <si>
    <t>Machanical Engineering</t>
  </si>
  <si>
    <t>Social Science</t>
  </si>
  <si>
    <t>ทุนวิจัย 3 ทุน</t>
  </si>
  <si>
    <t>Public Health</t>
  </si>
  <si>
    <t>Biotechnology</t>
  </si>
  <si>
    <t>กฎหมาย</t>
  </si>
  <si>
    <t xml:space="preserve">ทุนศึกษาป.โท 14 ป.เอก 9 ทุน </t>
  </si>
  <si>
    <t>หนังสือ วัสดุอุปกรณ์</t>
  </si>
  <si>
    <t>ทุนศึกษา 66 ทุน</t>
  </si>
  <si>
    <t>ทุนศึกษา 36 ทุน</t>
  </si>
  <si>
    <t>ทุนศึกษา 33 ทุน</t>
  </si>
  <si>
    <t xml:space="preserve">    มหาวิทยาลัยบูรพา</t>
  </si>
  <si>
    <t xml:space="preserve">   - โครงการบูรณาการสหสาขาวิชาชีพภายใต้ความร่วมมือกับสถาบันต่างประเทศ</t>
  </si>
  <si>
    <t xml:space="preserve">   - กองทุนสมเด็จพระเทพรัตนราชสุดาฯ สยามบรมราชกุมารี</t>
  </si>
  <si>
    <t>แพทยศาสตร์</t>
  </si>
  <si>
    <t>วิศวกรรมโยธา</t>
  </si>
  <si>
    <t>วิศวกรรมไฟฟ้า</t>
  </si>
  <si>
    <t>การศึกษาปฐมวัย</t>
  </si>
  <si>
    <t>วิทยาศาสตร์การกีฬา</t>
  </si>
  <si>
    <t>จิตวิทยา</t>
  </si>
  <si>
    <t>ภูมิสารสนเทศ</t>
  </si>
  <si>
    <t>การจัดการโรงแรม</t>
  </si>
  <si>
    <t>การจัดการท่องเที่ยว</t>
  </si>
  <si>
    <t>สื่อนมิต</t>
  </si>
  <si>
    <t>พยาบาลศาสตร์</t>
  </si>
  <si>
    <t>พัฒนาผลิตภัณฑ์อาหาร</t>
  </si>
  <si>
    <t>ประมง</t>
  </si>
  <si>
    <t>สาธารณสุขศาสตร์</t>
  </si>
  <si>
    <t>อาชีวอนามัยและความปลอดภัย</t>
  </si>
  <si>
    <t>โภชนศาสตร์ การกำหนดอาหาร</t>
  </si>
  <si>
    <t>เคมี</t>
  </si>
  <si>
    <t>ทุนศึกษา 12 ทุน</t>
  </si>
  <si>
    <t>International Business</t>
  </si>
  <si>
    <t xml:space="preserve">    มหาวิทยาลัยศิลปากร</t>
  </si>
  <si>
    <t>ทุนป.โท 1 คน</t>
  </si>
  <si>
    <t>พัฒนศึกษา</t>
  </si>
  <si>
    <t>คณิตศาสตร์</t>
  </si>
  <si>
    <t>วิศวกรรมอิเล็กทรอนิกส์</t>
  </si>
  <si>
    <t>ทุนป.โท 2 คน</t>
  </si>
  <si>
    <t>วิทยาศาสตร์</t>
  </si>
  <si>
    <t xml:space="preserve">     -  โครงการฝึกอบรมให้แก่บุคลากรด้านพาณิชยนาวีของสาธารณรัฐวานูอาตู</t>
  </si>
  <si>
    <t>- โลจิติกส์</t>
  </si>
  <si>
    <t xml:space="preserve">ทุนป.ตรี 77 คน </t>
  </si>
  <si>
    <t>มหาวิทยาลัยเทคโนโลยีพระจอมเกล้าธนบุรี</t>
  </si>
  <si>
    <t>พลังงานสิ่งแวดล้อม</t>
  </si>
  <si>
    <t>สถาปัตยกรรมศาสตร์และการออกแบบ</t>
  </si>
  <si>
    <t>เทคโนโลยีชีวเคมี</t>
  </si>
  <si>
    <t>ทุนศึกษา 9 คน</t>
  </si>
  <si>
    <t>ทุนป.ตรี 11 คน ป.โท 4 คน</t>
  </si>
  <si>
    <t>พลังงานและสิ่งแวดล้อม</t>
  </si>
  <si>
    <t>ทุนป.โท 6 คน ป.เอก 1 คน</t>
  </si>
  <si>
    <t>Global Warming</t>
  </si>
  <si>
    <t>ค่าเจ้าหน้าที่ ค่าสถานที่</t>
  </si>
  <si>
    <t xml:space="preserve"> - ทุนการศึกษา KMUTT International Scholarships Program (KISP)</t>
  </si>
  <si>
    <t>ทุนป.ตรี 11 คน ป.โท 18 คน</t>
  </si>
  <si>
    <t>ทุนป.ตรี 9 คน ป.โท 11 คน</t>
  </si>
  <si>
    <t xml:space="preserve">      กรมเอเซียใต้ ตะวันออกกลางและแอฟริกา</t>
  </si>
  <si>
    <t xml:space="preserve">    -  การมอบเงินช่วยเหลือเหตุอุทกภัยที่อิหร่าน</t>
  </si>
  <si>
    <t>ภัยพิบัติ</t>
  </si>
  <si>
    <t xml:space="preserve">    - โครงการโรงเรียนพระราชทานความช่วยเหลือแก่ราชอาณาจักรกัมพูชา       ด้านการศึกษา ณ สถาบันเทคโนโลยีกำปงเฌอเตียล อำเภอปราสาทซ็อมโบว์ จังหวัดกำปงธม และสถาบันเทคโนโลยีกำปงสปือ ตำบลออมเรียง อำเภอกะปง จังหวัดกำปงสปือ ราชอาณาจักรกัมพูชา</t>
  </si>
  <si>
    <t xml:space="preserve">      องค์การสวนสัตว์ในพระบรมราชูปถัมภ์</t>
  </si>
  <si>
    <t xml:space="preserve">    - Natural Resources &amp; Environment</t>
  </si>
  <si>
    <t xml:space="preserve">     - The Second Asia Regional Knowledge Partnership Workshop on Maritime Technical Cooperation Activities</t>
  </si>
  <si>
    <t>ITCP</t>
  </si>
  <si>
    <t xml:space="preserve">     -  การก่อสร้างสะพานข้ามพรมแดนแห่งใหม่ที่บ้านหนองเอี่ยน 
อำเภออรัญประเทศ จังหวัดสระแก้ว - สตึงบท เมืองปอยเปต 
จังหวัดบันเตียเมียนเจย</t>
  </si>
  <si>
    <t xml:space="preserve">     -  การก่อสร้างสะพานมิตรภาพไทย - เมียนมา ข้ามแม่น้ำเมย แห่งที่ 2
(บ้านวังตะเคียนใต้ อำเภอแม่สอด จังหวัดตาก และฝั่งเมียนมาเมืองเมียวดี จังหวัดเมียวดี รัฐกะเหรี่ยง</t>
  </si>
  <si>
    <t xml:space="preserve"> -   โครงการพัฒนาเส้นทางหมายเลข 11 (R11) ช่วงครกข้าวดอ-บ้านโนนสะหวัน-สานะคาม-บ้านวัง-บ้านน้ำสัง</t>
  </si>
  <si>
    <t xml:space="preserve">     -  ค่าบำรุงสมาชิกสมาคมนำร่องสากล  (IMPA )</t>
  </si>
  <si>
    <t xml:space="preserve">     -  Regional Workshop on "Ratification and Effective Implementation of  MARPOL  Annex VI and IMO Data Collection for Fuel Consumption"</t>
  </si>
  <si>
    <t xml:space="preserve">     -  Regional Workshop - "United Nations Development Assitance Framework: A Process to mainstream the maritime sector: UNDAF""</t>
  </si>
  <si>
    <t xml:space="preserve">    - โครงการความร่วมมือกรมทรัพยากรน้ำบาดาลและกรมทรัพยากรน้ำ สปป.ลาว ด้านการพัฒนาบุคลากรในการบริหารจัดการน้ำบาดาลให้แก่เจ้าหน้าที่ สปป.ลาว ณ แขวงะหวันเขต</t>
  </si>
  <si>
    <t xml:space="preserve">       กรมทรัพยากรธรณี</t>
  </si>
  <si>
    <t xml:space="preserve">    - เงินอุดหนุนเงินสมทบเพื่อดำเนินงานของคณะกรรมการประสานงานเกี่ยวกับสำรวจทรัพยากรธรณีในภูมิภาคเอเซียตะวันออกและตะวันออกเฉียงใต้ (CCOP)</t>
  </si>
  <si>
    <t xml:space="preserve"> ธรณีศาสตร์</t>
  </si>
  <si>
    <t xml:space="preserve">    - เงินบำรุงสมาชิกองค์การแผนที่ธรณีวิทยาโลก (CGMW)</t>
  </si>
  <si>
    <t xml:space="preserve">    - เงินบำรุงสมาชิกสมาคมธรณีวิทยาสากล  (IUGS)</t>
  </si>
  <si>
    <t xml:space="preserve">    - ค่าบำรุงองค์กรพื้นดินท้องทะเลระหว่างประเทศ (ISA)</t>
  </si>
  <si>
    <t xml:space="preserve"> ธรณีวิทยาทางทะเล</t>
  </si>
  <si>
    <t xml:space="preserve">    - ค่าบำรุงสถาบันพิพิธภัณฑ์ระหว่างประเทศ (ICOM)</t>
  </si>
  <si>
    <t xml:space="preserve">    - Acid Deposition Monitoring Network in East  Asia (EANET) </t>
  </si>
  <si>
    <t xml:space="preserve">    - Acid Deposition Monitoring Network in East  Asia (EANET) ในส่วนของ Secretariat ภายใต้การดำเนินโครงการ EANEt</t>
  </si>
  <si>
    <t xml:space="preserve">      กรมป่าม้</t>
  </si>
  <si>
    <t xml:space="preserve">    - ค่าบำรุงสมาชิกองค์การไม้เขตร้อนระหว่างประเทศ ITTO : International Tropical Timber Organization</t>
  </si>
  <si>
    <t xml:space="preserve">    - ค่าบำรุงสมาชิกองค์การความร่วมมือด้านไม้ไผ่และหวายระหว่างประเทศ INBAN : International Network for Bamboo and Pattan</t>
  </si>
  <si>
    <t>ทุนป.โท 5 คน</t>
  </si>
  <si>
    <t xml:space="preserve"> - The Association of Southeast Asian Institutions of Higther Learning (ASAIHL)</t>
  </si>
  <si>
    <t xml:space="preserve"> - The Institute of International Education (IEE Network)</t>
  </si>
  <si>
    <t xml:space="preserve"> - The ASEAN European Acdemic University Network (ASEA-UNINET)</t>
  </si>
  <si>
    <t>Muti fields</t>
  </si>
  <si>
    <t xml:space="preserve"> - World Technology Universities Network (WTUN)</t>
  </si>
  <si>
    <t xml:space="preserve"> - Asia Technology Universities Network  (ATU-Net)</t>
  </si>
  <si>
    <t>ศิลปศาสตร์</t>
  </si>
  <si>
    <t>บริหารธุรกิจระหว่างประทศ</t>
  </si>
  <si>
    <t>ทุนศึกษา 11 ราย</t>
  </si>
  <si>
    <t xml:space="preserve">ทุนป.ตรี ป.โท </t>
  </si>
  <si>
    <t xml:space="preserve">ทุนป.ตรี 40 ราย </t>
  </si>
  <si>
    <t>ทุนศึกษา 36 ราย</t>
  </si>
  <si>
    <t>นิเทศศาสตร์</t>
  </si>
  <si>
    <t>การท่องเที่ยวและการโรงแรม</t>
  </si>
  <si>
    <t>ธุรกิจระหว่างประเทศ</t>
  </si>
  <si>
    <t>ภาษาอังกฤษ</t>
  </si>
  <si>
    <t>ชีววิทยา</t>
  </si>
  <si>
    <t>วิทยาศาสตร์และเทคโนโลยีการอาหาร</t>
  </si>
  <si>
    <t>พลังงานและสิ่งแวดล้อมชุมชน</t>
  </si>
  <si>
    <t>ภาษาอังกฤษศึกษา</t>
  </si>
  <si>
    <t>ทุนป.ตรี 3 คน</t>
  </si>
  <si>
    <t>ทุนป.ตรี 1 คน</t>
  </si>
  <si>
    <t>ทุนป.ตรี 6 คน</t>
  </si>
  <si>
    <t>ทุนป.เอก 2 คน</t>
  </si>
  <si>
    <t>สาธารณสุขและวิทยาศาสตร์</t>
  </si>
  <si>
    <t>ทุนป.ตรี 2 คน</t>
  </si>
  <si>
    <t>การจัดการ</t>
  </si>
  <si>
    <t>ทุนศึกษา 1 คน</t>
  </si>
  <si>
    <t>ทุนศึกษา 5 คน</t>
  </si>
  <si>
    <t>ทุนศึกษา 7 คน</t>
  </si>
  <si>
    <t>ฝึกอบรม 6 คน</t>
  </si>
  <si>
    <t>ทุนป.ตรี 3 ทุน</t>
  </si>
  <si>
    <t>ภาษาอาหรับ</t>
  </si>
  <si>
    <t>ทุนป.โท 3 ทุน</t>
  </si>
  <si>
    <t>วิศวกรรมอุตสาหกรรม วิศวกรรมโยธา วิศวยานยนต์</t>
  </si>
  <si>
    <t>ค่าเบี้ยเลี้ยง 1 คน</t>
  </si>
  <si>
    <t>อุตสาหกรรม</t>
  </si>
  <si>
    <t>การจัดการธุรกิจอาหาร</t>
  </si>
  <si>
    <t xml:space="preserve">     " -----------------------------------------------------------------------"</t>
  </si>
  <si>
    <t>เทคโนโลยีไฟฟ้าและอิเล็กทรอนิกส์</t>
  </si>
  <si>
    <t>ทุนป.ตรี 5 ทุน</t>
  </si>
  <si>
    <t>ทุนป.ตรี 1 ทุน</t>
  </si>
  <si>
    <t>วิศวกรรมคอมพิวเตอร์</t>
  </si>
  <si>
    <t>ทุนป.ตรี 4 ทุน</t>
  </si>
  <si>
    <t>วิศวกรรมศาสตร์</t>
  </si>
  <si>
    <t>บริหารธุรกิจ</t>
  </si>
  <si>
    <t>นิติศาสตร์</t>
  </si>
  <si>
    <t>เศรษฐศาสร์</t>
  </si>
  <si>
    <t>ทุนป.ตรี 30 ทุน</t>
  </si>
  <si>
    <t>ทุนป.ตรี ป.โท 12 ทุน</t>
  </si>
  <si>
    <t>ทุนป.ตรี 11 ทุน</t>
  </si>
  <si>
    <t>ทุนป.ตรี 8 ทุน</t>
  </si>
  <si>
    <t>ทุนป.ตรี 5  ป.โท 17 ทุน</t>
  </si>
  <si>
    <t>ทุนป.ตรี 6 ทุน</t>
  </si>
  <si>
    <t>วิจัย</t>
  </si>
  <si>
    <t>บรรจุภัณฑ์</t>
  </si>
  <si>
    <t>สังคมศาสตร์</t>
  </si>
  <si>
    <t>เทคโนโลยีชีวภาพ</t>
  </si>
  <si>
    <t>ทุนนักวิจัย</t>
  </si>
  <si>
    <t>Electronics and Computer Technology</t>
  </si>
  <si>
    <t>เทคโนโลยีอวกาศ</t>
  </si>
  <si>
    <t>การฝึกอบรม</t>
  </si>
  <si>
    <t>ให้บริการข้อมูล</t>
  </si>
  <si>
    <t xml:space="preserve">   -  โครงการทูลเกล้าฯ ถวายทุนพระราชทานในโครงการพระราชทานความช่วยเหลือแก่ราชอาณาจักรกัมพูชา ตามพระราชดำริสมเด็จพระกนิษฐาธิราชเจ้า กรมสมเด็จพระเทพรัตนราชสุดาฯ สยามบรมราชกุมารี ปี 2562</t>
  </si>
  <si>
    <t>ทุนศึกษาป.ตรี 1 ป.โท 1 ทุน</t>
  </si>
  <si>
    <t>เงินให้เปล่า / ความร่วมมือทางวิชาการ/เงินกู้</t>
  </si>
  <si>
    <t>พาณิชยศาสตร์และการบัญชี</t>
  </si>
  <si>
    <t>ทุนป.ตรี 13 ทุน</t>
  </si>
  <si>
    <t>รัฐศาสตร์</t>
  </si>
  <si>
    <t>ทุนป.ตรี  4 ทุน</t>
  </si>
  <si>
    <t>ทุนป.ตรี  6 ทุน</t>
  </si>
  <si>
    <t>ทุนป.ตรี 34 ทุน</t>
  </si>
  <si>
    <t>ทุนป.ตรี 23 ทุน</t>
  </si>
  <si>
    <t>การจัดการชุมชน</t>
  </si>
  <si>
    <t xml:space="preserve">ทุนป.ตรี 1 คน </t>
  </si>
  <si>
    <t>การสอนภาษาไทย</t>
  </si>
  <si>
    <t xml:space="preserve">   กระทรวงการท่องเที่ยวและการกีฬา</t>
  </si>
  <si>
    <t xml:space="preserve">     -  ค่าสมาชิกองค์การการท่องเที่ยวโลก (UNWTO) </t>
  </si>
  <si>
    <t>การท่องเที่ยว</t>
  </si>
  <si>
    <t xml:space="preserve">     -  เงินอุดหนุนกองทุนการท่องเที่ยวอาเซียน (ASEAN NTOs Fund) </t>
  </si>
  <si>
    <t>อุดหนุน</t>
  </si>
  <si>
    <t xml:space="preserve">     - เงินอุดหนุนสำนักงานประสานการท่องเที่ยวลุ่มแม่น้ำโขง GMS (MTCO)</t>
  </si>
  <si>
    <t xml:space="preserve">     - The KKU Scholarship for ASEAN and GMS Countries' Personnel</t>
  </si>
  <si>
    <t xml:space="preserve">     - โครงการพระราชทานความช่วยเหลือแก่ราชอาณาจักรกัมพูชา ด้านการศึกษา ในสมเด็จพระเทพรัตนราชสุดาฯ  สยามบรมราชกุมารี</t>
  </si>
  <si>
    <t xml:space="preserve">     - The education scholarships for personnel from ASEAN countries and the Mekong  sub-region</t>
  </si>
  <si>
    <t>ทุนศึกษา4 ทุน</t>
  </si>
  <si>
    <t>ทุนศึกษา 7 ทุน</t>
  </si>
  <si>
    <t xml:space="preserve">    - TA/RA  Scholarship</t>
  </si>
  <si>
    <t>Veterinary Public Health</t>
  </si>
  <si>
    <t>Nursing Science</t>
  </si>
  <si>
    <t>Biomedical Science</t>
  </si>
  <si>
    <t>Applied Microbiology</t>
  </si>
  <si>
    <t xml:space="preserve">      -  โครงการแลกเปลี่ยนนักศึกษา</t>
  </si>
  <si>
    <t xml:space="preserve">     -   Matching Scholarship of the Second Strengthening Higher Education Project (SSHEP)</t>
  </si>
  <si>
    <t xml:space="preserve">    -   การสนับสนุนทนุ การศึกษาแก่นักศึกษาคณะพยาบาลศาสตร์</t>
  </si>
  <si>
    <t xml:space="preserve">   - โครงการ CMU Corner @ University of Mandalay</t>
  </si>
  <si>
    <t xml:space="preserve">   -  ค่าสมัครสมาชิก  ASEA-UNINET </t>
  </si>
  <si>
    <t xml:space="preserve">   - ค่าสมัครสมาชิก  Association of Southeast Asian Institutions of Higher Learning - ASAIHL</t>
  </si>
  <si>
    <t xml:space="preserve">    -  ค่าสมัครสมาชิก Southeast and Taiwan Universities - SATU</t>
  </si>
  <si>
    <t xml:space="preserve">    -  ค่าสมัครสมาชิกสำนักงานเลขานุการและสถาบันการศึกษาขั้นอุดมศึกษาแห่งภูมิภาคเอเซีย</t>
  </si>
  <si>
    <t xml:space="preserve">     - The Royal Scholarships Under Her Royal Highness Princess Mahachakrisirindhron Education Project to the Kingdom of Cambodia</t>
  </si>
  <si>
    <t xml:space="preserve">    - Thailand International Postgraduate Programme (TIPP)-Co-payment</t>
  </si>
  <si>
    <t xml:space="preserve">   -  Naresuan University Scholarhip for International Students</t>
  </si>
  <si>
    <t xml:space="preserve">   -  Naresuan University Scholarship under the cooperation with Youth Welfare and Educational Office, Office of the Gyalpoi Zimpon, His Majesty's Secretariat, Bhutan</t>
  </si>
  <si>
    <t xml:space="preserve">   -  ค่าสมาชิกองค์กรต่างประเทศ The International Association of University Presidents  (IAUP)</t>
  </si>
  <si>
    <t xml:space="preserve">   -  ค่าสมาชิกองค์กรต่างประเทศ The Association of University of Asia and the Pacific (AUAP)</t>
  </si>
  <si>
    <t xml:space="preserve">   -  ค่าสมาชิกองค์กรต่างประเทศ ASEAN-European Academic University Academic University Partnership Network (ASEA_UNINET)</t>
  </si>
  <si>
    <t xml:space="preserve">   - ค่าสมาชิกองค์กรต่างประเทศ  Agence Universitaire de la
Francophonie (AUF)</t>
  </si>
  <si>
    <t xml:space="preserve">   -  ค่าสมาชิกองค์กรต่างประเทศ Conference regionale des Recteurs des Universities memvres de l'Agence universitaire de la Francophone en Asie-Pacifigue (CONFRASIE)</t>
  </si>
  <si>
    <t xml:space="preserve">   -  ค่าสมาชิกองค์กรต่างประเทศ The Association of  Southeast Asian Institutions of Higher Learning (ASAIHL)</t>
  </si>
  <si>
    <t xml:space="preserve">   -  ค่าสมาชิกองค์กรต่างประเทศ AUN-QA</t>
  </si>
  <si>
    <t xml:space="preserve">   -  ค่าสมาชิกองค์กรต่างประเทศ The Consortium for Globalization of Chinese Medicine (CGCM)</t>
  </si>
  <si>
    <t xml:space="preserve">   -  โครงการทูลเกล้าฯ ถวายทุนพระราชทานในโครงการพระราชทานความช่วยเหลือแก่ราชอาณาจักรกัมพูชา เนื่องด้วยโครงการพระราชดำริสมเด็จพระเทพรัตนราชสุดาฯ สยามบรมราชกุมารี </t>
  </si>
  <si>
    <t>วิศวกรรมสิ่งแวดล้อม</t>
  </si>
  <si>
    <t>วิศวกรรมโยธาและโครงสร้างพื้นฐาน</t>
  </si>
  <si>
    <t>ทุนศึกษาป.ตรี 4 ทุน</t>
  </si>
  <si>
    <t>วิศวกรรมโยธาระบบสมองกลฝังตัว</t>
  </si>
  <si>
    <t>แพทย์ศาสตร์</t>
  </si>
  <si>
    <t>ทุน.ตรี 6 ทุน</t>
  </si>
  <si>
    <t>เภสัชศาสตร์</t>
  </si>
  <si>
    <t>พยาบาลศ่าสตร์</t>
  </si>
  <si>
    <t>บริหารงานยุติธรรมและสังคม</t>
  </si>
  <si>
    <t>ทุนป.โท 8 ทุน</t>
  </si>
  <si>
    <t>recognitive science</t>
  </si>
  <si>
    <t>ทุนป.โท 1 ทุน</t>
  </si>
  <si>
    <t xml:space="preserve">   - ทุนสนับสนุนการศึกษาสำหรับนิติชาวต่างชาติที่ศึกษาในหลักสูตรระดับบัณฑิตศึกษาทุนคณะพยาบาลศาสตร์</t>
  </si>
  <si>
    <t>ทุนป.โท 2 ทุน</t>
  </si>
  <si>
    <t xml:space="preserve">     -  ทุนปริญญาเอก ทุนวิทยาลัยวิทยาการวิจัยและวิทยาการปัญญา</t>
  </si>
  <si>
    <t>ทุนป.เอก 1 ทุน</t>
  </si>
  <si>
    <t xml:space="preserve">   - ค่าสมาชิกองค์กรระหว่างประเทศ (ASEA-UNINET)</t>
  </si>
  <si>
    <t>การศึกษามัธยม</t>
  </si>
  <si>
    <t>ทุนศึกษา 10 ทุน</t>
  </si>
  <si>
    <t xml:space="preserve">  -  ทุนการศึกษาระดับปริญญาตรี (หลักสูตรนานาชาติ)</t>
  </si>
  <si>
    <t xml:space="preserve">ธุรกิจระหว่าง
ประเทศ </t>
  </si>
  <si>
    <t xml:space="preserve">   -  ทุนการศึกษาระดับปริญญาตรี </t>
  </si>
  <si>
    <t xml:space="preserve">   - ทุนการศึกษาระดับปริญญาตรี แก่นิสิตจากประเทศภูฎาน</t>
  </si>
  <si>
    <t xml:space="preserve">    -  ค่าสมาชิกเครือข่ายระหว่างประเทศ ASEA-UNINET</t>
  </si>
  <si>
    <t xml:space="preserve">   -  ค่าสมาชิกเครือข่ายระหว่างประเทศ P2A</t>
  </si>
  <si>
    <t xml:space="preserve">    -  โครงการทูลเกล้าฯถวายทุนพระราชทานในโครงการพระราชทานความช่วยเหลือแก่ราชอาณาจักรกัมพูชาเนื่องด้วยโครงการพระราชดำริสมเด็จพระเทพรัตนราชสุดาฯ สยามบรมราชกุมารี ปี 2562</t>
  </si>
  <si>
    <t xml:space="preserve">   -  พระราชทานความช่วยเหลือแก่ราชอาณาจักรกัมพูชา</t>
  </si>
  <si>
    <t>หลักสูตรและการสอน</t>
  </si>
  <si>
    <t xml:space="preserve">   - โครงการทูลเกล้าฯ ถวายทุนพระราขทาน ภายใต้โครงการพระราชทาน ความช่วยเหลือแก่ราชอาณาจักรกัมพูชา ด้านการศึกษา ตามพระราชดำริสมเด็จพระกนษิฐาธิราชเจัา กรมสมเด็จพระเทพรัตนราชสุดาฯ สยามบรมราชกุมารี ประจำปี 2562</t>
  </si>
  <si>
    <t>ทุนป.โท ภาษาไทย 1 คน</t>
  </si>
  <si>
    <t>อักษรศาสตร์</t>
  </si>
  <si>
    <t xml:space="preserve">     มหาวิทยาลัยสงขลานครินทร์</t>
  </si>
  <si>
    <t xml:space="preserve">   - ทุนการศึกษาระดับปริญญาตรี  ภายใต้โครงการพระราชทาน ความช่วยเหลือแก่ราชอาณาจักรกัมพูชา ด้านการศึกษา </t>
  </si>
  <si>
    <t xml:space="preserve">   - ค่าสมาชิกองค์กรต่างประเทศ /เครือข่ายความร่วมมือกับต่างประทศ (ASEA-UNINET)</t>
  </si>
  <si>
    <t xml:space="preserve">   - ค่าสมาชิกองค์กรต่างประเทศ AUAP</t>
  </si>
  <si>
    <t xml:space="preserve">   - ค่าสมาชิกองค์กรต่างประเทศ (SATU Presidents Forum)</t>
  </si>
  <si>
    <t xml:space="preserve">   - ค่าสมาชิกองค์กรต่างประเทศ (ASEAN Learing Network (ALN))</t>
  </si>
  <si>
    <t xml:space="preserve">   - ค่าสมาชิกองค์กรต่างประเทศ (ASAIHL)</t>
  </si>
  <si>
    <t xml:space="preserve">     - นักวิจัยหลังปริญญาเอกชาวต่างชาติ</t>
  </si>
  <si>
    <t xml:space="preserve">    - ทุนสนับสนุนการศึกษาระดับปริญญาตรี และปริญญาโทแก่นักศึกษาประเทศเพื่อนบ้าน</t>
  </si>
  <si>
    <t xml:space="preserve">    - ทุนการศึกษา</t>
  </si>
  <si>
    <t xml:space="preserve">   - The President Internal Scholarship Program for Acdemic Year</t>
  </si>
  <si>
    <t xml:space="preserve">   - โครงการทุนการศึกษาระดับปริญญาโทและปริญญาเอกด้านพลังงานและสิ่งแวดล้อม</t>
  </si>
  <si>
    <t xml:space="preserve">   - Enhancing Myanmar Roadmap Collaboration</t>
  </si>
  <si>
    <t xml:space="preserve">  - Training Course "Energy Efficiency and Conservation (EE&amp;C) for Global Warming Mitigation".</t>
  </si>
  <si>
    <t xml:space="preserve">   - Training Course "Low Carbon City Scenario Development and Implement ation"</t>
  </si>
  <si>
    <t xml:space="preserve">       มหาวิทยาลัยเทคโนโลยีราชมงคลพระนคร...</t>
  </si>
  <si>
    <t xml:space="preserve">         - ทุนปริญญาตรี สาขาบริหารธุรกิจระหว่างประเทศ หลักสูตรนานาชาติ
(Bachelor of Business Administration Program in International Business)</t>
  </si>
  <si>
    <t xml:space="preserve">      มหาวิทยาลัยเทคโนโลยีราชมงคลล้านนา</t>
  </si>
  <si>
    <t xml:space="preserve">       - โครงการพระราชทานความช่วยเหลือแก่ราชอาณาจักรกัมพูชาด้านการศึกษา</t>
  </si>
  <si>
    <t xml:space="preserve">    มหาวิทยาลัยเทคโนโลยีราชมงคลสุวรรณภูมิ</t>
  </si>
  <si>
    <t xml:space="preserve">     -  โครงการ การต่อยอด MOU เพื่อพัฒนาวิชาชีพแลกเปลี่ยนภาษาและวัฒนธรรมเขมร-ไทย ร่วมสมัย 2 แผ่นดิน ปีที่ 3</t>
  </si>
  <si>
    <t xml:space="preserve">     มหาวิทยาลัยเทคโนโลยีราชมงคลอีสาน</t>
  </si>
  <si>
    <t xml:space="preserve">     - ค่าสมาชิกองค์กรต่างประเทศ AUAP</t>
  </si>
  <si>
    <t xml:space="preserve">     มหาวิทยาลัยเทคโนโลยีสุรนารี</t>
  </si>
  <si>
    <t xml:space="preserve">     -  ค่าสมาชิกองค์กรต่างประเทศ ASEA-UNINET</t>
  </si>
  <si>
    <t xml:space="preserve">     -  ค่าสมาชิกองค์กรต่างประเทศ ASAIHL</t>
  </si>
  <si>
    <t xml:space="preserve">    -  ค่าสมาชิกองค์กรต่างประเทศ WTUN</t>
  </si>
  <si>
    <t xml:space="preserve">    -  ค่าสมาชิกองค์กรต่างประเทศ AUAP</t>
  </si>
  <si>
    <t xml:space="preserve">   มหาวิทยาลัยราชภัฏเชียงราย</t>
  </si>
  <si>
    <t xml:space="preserve">     -  โครงการทูลเกล้า ฯ ถวายทุนพระราชทานในโครงการพระราชทานความช่วยเหลือราชอาณาจักรกมั พูชาด้านการศึกษา ตามพระราชดำริสมเด็จพระกนิษฐาธิราชเจ้า กรมสมเด็จพระเทพรัตนราชสุดาฯ สยามบรมราชกุมารี ประจำปี 2562</t>
  </si>
  <si>
    <t xml:space="preserve">    มหาวิทยาลยั ราชภฏั เชียงใหม่</t>
  </si>
  <si>
    <t xml:space="preserve">     มหาวิทยาลัยราชภัฏอุดรธานี</t>
  </si>
  <si>
    <t xml:space="preserve">       มหาวิทยาลัยราชภัฏเลย</t>
  </si>
  <si>
    <t xml:space="preserve">       มหาวิทยาลยั ราชภฏั สกลนคร</t>
  </si>
  <si>
    <t xml:space="preserve">          -  โครงการพระราชทานความช่วยเหลือแก่ราชอาณาจักรกัมพูชา ด้านการศึกษาตามพระราชดำริ สมเด็จพระกนิษฐาธิราชเจ้า กรมสมเด็จพระเทพรัตนราชสุดา ฯ สยามบรมราชกุมารี</t>
  </si>
  <si>
    <t xml:space="preserve">          -   โครงการทุนพระราชทานสมเด็จพระเทพรัตนราชสุดาฯ</t>
  </si>
  <si>
    <t xml:space="preserve">       มหาวิทยาลัยนอร์ท-เชียงใหม่</t>
  </si>
  <si>
    <t xml:space="preserve">         -  ทุนการศึกษาสาหรับประเทศในทวีปแอฟริกา</t>
  </si>
  <si>
    <t xml:space="preserve">      มหาวิทยาลัยหัวเฉียวเฉลิมพระเกียรติ</t>
  </si>
  <si>
    <t xml:space="preserve">     มหาวิทยาลัยเจ้าพระยา</t>
  </si>
  <si>
    <t xml:space="preserve">          -  ทุนนักศึกษาแลกเปลี่ยน University of South-Asia (USEA) ราชอาณาจักรกัมพูชา</t>
  </si>
  <si>
    <t xml:space="preserve">          -  ทุนนักศึกษาแลกเปลี่ยนสาธารณรัฐสังคมนิยมเวียดนาม </t>
  </si>
  <si>
    <t xml:space="preserve">           -  Teaching practicum and culture exchange</t>
  </si>
  <si>
    <t xml:space="preserve">         -  ทุนปริญญาตรีภาษาอาหรับ</t>
  </si>
  <si>
    <t xml:space="preserve">      สถาบันเทคโนโลยีพระจอมเกล้าเจ้าคุณทหารลาดกระบัง</t>
  </si>
  <si>
    <t xml:space="preserve">      -  ทุน Thailand Scholarship (year 2019)</t>
  </si>
  <si>
    <t xml:space="preserve">       - โครงการแลกเปลี่ยนนักศึกษาต่างชาติเพื่อฝึกงานด้านเทคนิค IAESTE Thailand</t>
  </si>
  <si>
    <t xml:space="preserve">        -  ค่าสมาชิกองค์กรต่างประเทศ ASEA-UNINET</t>
  </si>
  <si>
    <t xml:space="preserve">     สถาบันเทคโนโลยีจิตรลดา</t>
  </si>
  <si>
    <t xml:space="preserve">       -  โครงการพระราชทานความช่วยเหลือแก่ราชอาณาจักรกัมพูชา ตามพระราชดำริพระเทพรัตนราชสุดาฯ สยามบรมราชกุมารี</t>
  </si>
  <si>
    <t xml:space="preserve">      -   โครงการพระราชทานความช่วยเหลือแก่นักเรียนนักศึกษาจากประเทศเพื่อนบ้าน</t>
  </si>
  <si>
    <t xml:space="preserve">      มหาวิทยาลัยธรรมศาสตร์</t>
  </si>
  <si>
    <t xml:space="preserve">        -  Thammasat University's Scholarship for Foreign Students Studying Towards a Degree</t>
  </si>
  <si>
    <t xml:space="preserve">    มหาวิทยาลัยหอการค้าไทย</t>
  </si>
  <si>
    <t xml:space="preserve">    -  ทุนการศึกษามหาวิทยาลัยหอการค้าไทย</t>
  </si>
  <si>
    <t xml:space="preserve">   -  UTCC Discovery Trip 2019</t>
  </si>
  <si>
    <t xml:space="preserve">   -  ค่าสมาชิก   ASAIHL</t>
  </si>
  <si>
    <t xml:space="preserve">    มหาวิทยาลัยธุรกิจบัณฑิตย์</t>
  </si>
  <si>
    <t xml:space="preserve">       -ค่าสมาชิก   ASAIHL</t>
  </si>
  <si>
    <t xml:space="preserve">     มหาวิทยาลัยมหิดล</t>
  </si>
  <si>
    <t xml:space="preserve">      -  โครงการ Siriraj Scholarship for Doctors from ASEAN and Developing Countries</t>
  </si>
  <si>
    <t xml:space="preserve">      -  โครงการทุนพระราชทานความช่วยเหลือแก่ราชอาณาจักรกัมพูชาในสมเด็จพระเทพรัตนราชสุดาฯ สยามบรมราชกุมารี</t>
  </si>
  <si>
    <t xml:space="preserve">     มหาวิทยาลัยราชภัฎอุบลราชธานี</t>
  </si>
  <si>
    <t xml:space="preserve">       -  ทุนมหาวิทยาลัยราชภัฎอุบลราชธานี</t>
  </si>
  <si>
    <t xml:space="preserve">      -  โครงการทูลเกล้าฯ ถวายทุนพระราชทานในโครงการพระราชทานความช่วยเหลือแก่ราชอาณาจักรกัมพูชา เนื่องด้วยโครงการพระราชดำริพระเทพรัตนราชสุดาฯ สยามบรมราชกุมารี</t>
  </si>
  <si>
    <t xml:space="preserve">      -   Research and Development on Biofules, New Materials Technologies and Mechanical Engineering/ ข้อตกลงความร่วมมือด้านเชื้อเพลิงชีวภาพเทคโนโลยีวัสดุใหม่ และวิศวกรรมเครื่องกล</t>
  </si>
  <si>
    <t xml:space="preserve">     -  ค่าสมาชิก Asian Packaging Federation (APF)</t>
  </si>
  <si>
    <t xml:space="preserve">    -  ค่าสมาชิก International Association Packaging Research Institute (IAPRI)</t>
  </si>
  <si>
    <t xml:space="preserve">    -  ค่าสมาชิก World Packaging Organisation (WPO)</t>
  </si>
  <si>
    <t xml:space="preserve">    -  ค่าบำรุง สภาวิจัยสังคมศาสตร์แห่งเอเซีย (Association of Asian Social Science Research Councils, AASSREC)</t>
  </si>
  <si>
    <t xml:space="preserve">    -  ค่าบำรุง สภาวิทยาศาสตร์ระหว่างประเทศ (International Science Council ISC)</t>
  </si>
  <si>
    <t xml:space="preserve">    -  ค่าบำรุง สมาคมวิทยาศาสตร์ภาคพื้นแปซิฟิก (Pacific Science Association, PSA)</t>
  </si>
  <si>
    <t xml:space="preserve">      -  Human Resource Development Program in Biotechnology</t>
  </si>
  <si>
    <t xml:space="preserve">      -  โครงการสร้างเครือข่ายต่างประเทศให้กับระบบบริหารจัดการและระบบนำชมพิพิธภัณฑ์แบบเครือข่าย ปี 2</t>
  </si>
  <si>
    <t xml:space="preserve">    -  ค่าสมาชิกรายปี Asia- Pacific Telecommunity (APT) </t>
  </si>
  <si>
    <t xml:space="preserve">      สนง.พัฒนาเทคโนโลยีอวกาศและภูมิสารสนเทศ </t>
  </si>
  <si>
    <t xml:space="preserve">       -  ทุนอุดหนุนการศึกษาหลักสูตร The Sirindhom center of Geo-Informatics Master's Program</t>
  </si>
  <si>
    <t xml:space="preserve">    -  การฝึกอบรม  Tne ASEAN Research and Training Centre for Space Technology and Applications (ARTSA)</t>
  </si>
  <si>
    <t xml:space="preserve">     -  การศึกษาดูงานและหารือความร่วมมือในการพัฒนาดาวเทียมขนาดเล็กกับราชอาณาจักรภูฎาน</t>
  </si>
  <si>
    <t xml:space="preserve">   -  โครงการพัฒนาระบบการติดตามสถานการณ์การปลูกข้าวใน สปปลาว ด้วยข้อมูลภาพถ่ายดาวเทียม</t>
  </si>
  <si>
    <t>การสอนภาษาอังกฤษ</t>
  </si>
  <si>
    <t>ภาษาฝรั่งเศส</t>
  </si>
  <si>
    <t xml:space="preserve">ประวัติศาสตร์ </t>
  </si>
  <si>
    <t xml:space="preserve">ภูมิศาสตร์ </t>
  </si>
  <si>
    <t xml:space="preserve">คณิตศาสตร์ </t>
  </si>
  <si>
    <t>ฟิสิกส์</t>
  </si>
  <si>
    <t>วิศวกรรมเคมี</t>
  </si>
  <si>
    <t>วิศวกรรมอุตสาหการ</t>
  </si>
  <si>
    <t>วิศวกรรมเครื่องกล</t>
  </si>
  <si>
    <t xml:space="preserve">     -  โครงการพระราชทานความช่วยเหลือแก่ราชอาณาจักรกัมพูชา ตามพระราชดำริสมเด็จพระกนิษฐาธิราชเจ้า 
กรมสมเด็จพระเทพรัตนราชสุดาฯ สยามบรมราชกุมารี</t>
  </si>
  <si>
    <t>ทุนป.ตรี 4 คน
ป.โท 1 คน</t>
  </si>
  <si>
    <t xml:space="preserve">     -  โครงการพระราชทานความช่วยเหลือแก่ราชอาณาจักรกัมพูชาตามพระราชดำริสมเด็จพระกนิษฐาธิราชเจ้ากรมสมเด็จพระเทพรัตนราชสุดาฯ สยามบรมราชกุมารี 
</t>
  </si>
  <si>
    <t xml:space="preserve">      -   โครงการความร่วมมือระหว่างมหาวิทยาลัยราชภัฏอุดรธานีและกระทรวงสิ่งแวดล้อม สปป.ลาว มอบทุนปริญญาเอก</t>
  </si>
  <si>
    <t xml:space="preserve">      -  โครงการอบรมความรู้ภาษาไทยที่จำเป็นสำหรับชาวต่างประเทศก่อนเข้า ศึกษาระดับปริญญาตรี</t>
  </si>
  <si>
    <t>ทุนป.ตรี 10 คน 
ป.โท 10 คน</t>
  </si>
  <si>
    <t xml:space="preserve">     ศูนย์พันธุวิศวกรรมและเทคโนโลยีชีวภาพแห่งชาติ สำนักงานพัฒนาวิทยาศาสตร์และเทคโนโลยีแห่งชาติ</t>
  </si>
  <si>
    <t xml:space="preserve">   -  .Enhancement of capacity building for food contact materials (FCMs) testing laboratories among ASEAN menber states</t>
  </si>
  <si>
    <t>Science technology</t>
  </si>
  <si>
    <t>ASEAN Cooperation</t>
  </si>
  <si>
    <t>Ministry of Higher Education, Science, Research and Innovation</t>
  </si>
  <si>
    <t>เกาหลี</t>
  </si>
  <si>
    <t>เติร์กเมนิสถาน</t>
  </si>
  <si>
    <t xml:space="preserve"> -   โครงการพัฒนาจุดผ่านแดนถาวรสตึงบทและถนนเชื่อมไปยังถนน
หมายเลข 5 ในกัมพูชา (มูลค่าเงินกู้ 928.11 ล้านบาท)</t>
  </si>
  <si>
    <t xml:space="preserve"> -   โครงการฝึกอบรม หลักสูตร Public Debt  Management and Economic Issues </t>
  </si>
  <si>
    <t xml:space="preserve">  project</t>
  </si>
  <si>
    <t>- Narcotic</t>
  </si>
  <si>
    <t>- Geology</t>
  </si>
  <si>
    <t xml:space="preserve">    - Scholarship (Academic Year 2018, 2017)</t>
  </si>
  <si>
    <t xml:space="preserve">   -  ทุนการศึกษาระดับบัณฑิตศึกษา หลักสูตรนิติศาสตร์มหาบัณฑิต</t>
  </si>
  <si>
    <t xml:space="preserve">     -  โครงการสนับสนุนทุนการศึกษา (ตลอดหลักสูตร) สำหรับนักศึกษาจากMandalay University ระดับปริญญาตรี หลักสูตรนานาชาติ มหาวิทยาลัยเชียงใหม่</t>
  </si>
  <si>
    <t xml:space="preserve">     -  การให้ทุนการศึกษาตามโครงการพระราชดำริ แก่นักศึกษาต่างชาติในภูมิภาคอาเซียน (Scholarships for ASEAN Students from the Royal Initiated Project of Her Royal Highness Princess Maha Chakri Sirindhorn</t>
  </si>
  <si>
    <t>สาขาการจัดการท่องเที่ยว การจัดการโรงแรม การสอนภาษาอังกฤษ</t>
  </si>
  <si>
    <t>ทุน ป.ตรี 4 คน 
ทุนป.โท 3 คน</t>
  </si>
  <si>
    <t xml:space="preserve">     -  ทุนการศึกษาให้กับนักศึกษาในกลุ่ม อาเซียน</t>
  </si>
  <si>
    <t xml:space="preserve">       - Internship Program</t>
  </si>
  <si>
    <t xml:space="preserve">       มหาวิทยาลัยนราธวาสราชนครินทร์</t>
  </si>
  <si>
    <t xml:space="preserve">       -   กองทุนโครงการวิจัยด้านการวางแผนครอบครัวขององค์การอนามัยโลก  (UNDP/UNFPA/WHO/ World Bank Development and Research Training in Human Reproduction :HRP)</t>
  </si>
  <si>
    <t xml:space="preserve">     -  การชำระเงินลงทุน (Member Subscription) ในการจัดตั้งธนาคารเพื่อการลงทุนในโครงสร้างพื้นฐานเอเชีย (Asian Infrastructure Investment Bank  : AIIB) </t>
  </si>
  <si>
    <t xml:space="preserve">     -  ค่าสมาชิกสมาคมอนุรักษ์โสตทัศนูปกรณ์แห่งภาคพื้นเอเซียตะวันออกเฉียงใต้และแปซิฟิก 
( Southeast Asia - Pacific Audiovisual  Archives Association : SEAPAVAA)</t>
  </si>
  <si>
    <t xml:space="preserve">      สนง. พัฒนาธุรกรรมทางอิเล็กทรอนิกส์</t>
  </si>
  <si>
    <t xml:space="preserve">      สนง.ส่งเสริมเศรษฐกิจดิจิทัล</t>
  </si>
  <si>
    <t xml:space="preserve">    - เงินอุดหนุนสมาคมสหประชาชาติแห่งประเทศไทย UNAT</t>
  </si>
  <si>
    <t>- Engineering</t>
  </si>
  <si>
    <t>- Energy</t>
  </si>
  <si>
    <t>Businees &amp; Economics</t>
  </si>
  <si>
    <t>- Businees &amp; Economics</t>
  </si>
  <si>
    <t>โครงสร้างพื้นฐานและบริการด้านเศรษฐกิจ</t>
  </si>
  <si>
    <t>- Economic Infrastructure and Services</t>
  </si>
  <si>
    <t xml:space="preserve"> project</t>
  </si>
  <si>
    <t xml:space="preserve"> grant</t>
  </si>
  <si>
    <t>training, study visit,</t>
  </si>
  <si>
    <t>ประเทศอื่น ๆ</t>
  </si>
  <si>
    <r>
      <t>-</t>
    </r>
    <r>
      <rPr>
        <sz val="14"/>
        <rFont val="Cordia New"/>
        <family val="2"/>
      </rPr>
      <t xml:space="preserve"> Communication</t>
    </r>
  </si>
  <si>
    <t xml:space="preserve">     -  ค่าสมาชิก International Safe Transit  Association (ISTA)</t>
  </si>
  <si>
    <t xml:space="preserve">    -  ทุนปริญญาโท สาขาภาษาไทยเพื่อการพัฒนาอาชีพ (Thai for Career Development)</t>
  </si>
  <si>
    <t xml:space="preserve">    -  ทุนปริญญาตรี หลักสูตรอักษรศาสตรบัณฑิต (Bachelor of Arts Programme)</t>
  </si>
  <si>
    <t xml:space="preserve">    -  ทุนปริญญาตรี สาขาวิศวกรรมอิเล็กทรอนิกส์และระบบคอมพิวเตอร์ (Electronics and Computer System Engineering)</t>
  </si>
  <si>
    <t xml:space="preserve">   - ทุนปริญญาตรี สาขาวิศวกรรมเคมี (Chemical Engineering)</t>
  </si>
  <si>
    <t xml:space="preserve">   -  ทุนปริญญาตรี สาขาเคมี (Chemistry)</t>
  </si>
  <si>
    <t xml:space="preserve">   -  ทุนปริญญาตรี สาขาคณิตศาสตร์ (Mathematics)</t>
  </si>
  <si>
    <t xml:space="preserve">   - ทุนปริญญาตรี สาขาฟิสิกส์ (Physics)</t>
  </si>
  <si>
    <t xml:space="preserve">   - ทุนปริญญาตรี สาขาภูมิศาสตร์ (Geography)</t>
  </si>
  <si>
    <t xml:space="preserve">   - ทุนปริญญาตรี สาขาประวัติศาสตร์ (History</t>
  </si>
  <si>
    <t xml:space="preserve">   - ทุนปริญญาตรี สาขาภาษาฝรั่งเศส (French)</t>
  </si>
  <si>
    <t xml:space="preserve">    - ทุนปริญญาตรี สาขาภาษาอังกฤษ (English)</t>
  </si>
  <si>
    <t xml:space="preserve">    - ทุนปริญญาตรี สาขาภาษาไทย (Thai)</t>
  </si>
  <si>
    <t xml:space="preserve">   -  ทุนปริญญาตรี สาขาวิศวกรรมอุตสาหการ (Industrial Engineering)</t>
  </si>
  <si>
    <t xml:space="preserve">   - ทุนปริญญาตรี สาขาวิศวกรรมเครื่องกล (Mechanical Engineering)</t>
  </si>
  <si>
    <t xml:space="preserve">  -  ทุนปริญญาตรี สาขาการจัดการท่องเที่ยว (Tourism Management)</t>
  </si>
  <si>
    <t xml:space="preserve">   -  ทุนปริญญาตรี สาขาการจัดการชุมชน (Community Management)</t>
  </si>
  <si>
    <t xml:space="preserve">   - ทุนปริญญาตรี สาขาการจัดการโรงแรม (Hotel Management)</t>
  </si>
  <si>
    <t xml:space="preserve">    -  ค่าสมาชิกองค์กรต่างประเทศ ASEA-UNINET</t>
  </si>
  <si>
    <t>ตามพันธรณี</t>
  </si>
  <si>
    <t xml:space="preserve">  training, study visit, fellowship, project, experts, equipment, orthers</t>
  </si>
  <si>
    <t>Banking</t>
  </si>
  <si>
    <t xml:space="preserve">        -  ค่าบำรุง องค์การอุตุนิยมวิทยาโลก (World  Meteorological Organization: WMO)</t>
  </si>
  <si>
    <t xml:space="preserve">    - องค์การกาแฟระหว่างประเทศ  (International Coffee Organization : ICO)</t>
  </si>
  <si>
    <t xml:space="preserve">       สนง. คณะกรรมการคุ้มครองผู้ริโภค</t>
  </si>
  <si>
    <t xml:space="preserve">    - ค่าสมาชิก Consumers International </t>
  </si>
  <si>
    <t>ตามพันธกิจ 89%</t>
  </si>
  <si>
    <t>%</t>
  </si>
  <si>
    <t>ตามพันธกรณี 85%</t>
  </si>
  <si>
    <t>*  รวม 85% ของเงินลงทุนในการจัดตั้งธนาคารเพื่อการลงทุนในโครงสร้างพื้นฐานเอเซีย (Asian Infrastructure Investment Bank :  AIIB ) 
จำนวน  1,463,427,320 บาท</t>
  </si>
  <si>
    <t xml:space="preserve">        -  เงินสมทบประจำปีของสมาชิกสามัญของสมาคมการประกันสังคมระหว่างประทศ (International Social Security Association - ISSA)</t>
  </si>
  <si>
    <t>เม็กซิโก</t>
  </si>
  <si>
    <t>Ukraine</t>
  </si>
  <si>
    <t>Albania</t>
  </si>
  <si>
    <t>ฮ่องกง</t>
  </si>
  <si>
    <t xml:space="preserve">    สถาบันวิจัยวิทยาศาสตร์และเทคโนโลยีแห่งประเทศไทย (วว.)</t>
  </si>
  <si>
    <t xml:space="preserve">     หน่วยงานด้านวิทยาศาสตร์ วิจัย และนวัตกรรม </t>
  </si>
  <si>
    <t xml:space="preserve">      กรมราชทัณฑ์</t>
  </si>
  <si>
    <t xml:space="preserve"> - ทุนสนับสนุนการศึกษาระดับบัณฑิตศึกษาแก่ชาวต่างชาติจากประเทศอนุภูมิภาคลุ่มแม่น้ำโขง</t>
  </si>
  <si>
    <t xml:space="preserve">    - ทุนสนับสนุนผู้ช่วยนักวิจัยระดับบัณฑิตศึกษา (RA)</t>
  </si>
  <si>
    <t xml:space="preserve">       มหาวิทยาลัยราชภัฎร้อยเอ็ด</t>
  </si>
  <si>
    <t xml:space="preserve">           -  โครงการพัฒนาศักยภาพบุคลากรทางการศึกษาในเครือข่ายประเทศเพื่อนบ้านอนุภูมิภาค</t>
  </si>
  <si>
    <t xml:space="preserve">     -  ทุนการศึกษา (หลากสาขา) ระดับปริญญาตรีและ
ปริญญาโท</t>
  </si>
  <si>
    <t xml:space="preserve">          -  โครงการพระราชทานความช่วยเหลือแก่ราชอาณาจักรกัมพูชา ด้านการศึกษาตามพระราชดำริ สมเด็จพระกนิษฐา
ธิราชเจ้า กรมสมเด็จพระเทพรัตนราชสุดา ฯ 
สยามบรมราชกุมารี</t>
  </si>
  <si>
    <t xml:space="preserve">         - ทุนปริญญาตรีและปริญญาโท</t>
  </si>
  <si>
    <t xml:space="preserve">      มหาวิทยาลัยราชภัฏศรีสะเกษ</t>
  </si>
  <si>
    <t xml:space="preserve">         - ทุนปริญญาตรี</t>
  </si>
  <si>
    <t xml:space="preserve">         - ทุนปริญญาตรี </t>
  </si>
  <si>
    <t xml:space="preserve">         - ทุนปริญญาโท </t>
  </si>
  <si>
    <t xml:space="preserve">   - ทุนการศึกษาสหปัญญา ด้วยความสำนึกในพระมหากรุณาธิคุณ ที่สมเด็จพระเทพรัตนราชสุดาฯ สยามบรมราชกุมารี ทรงมีต่อการศึกษา</t>
  </si>
  <si>
    <t xml:space="preserve">       - ทุนปริญญาโท สาขา  Veterinary Public Health</t>
  </si>
  <si>
    <t xml:space="preserve">      -  ทุนปริญญาเอก  สาขา Nursing Science</t>
  </si>
  <si>
    <t xml:space="preserve">       - ทุนปริญญาเอก สาขา Plant Pathology</t>
  </si>
  <si>
    <t xml:space="preserve">       - ทุนปริญญาเอก Biomedical Science</t>
  </si>
  <si>
    <t xml:space="preserve">       - ทุนปริญญาเอก  Applied Microbiology</t>
  </si>
  <si>
    <t xml:space="preserve">       - ทุนปริญญาเอก สาขา Biotechnology</t>
  </si>
  <si>
    <t xml:space="preserve">    -  ทุนปริญญาโท/เอก สาขา Social Science</t>
  </si>
  <si>
    <t xml:space="preserve">    -  ทุนปริญญาโท สาขา Veterinary Science</t>
  </si>
  <si>
    <t xml:space="preserve">    -  ทุนปริญญาโท สาขา Entomology</t>
  </si>
  <si>
    <t xml:space="preserve">     - ทุนปริญญาโท สาขา Plant Pathology</t>
  </si>
  <si>
    <t xml:space="preserve">      - ทุนปริญญาโท สาขา Environmental Science</t>
  </si>
  <si>
    <t xml:space="preserve">      - ทุนปริญญาเอก สาขา Biomedical Science</t>
  </si>
  <si>
    <t xml:space="preserve">      - ทุนปริญญาเอก สาขา Nursing</t>
  </si>
  <si>
    <t xml:space="preserve">      - ทุนปริญญาเอก สาขา Entomology</t>
  </si>
  <si>
    <t xml:space="preserve">      - ทุนปริญญาเอก สาขา Applied Microbiology</t>
  </si>
  <si>
    <t xml:space="preserve">      - ทุนปริญญาเอก สาขา Machanical Engineering</t>
  </si>
  <si>
    <t xml:space="preserve">    - ทุนการศึกษาสำหรับนักศึกษาระดับบัณฑิตศึกษาชาวต่างชาติ </t>
  </si>
  <si>
    <t xml:space="preserve">     -  ทุนปริญญาโท สาขา Social Science</t>
  </si>
  <si>
    <t>ทุนป.ตรี
 ภาษาไทย 1 คน</t>
  </si>
  <si>
    <t xml:space="preserve">         - ทุนปริญญาโท  </t>
  </si>
  <si>
    <t xml:space="preserve">        - ทุนปริญญาโท  </t>
  </si>
  <si>
    <t xml:space="preserve">       -  ทุนปริญญาโท  </t>
  </si>
  <si>
    <t xml:space="preserve">    -  ค่าสมาชิกองค์กรต่างประเทศ WACE</t>
  </si>
  <si>
    <t xml:space="preserve">    -  ค่าสมาชิกองค์กรต่างประเทศ IAU</t>
  </si>
  <si>
    <t xml:space="preserve">     - ทุนปริญญาโท สาขา  Medical Technology</t>
  </si>
  <si>
    <t>Thailand Official Development Assistance in January - December 2019 (2562)</t>
  </si>
  <si>
    <t xml:space="preserve">     -  โครงการโรงเรียนเพื่อนมิตรประจำปี 2562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</si>
</sst>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_-;\-* #,##0.0_-;_-* &quot;-&quot;??_-;_-@_-"/>
    <numFmt numFmtId="181" formatCode="_-* #,##0_-;\-* #,##0_-;_-* &quot;-&quot;??_-;_-@_-"/>
    <numFmt numFmtId="182" formatCode="_-* #,##0.0000_-;\-* #,##0.0000_-;_-* &quot;-&quot;??_-;_-@_-"/>
    <numFmt numFmtId="183" formatCode="[$-409]d\-mmm\-yy;@"/>
    <numFmt numFmtId="184" formatCode="[$-409]dd\-mmm\-yy;@"/>
    <numFmt numFmtId="185" formatCode="[$-409]d\-mmm\-yyyy;@"/>
    <numFmt numFmtId="186" formatCode="_-* #,##0.000_-;\-* #,##0.000_-;_-* &quot;-&quot;??_-;_-@_-"/>
    <numFmt numFmtId="187" formatCode="_(* #,##0.0_);_(* \(#,##0.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_-* #,##0.00000_-;\-* #,##0.00000_-;_-* &quot;-&quot;??_-;_-@_-"/>
    <numFmt numFmtId="194" formatCode="_(* #,##0_);_(* \(#,##0\);_(* &quot;-&quot;??_);_(@_)"/>
    <numFmt numFmtId="195" formatCode="[$-409]dddd\,\ mmmm\ dd\,\ yyyy"/>
    <numFmt numFmtId="196" formatCode="[$-107041E]d\ mmmm\ yyyy;@"/>
    <numFmt numFmtId="197" formatCode="[$-1870000]d/m/yy;@"/>
    <numFmt numFmtId="198" formatCode="mmm\-yyyy"/>
    <numFmt numFmtId="199" formatCode="[$-D07041E]d\ mmmm\ yyyy;@"/>
    <numFmt numFmtId="200" formatCode="[$-D87041E]d\ mmmm\ yyyy;@"/>
    <numFmt numFmtId="201" formatCode="00000"/>
    <numFmt numFmtId="202" formatCode="0.000000"/>
    <numFmt numFmtId="203" formatCode="0.00000"/>
    <numFmt numFmtId="204" formatCode="0.0000"/>
    <numFmt numFmtId="205" formatCode="0.000"/>
  </numFmts>
  <fonts count="76">
    <font>
      <sz val="14"/>
      <name val="Cordia New"/>
      <family val="0"/>
    </font>
    <font>
      <sz val="11"/>
      <color indexed="8"/>
      <name val="Tahoma"/>
      <family val="2"/>
    </font>
    <font>
      <sz val="16"/>
      <name val="Cordia New"/>
      <family val="2"/>
    </font>
    <font>
      <b/>
      <sz val="16"/>
      <name val="Cordia New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0"/>
      <name val="Arial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4"/>
      <name val="Cordia New"/>
      <family val="2"/>
    </font>
    <font>
      <sz val="14"/>
      <color indexed="10"/>
      <name val="Cordia New"/>
      <family val="2"/>
    </font>
    <font>
      <sz val="16"/>
      <color indexed="10"/>
      <name val="Cordia New"/>
      <family val="2"/>
    </font>
    <font>
      <b/>
      <sz val="20"/>
      <color indexed="10"/>
      <name val="Cordia New"/>
      <family val="2"/>
    </font>
    <font>
      <sz val="8"/>
      <name val="Arial"/>
      <family val="2"/>
    </font>
    <font>
      <sz val="16"/>
      <color indexed="12"/>
      <name val="Cordia New"/>
      <family val="2"/>
    </font>
    <font>
      <sz val="14"/>
      <color indexed="12"/>
      <name val="Cordia New"/>
      <family val="2"/>
    </font>
    <font>
      <b/>
      <sz val="16"/>
      <color indexed="10"/>
      <name val="Cordia New"/>
      <family val="2"/>
    </font>
    <font>
      <b/>
      <sz val="12"/>
      <name val="Cordia New"/>
      <family val="2"/>
    </font>
    <font>
      <sz val="10"/>
      <color indexed="8"/>
      <name val="MS Sans Serif"/>
      <family val="2"/>
    </font>
    <font>
      <vertAlign val="superscript"/>
      <sz val="14"/>
      <name val="Cordia New"/>
      <family val="2"/>
    </font>
    <font>
      <sz val="9"/>
      <name val="Tahoma"/>
      <family val="2"/>
    </font>
    <font>
      <b/>
      <sz val="9"/>
      <name val="Tahoma"/>
      <family val="2"/>
    </font>
    <font>
      <b/>
      <sz val="13.5"/>
      <name val="Cordia New"/>
      <family val="2"/>
    </font>
    <font>
      <sz val="14"/>
      <name val="Wingdings"/>
      <family val="0"/>
    </font>
    <font>
      <sz val="18"/>
      <name val="Cordia New"/>
      <family val="2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b/>
      <sz val="14"/>
      <color indexed="8"/>
      <name val="Cordia New"/>
      <family val="2"/>
    </font>
    <font>
      <sz val="14"/>
      <color indexed="8"/>
      <name val="Cordia New"/>
      <family val="2"/>
    </font>
    <font>
      <b/>
      <sz val="14"/>
      <color indexed="10"/>
      <name val="Cordia New"/>
      <family val="2"/>
    </font>
    <font>
      <b/>
      <sz val="18"/>
      <color indexed="10"/>
      <name val="Cordia New"/>
      <family val="2"/>
    </font>
    <font>
      <sz val="14"/>
      <color indexed="17"/>
      <name val="Cordia New"/>
      <family val="2"/>
    </font>
    <font>
      <sz val="16"/>
      <color indexed="8"/>
      <name val="Cordia New"/>
      <family val="2"/>
    </font>
    <font>
      <sz val="14"/>
      <color indexed="56"/>
      <name val="Cordia New"/>
      <family val="2"/>
    </font>
    <font>
      <b/>
      <sz val="16"/>
      <color indexed="56"/>
      <name val="Cordia New"/>
      <family val="2"/>
    </font>
    <font>
      <sz val="14"/>
      <color indexed="53"/>
      <name val="Cordia New"/>
      <family val="2"/>
    </font>
    <font>
      <sz val="18"/>
      <color indexed="10"/>
      <name val="Cordia New"/>
      <family val="2"/>
    </font>
    <font>
      <b/>
      <sz val="16"/>
      <color indexed="8"/>
      <name val="Cordia New"/>
      <family val="2"/>
    </font>
    <font>
      <b/>
      <sz val="16"/>
      <color indexed="63"/>
      <name val="Cordia New"/>
      <family val="2"/>
    </font>
    <font>
      <sz val="14"/>
      <color indexed="63"/>
      <name val="Cordia New"/>
      <family val="2"/>
    </font>
    <font>
      <b/>
      <sz val="14"/>
      <color indexed="63"/>
      <name val="Cordia New"/>
      <family val="2"/>
    </font>
    <font>
      <sz val="16"/>
      <color indexed="63"/>
      <name val="Cordia New"/>
      <family val="2"/>
    </font>
    <font>
      <b/>
      <sz val="18"/>
      <color indexed="36"/>
      <name val="Cordia New"/>
      <family val="2"/>
    </font>
    <font>
      <u val="single"/>
      <sz val="14"/>
      <color theme="11"/>
      <name val="Cordia New"/>
      <family val="2"/>
    </font>
    <font>
      <u val="single"/>
      <sz val="14"/>
      <color theme="10"/>
      <name val="Cordia New"/>
      <family val="2"/>
    </font>
    <font>
      <b/>
      <sz val="14"/>
      <color theme="1"/>
      <name val="Cordia New"/>
      <family val="2"/>
    </font>
    <font>
      <sz val="16"/>
      <color rgb="FFFF0000"/>
      <name val="Cordia New"/>
      <family val="2"/>
    </font>
    <font>
      <sz val="14"/>
      <color theme="1"/>
      <name val="Cordia New"/>
      <family val="2"/>
    </font>
    <font>
      <b/>
      <sz val="14"/>
      <color rgb="FFFF0000"/>
      <name val="Cordia New"/>
      <family val="2"/>
    </font>
    <font>
      <b/>
      <sz val="18"/>
      <color rgb="FFFF0000"/>
      <name val="Cordia New"/>
      <family val="2"/>
    </font>
    <font>
      <sz val="14"/>
      <color rgb="FFFF0000"/>
      <name val="Cordia New"/>
      <family val="2"/>
    </font>
    <font>
      <sz val="14"/>
      <color rgb="FF00B050"/>
      <name val="Cordia New"/>
      <family val="2"/>
    </font>
    <font>
      <sz val="16"/>
      <color theme="1"/>
      <name val="Cordia New"/>
      <family val="2"/>
    </font>
    <font>
      <sz val="14"/>
      <color rgb="FF002060"/>
      <name val="Cordia New"/>
      <family val="2"/>
    </font>
    <font>
      <b/>
      <sz val="16"/>
      <color rgb="FF002060"/>
      <name val="Cordia New"/>
      <family val="2"/>
    </font>
    <font>
      <sz val="14"/>
      <color theme="9" tint="-0.24997000396251678"/>
      <name val="Cordia New"/>
      <family val="2"/>
    </font>
    <font>
      <sz val="18"/>
      <color rgb="FFFF0000"/>
      <name val="Cordia New"/>
      <family val="2"/>
    </font>
    <font>
      <b/>
      <sz val="16"/>
      <color theme="1"/>
      <name val="Cordia New"/>
      <family val="2"/>
    </font>
    <font>
      <b/>
      <sz val="16"/>
      <color rgb="FF222222"/>
      <name val="Cordia New"/>
      <family val="2"/>
    </font>
    <font>
      <sz val="14"/>
      <color rgb="FF222222"/>
      <name val="Cordia New"/>
      <family val="2"/>
    </font>
    <font>
      <b/>
      <sz val="14"/>
      <color rgb="FF222222"/>
      <name val="Cordia New"/>
      <family val="2"/>
    </font>
    <font>
      <sz val="16"/>
      <color rgb="FF333333"/>
      <name val="Cordia New"/>
      <family val="2"/>
    </font>
    <font>
      <b/>
      <sz val="18"/>
      <color rgb="FF7030A0"/>
      <name val="Cordia New"/>
      <family val="2"/>
    </font>
    <font>
      <b/>
      <sz val="8"/>
      <name val="Cordia New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double"/>
      <bottom/>
    </border>
    <border>
      <left/>
      <right/>
      <top style="thin"/>
      <bottom style="thin"/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hair"/>
      <bottom style="hair"/>
    </border>
    <border>
      <left style="thin"/>
      <right style="thin"/>
      <top style="double"/>
      <bottom>
        <color indexed="63"/>
      </bottom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 style="thin"/>
      <top style="thin"/>
      <bottom/>
    </border>
    <border>
      <left style="thin"/>
      <right style="thin"/>
      <top style="hair"/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double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hair"/>
    </border>
    <border>
      <left/>
      <right/>
      <top>
        <color indexed="63"/>
      </top>
      <bottom style="hair"/>
    </border>
    <border>
      <left/>
      <right/>
      <top style="thin"/>
      <bottom style="hair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0" fillId="0" borderId="0">
      <alignment/>
      <protection/>
    </xf>
  </cellStyleXfs>
  <cellXfs count="885">
    <xf numFmtId="0" fontId="0" fillId="0" borderId="0" xfId="0" applyAlignment="1">
      <alignment/>
    </xf>
    <xf numFmtId="171" fontId="0" fillId="0" borderId="0" xfId="0" applyNumberFormat="1" applyAlignment="1">
      <alignment/>
    </xf>
    <xf numFmtId="171" fontId="0" fillId="0" borderId="0" xfId="42" applyAlignment="1">
      <alignment/>
    </xf>
    <xf numFmtId="0" fontId="3" fillId="0" borderId="0" xfId="0" applyFont="1" applyAlignment="1" quotePrefix="1">
      <alignment horizontal="center"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1" fillId="0" borderId="10" xfId="0" applyFont="1" applyBorder="1" applyAlignment="1" quotePrefix="1">
      <alignment horizontal="left" vertical="top"/>
    </xf>
    <xf numFmtId="181" fontId="0" fillId="0" borderId="10" xfId="42" applyNumberFormat="1" applyFont="1" applyBorder="1" applyAlignment="1">
      <alignment vertical="top"/>
    </xf>
    <xf numFmtId="0" fontId="0" fillId="0" borderId="10" xfId="0" applyBorder="1" applyAlignment="1" quotePrefix="1">
      <alignment vertical="center"/>
    </xf>
    <xf numFmtId="0" fontId="0" fillId="0" borderId="10" xfId="0" applyBorder="1" applyAlignment="1">
      <alignment/>
    </xf>
    <xf numFmtId="0" fontId="21" fillId="0" borderId="11" xfId="0" applyFont="1" applyBorder="1" applyAlignment="1">
      <alignment horizontal="left" vertical="top"/>
    </xf>
    <xf numFmtId="181" fontId="0" fillId="0" borderId="11" xfId="42" applyNumberFormat="1" applyFont="1" applyBorder="1" applyAlignment="1">
      <alignment vertical="top"/>
    </xf>
    <xf numFmtId="0" fontId="0" fillId="0" borderId="11" xfId="0" applyBorder="1" applyAlignment="1" quotePrefix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171" fontId="0" fillId="0" borderId="11" xfId="42" applyFont="1" applyBorder="1" applyAlignment="1">
      <alignment/>
    </xf>
    <xf numFmtId="0" fontId="0" fillId="0" borderId="13" xfId="0" applyBorder="1" applyAlignment="1">
      <alignment/>
    </xf>
    <xf numFmtId="0" fontId="21" fillId="0" borderId="14" xfId="0" applyFont="1" applyBorder="1" applyAlignment="1">
      <alignment horizontal="center"/>
    </xf>
    <xf numFmtId="171" fontId="21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14" fontId="0" fillId="0" borderId="0" xfId="0" applyNumberFormat="1" applyAlignment="1" quotePrefix="1">
      <alignment/>
    </xf>
    <xf numFmtId="0" fontId="21" fillId="0" borderId="15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1" xfId="0" applyFont="1" applyBorder="1" applyAlignment="1">
      <alignment/>
    </xf>
    <xf numFmtId="171" fontId="0" fillId="0" borderId="12" xfId="42" applyBorder="1" applyAlignment="1">
      <alignment/>
    </xf>
    <xf numFmtId="0" fontId="0" fillId="0" borderId="15" xfId="0" applyFont="1" applyBorder="1" applyAlignment="1">
      <alignment horizontal="center"/>
    </xf>
    <xf numFmtId="171" fontId="0" fillId="0" borderId="12" xfId="42" applyNumberFormat="1" applyBorder="1" applyAlignment="1">
      <alignment/>
    </xf>
    <xf numFmtId="43" fontId="0" fillId="0" borderId="0" xfId="0" applyNumberFormat="1" applyAlignment="1">
      <alignment/>
    </xf>
    <xf numFmtId="0" fontId="3" fillId="0" borderId="10" xfId="0" applyFont="1" applyBorder="1" applyAlignment="1" quotePrefix="1">
      <alignment horizontal="left" vertical="top"/>
    </xf>
    <xf numFmtId="181" fontId="2" fillId="0" borderId="10" xfId="42" applyNumberFormat="1" applyFont="1" applyBorder="1" applyAlignment="1">
      <alignment vertical="top"/>
    </xf>
    <xf numFmtId="0" fontId="2" fillId="0" borderId="10" xfId="0" applyFont="1" applyBorder="1" applyAlignment="1" quotePrefix="1">
      <alignment vertical="center"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Border="1" applyAlignment="1">
      <alignment/>
    </xf>
    <xf numFmtId="0" fontId="22" fillId="0" borderId="0" xfId="0" applyFont="1" applyAlignment="1">
      <alignment/>
    </xf>
    <xf numFmtId="0" fontId="3" fillId="0" borderId="0" xfId="0" applyFont="1" applyAlignment="1" quotePrefix="1">
      <alignment horizontal="center" vertical="top"/>
    </xf>
    <xf numFmtId="0" fontId="0" fillId="0" borderId="12" xfId="0" applyBorder="1" applyAlignment="1">
      <alignment wrapText="1"/>
    </xf>
    <xf numFmtId="171" fontId="0" fillId="0" borderId="11" xfId="42" applyNumberFormat="1" applyFont="1" applyBorder="1" applyAlignment="1">
      <alignment/>
    </xf>
    <xf numFmtId="0" fontId="0" fillId="0" borderId="11" xfId="0" applyBorder="1" applyAlignment="1" quotePrefix="1">
      <alignment wrapText="1"/>
    </xf>
    <xf numFmtId="0" fontId="0" fillId="0" borderId="11" xfId="0" applyBorder="1" applyAlignment="1">
      <alignment horizontal="left"/>
    </xf>
    <xf numFmtId="171" fontId="0" fillId="0" borderId="0" xfId="0" applyNumberFormat="1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0" fontId="2" fillId="0" borderId="12" xfId="0" applyFont="1" applyBorder="1" applyAlignment="1">
      <alignment/>
    </xf>
    <xf numFmtId="181" fontId="24" fillId="0" borderId="16" xfId="42" applyNumberFormat="1" applyFont="1" applyBorder="1" applyAlignment="1">
      <alignment vertical="top"/>
    </xf>
    <xf numFmtId="0" fontId="0" fillId="0" borderId="16" xfId="0" applyBorder="1" applyAlignment="1">
      <alignment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171" fontId="0" fillId="0" borderId="0" xfId="0" applyNumberFormat="1" applyBorder="1" applyAlignment="1" quotePrefix="1">
      <alignment/>
    </xf>
    <xf numFmtId="0" fontId="0" fillId="0" borderId="0" xfId="0" applyBorder="1" applyAlignment="1">
      <alignment wrapText="1"/>
    </xf>
    <xf numFmtId="14" fontId="0" fillId="0" borderId="0" xfId="0" applyNumberFormat="1" applyAlignment="1">
      <alignment/>
    </xf>
    <xf numFmtId="171" fontId="0" fillId="0" borderId="10" xfId="42" applyNumberFormat="1" applyFont="1" applyBorder="1" applyAlignment="1">
      <alignment vertical="top"/>
    </xf>
    <xf numFmtId="171" fontId="0" fillId="0" borderId="11" xfId="42" applyNumberFormat="1" applyFont="1" applyBorder="1" applyAlignment="1">
      <alignment vertical="top"/>
    </xf>
    <xf numFmtId="0" fontId="0" fillId="0" borderId="12" xfId="0" applyBorder="1" applyAlignment="1">
      <alignment vertical="top" wrapText="1"/>
    </xf>
    <xf numFmtId="171" fontId="21" fillId="0" borderId="14" xfId="42" applyNumberFormat="1" applyFont="1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 quotePrefix="1">
      <alignment/>
    </xf>
    <xf numFmtId="171" fontId="0" fillId="0" borderId="11" xfId="42" applyNumberFormat="1" applyBorder="1" applyAlignment="1">
      <alignment/>
    </xf>
    <xf numFmtId="171" fontId="0" fillId="0" borderId="12" xfId="42" applyFont="1" applyBorder="1" applyAlignment="1">
      <alignment/>
    </xf>
    <xf numFmtId="181" fontId="0" fillId="0" borderId="10" xfId="42" applyNumberFormat="1" applyFont="1" applyBorder="1" applyAlignment="1">
      <alignment vertical="top" wrapText="1"/>
    </xf>
    <xf numFmtId="181" fontId="0" fillId="0" borderId="11" xfId="42" applyNumberFormat="1" applyFont="1" applyBorder="1" applyAlignment="1">
      <alignment wrapText="1"/>
    </xf>
    <xf numFmtId="171" fontId="0" fillId="0" borderId="11" xfId="42" applyNumberFormat="1" applyFont="1" applyBorder="1" applyAlignment="1">
      <alignment wrapText="1"/>
    </xf>
    <xf numFmtId="171" fontId="0" fillId="0" borderId="12" xfId="42" applyFont="1" applyBorder="1" applyAlignment="1">
      <alignment wrapText="1"/>
    </xf>
    <xf numFmtId="171" fontId="0" fillId="0" borderId="11" xfId="42" applyFont="1" applyBorder="1" applyAlignment="1">
      <alignment wrapText="1"/>
    </xf>
    <xf numFmtId="171" fontId="0" fillId="0" borderId="12" xfId="42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 vertical="top" wrapText="1"/>
    </xf>
    <xf numFmtId="0" fontId="0" fillId="0" borderId="12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3" xfId="0" applyBorder="1" applyAlignment="1">
      <alignment/>
    </xf>
    <xf numFmtId="171" fontId="0" fillId="0" borderId="12" xfId="42" applyFont="1" applyBorder="1" applyAlignment="1">
      <alignment/>
    </xf>
    <xf numFmtId="0" fontId="0" fillId="0" borderId="15" xfId="0" applyBorder="1" applyAlignment="1">
      <alignment/>
    </xf>
    <xf numFmtId="171" fontId="0" fillId="0" borderId="15" xfId="42" applyBorder="1" applyAlignment="1">
      <alignment/>
    </xf>
    <xf numFmtId="0" fontId="2" fillId="0" borderId="13" xfId="0" applyFont="1" applyBorder="1" applyAlignment="1">
      <alignment/>
    </xf>
    <xf numFmtId="43" fontId="16" fillId="0" borderId="0" xfId="49" applyFont="1" applyAlignment="1">
      <alignment vertical="center" wrapText="1"/>
    </xf>
    <xf numFmtId="0" fontId="16" fillId="0" borderId="0" xfId="68">
      <alignment/>
      <protection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 vertical="top" wrapText="1"/>
    </xf>
    <xf numFmtId="171" fontId="21" fillId="0" borderId="14" xfId="42" applyFont="1" applyBorder="1" applyAlignment="1">
      <alignment/>
    </xf>
    <xf numFmtId="171" fontId="21" fillId="0" borderId="14" xfId="42" applyFont="1" applyBorder="1" applyAlignment="1">
      <alignment vertical="top" wrapText="1"/>
    </xf>
    <xf numFmtId="0" fontId="16" fillId="0" borderId="0" xfId="69">
      <alignment/>
      <protection/>
    </xf>
    <xf numFmtId="0" fontId="2" fillId="0" borderId="0" xfId="69" applyFont="1">
      <alignment/>
      <protection/>
    </xf>
    <xf numFmtId="43" fontId="16" fillId="0" borderId="0" xfId="69" applyNumberFormat="1">
      <alignment/>
      <protection/>
    </xf>
    <xf numFmtId="171" fontId="16" fillId="0" borderId="0" xfId="69" applyNumberFormat="1">
      <alignment/>
      <protection/>
    </xf>
    <xf numFmtId="0" fontId="3" fillId="0" borderId="0" xfId="0" applyFont="1" applyAlignment="1">
      <alignment horizontal="center"/>
    </xf>
    <xf numFmtId="0" fontId="0" fillId="0" borderId="13" xfId="0" applyBorder="1" applyAlignment="1" quotePrefix="1">
      <alignment vertical="justify"/>
    </xf>
    <xf numFmtId="0" fontId="21" fillId="0" borderId="15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2" fontId="16" fillId="0" borderId="0" xfId="69" applyNumberFormat="1">
      <alignment/>
      <protection/>
    </xf>
    <xf numFmtId="0" fontId="21" fillId="0" borderId="18" xfId="0" applyFont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top" wrapText="1"/>
    </xf>
    <xf numFmtId="0" fontId="28" fillId="0" borderId="0" xfId="0" applyFont="1" applyAlignment="1">
      <alignment horizontal="center"/>
    </xf>
    <xf numFmtId="171" fontId="0" fillId="0" borderId="0" xfId="42" applyFont="1" applyAlignment="1">
      <alignment/>
    </xf>
    <xf numFmtId="0" fontId="21" fillId="0" borderId="10" xfId="0" applyFont="1" applyFill="1" applyBorder="1" applyAlignment="1" quotePrefix="1">
      <alignment horizontal="left" vertical="top"/>
    </xf>
    <xf numFmtId="181" fontId="0" fillId="0" borderId="10" xfId="42" applyNumberFormat="1" applyFont="1" applyFill="1" applyBorder="1" applyAlignment="1">
      <alignment vertical="top"/>
    </xf>
    <xf numFmtId="0" fontId="0" fillId="0" borderId="10" xfId="0" applyFill="1" applyBorder="1" applyAlignment="1" quotePrefix="1">
      <alignment vertical="center"/>
    </xf>
    <xf numFmtId="0" fontId="21" fillId="0" borderId="14" xfId="0" applyFont="1" applyFill="1" applyBorder="1" applyAlignment="1">
      <alignment horizontal="center"/>
    </xf>
    <xf numFmtId="171" fontId="22" fillId="0" borderId="11" xfId="42" applyFont="1" applyBorder="1" applyAlignment="1">
      <alignment/>
    </xf>
    <xf numFmtId="171" fontId="0" fillId="0" borderId="12" xfId="42" applyFont="1" applyBorder="1" applyAlignment="1">
      <alignment/>
    </xf>
    <xf numFmtId="171" fontId="0" fillId="0" borderId="11" xfId="42" applyNumberFormat="1" applyFont="1" applyBorder="1" applyAlignment="1">
      <alignment/>
    </xf>
    <xf numFmtId="0" fontId="0" fillId="0" borderId="14" xfId="0" applyFont="1" applyBorder="1" applyAlignment="1">
      <alignment/>
    </xf>
    <xf numFmtId="171" fontId="0" fillId="0" borderId="14" xfId="42" applyNumberFormat="1" applyFont="1" applyBorder="1" applyAlignment="1">
      <alignment wrapText="1"/>
    </xf>
    <xf numFmtId="0" fontId="0" fillId="0" borderId="15" xfId="0" applyBorder="1" applyAlignment="1">
      <alignment/>
    </xf>
    <xf numFmtId="171" fontId="21" fillId="0" borderId="19" xfId="42" applyFont="1" applyBorder="1" applyAlignment="1">
      <alignment horizontal="center" vertical="top" wrapText="1"/>
    </xf>
    <xf numFmtId="0" fontId="0" fillId="0" borderId="19" xfId="0" applyBorder="1" applyAlignment="1">
      <alignment/>
    </xf>
    <xf numFmtId="0" fontId="0" fillId="0" borderId="12" xfId="0" applyFont="1" applyBorder="1" applyAlignment="1">
      <alignment/>
    </xf>
    <xf numFmtId="0" fontId="21" fillId="0" borderId="20" xfId="0" applyFont="1" applyBorder="1" applyAlignment="1">
      <alignment horizontal="center"/>
    </xf>
    <xf numFmtId="0" fontId="21" fillId="0" borderId="11" xfId="0" applyFont="1" applyFill="1" applyBorder="1" applyAlignment="1">
      <alignment horizontal="left" vertical="top"/>
    </xf>
    <xf numFmtId="0" fontId="0" fillId="0" borderId="11" xfId="0" applyFill="1" applyBorder="1" applyAlignment="1">
      <alignment/>
    </xf>
    <xf numFmtId="0" fontId="21" fillId="0" borderId="11" xfId="0" applyFont="1" applyFill="1" applyBorder="1" applyAlignment="1">
      <alignment wrapText="1"/>
    </xf>
    <xf numFmtId="43" fontId="2" fillId="0" borderId="0" xfId="49" applyFont="1" applyAlignment="1">
      <alignment horizontal="center" vertical="center" wrapText="1"/>
    </xf>
    <xf numFmtId="43" fontId="2" fillId="0" borderId="0" xfId="49" applyFont="1" applyAlignment="1">
      <alignment horizontal="right" vertical="center" wrapText="1"/>
    </xf>
    <xf numFmtId="0" fontId="16" fillId="0" borderId="0" xfId="69" applyFont="1">
      <alignment/>
      <protection/>
    </xf>
    <xf numFmtId="171" fontId="0" fillId="0" borderId="11" xfId="42" applyFont="1" applyBorder="1" applyAlignment="1">
      <alignment/>
    </xf>
    <xf numFmtId="171" fontId="0" fillId="0" borderId="12" xfId="42" applyFont="1" applyFill="1" applyBorder="1" applyAlignment="1">
      <alignment/>
    </xf>
    <xf numFmtId="0" fontId="0" fillId="0" borderId="12" xfId="0" applyFont="1" applyBorder="1" applyAlignment="1">
      <alignment/>
    </xf>
    <xf numFmtId="182" fontId="21" fillId="0" borderId="14" xfId="42" applyNumberFormat="1" applyFont="1" applyBorder="1" applyAlignment="1">
      <alignment horizontal="center"/>
    </xf>
    <xf numFmtId="0" fontId="16" fillId="0" borderId="0" xfId="69" applyFill="1">
      <alignment/>
      <protection/>
    </xf>
    <xf numFmtId="171" fontId="0" fillId="0" borderId="13" xfId="0" applyNumberFormat="1" applyBorder="1" applyAlignment="1">
      <alignment/>
    </xf>
    <xf numFmtId="0" fontId="0" fillId="0" borderId="12" xfId="0" applyFont="1" applyFill="1" applyBorder="1" applyAlignment="1">
      <alignment wrapText="1"/>
    </xf>
    <xf numFmtId="0" fontId="21" fillId="0" borderId="11" xfId="0" applyFont="1" applyBorder="1" applyAlignment="1" quotePrefix="1">
      <alignment horizontal="left" vertical="top"/>
    </xf>
    <xf numFmtId="0" fontId="0" fillId="0" borderId="11" xfId="0" applyFont="1" applyBorder="1" applyAlignment="1" quotePrefix="1">
      <alignment vertical="center"/>
    </xf>
    <xf numFmtId="0" fontId="0" fillId="0" borderId="12" xfId="0" applyFont="1" applyBorder="1" applyAlignment="1">
      <alignment vertical="justify" wrapText="1"/>
    </xf>
    <xf numFmtId="0" fontId="0" fillId="0" borderId="11" xfId="0" applyFont="1" applyBorder="1" applyAlignment="1">
      <alignment/>
    </xf>
    <xf numFmtId="0" fontId="21" fillId="0" borderId="11" xfId="0" applyFont="1" applyBorder="1" applyAlignment="1">
      <alignment vertical="justify" wrapText="1"/>
    </xf>
    <xf numFmtId="0" fontId="0" fillId="0" borderId="11" xfId="0" applyFont="1" applyBorder="1" applyAlignment="1" quotePrefix="1">
      <alignment/>
    </xf>
    <xf numFmtId="171" fontId="0" fillId="0" borderId="13" xfId="42" applyFont="1" applyBorder="1" applyAlignment="1">
      <alignment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vertical="top" wrapText="1"/>
    </xf>
    <xf numFmtId="0" fontId="3" fillId="0" borderId="23" xfId="0" applyFont="1" applyBorder="1" applyAlignment="1">
      <alignment horizontal="center" vertical="center"/>
    </xf>
    <xf numFmtId="0" fontId="0" fillId="0" borderId="11" xfId="0" applyFont="1" applyBorder="1" applyAlignment="1" quotePrefix="1">
      <alignment wrapText="1"/>
    </xf>
    <xf numFmtId="0" fontId="0" fillId="0" borderId="12" xfId="0" applyFont="1" applyBorder="1" applyAlignment="1">
      <alignment wrapText="1"/>
    </xf>
    <xf numFmtId="0" fontId="0" fillId="0" borderId="11" xfId="0" applyFont="1" applyBorder="1" applyAlignment="1">
      <alignment/>
    </xf>
    <xf numFmtId="0" fontId="3" fillId="0" borderId="24" xfId="0" applyFont="1" applyBorder="1" applyAlignment="1">
      <alignment horizontal="center"/>
    </xf>
    <xf numFmtId="181" fontId="0" fillId="24" borderId="11" xfId="42" applyNumberFormat="1" applyFont="1" applyFill="1" applyBorder="1" applyAlignment="1">
      <alignment vertical="top"/>
    </xf>
    <xf numFmtId="171" fontId="0" fillId="24" borderId="11" xfId="42" applyNumberFormat="1" applyFont="1" applyFill="1" applyBorder="1" applyAlignment="1">
      <alignment/>
    </xf>
    <xf numFmtId="181" fontId="0" fillId="24" borderId="11" xfId="42" applyNumberFormat="1" applyFont="1" applyFill="1" applyBorder="1" applyAlignment="1">
      <alignment/>
    </xf>
    <xf numFmtId="0" fontId="0" fillId="24" borderId="11" xfId="0" applyFill="1" applyBorder="1" applyAlignment="1">
      <alignment wrapText="1"/>
    </xf>
    <xf numFmtId="0" fontId="0" fillId="24" borderId="11" xfId="0" applyFont="1" applyFill="1" applyBorder="1" applyAlignment="1">
      <alignment horizontal="left" wrapText="1"/>
    </xf>
    <xf numFmtId="171" fontId="0" fillId="24" borderId="12" xfId="42" applyNumberFormat="1" applyFill="1" applyBorder="1" applyAlignment="1">
      <alignment/>
    </xf>
    <xf numFmtId="171" fontId="0" fillId="24" borderId="12" xfId="42" applyFill="1" applyBorder="1" applyAlignment="1">
      <alignment/>
    </xf>
    <xf numFmtId="0" fontId="0" fillId="24" borderId="11" xfId="0" applyFont="1" applyFill="1" applyBorder="1" applyAlignment="1">
      <alignment wrapText="1"/>
    </xf>
    <xf numFmtId="171" fontId="21" fillId="24" borderId="14" xfId="0" applyNumberFormat="1" applyFont="1" applyFill="1" applyBorder="1" applyAlignment="1">
      <alignment/>
    </xf>
    <xf numFmtId="0" fontId="0" fillId="24" borderId="14" xfId="0" applyFill="1" applyBorder="1" applyAlignment="1">
      <alignment/>
    </xf>
    <xf numFmtId="0" fontId="21" fillId="24" borderId="12" xfId="0" applyFont="1" applyFill="1" applyBorder="1" applyAlignment="1">
      <alignment/>
    </xf>
    <xf numFmtId="0" fontId="21" fillId="24" borderId="12" xfId="0" applyFont="1" applyFill="1" applyBorder="1" applyAlignment="1">
      <alignment vertical="top" wrapText="1"/>
    </xf>
    <xf numFmtId="0" fontId="0" fillId="24" borderId="12" xfId="0" applyFont="1" applyFill="1" applyBorder="1" applyAlignment="1">
      <alignment horizontal="left" vertical="top" wrapText="1"/>
    </xf>
    <xf numFmtId="171" fontId="0" fillId="24" borderId="12" xfId="42" applyFont="1" applyFill="1" applyBorder="1" applyAlignment="1">
      <alignment wrapText="1"/>
    </xf>
    <xf numFmtId="0" fontId="0" fillId="24" borderId="12" xfId="0" applyFont="1" applyFill="1" applyBorder="1" applyAlignment="1">
      <alignment wrapText="1"/>
    </xf>
    <xf numFmtId="43" fontId="2" fillId="24" borderId="12" xfId="49" applyFont="1" applyFill="1" applyBorder="1" applyAlignment="1">
      <alignment vertical="center" wrapText="1"/>
    </xf>
    <xf numFmtId="14" fontId="0" fillId="24" borderId="0" xfId="69" applyNumberFormat="1" applyFont="1" applyFill="1" quotePrefix="1">
      <alignment/>
      <protection/>
    </xf>
    <xf numFmtId="0" fontId="0" fillId="0" borderId="11" xfId="0" applyFont="1" applyFill="1" applyBorder="1" applyAlignment="1">
      <alignment wrapText="1"/>
    </xf>
    <xf numFmtId="0" fontId="0" fillId="0" borderId="11" xfId="0" applyFont="1" applyBorder="1" applyAlignment="1">
      <alignment/>
    </xf>
    <xf numFmtId="171" fontId="0" fillId="24" borderId="11" xfId="42" applyNumberFormat="1" applyFont="1" applyFill="1" applyBorder="1" applyAlignment="1">
      <alignment wrapText="1"/>
    </xf>
    <xf numFmtId="171" fontId="0" fillId="24" borderId="15" xfId="42" applyNumberFormat="1" applyFont="1" applyFill="1" applyBorder="1" applyAlignment="1">
      <alignment wrapText="1"/>
    </xf>
    <xf numFmtId="0" fontId="0" fillId="24" borderId="11" xfId="0" applyFont="1" applyFill="1" applyBorder="1" applyAlignment="1" quotePrefix="1">
      <alignment/>
    </xf>
    <xf numFmtId="0" fontId="0" fillId="24" borderId="12" xfId="0" applyFill="1" applyBorder="1" applyAlignment="1">
      <alignment/>
    </xf>
    <xf numFmtId="0" fontId="0" fillId="24" borderId="12" xfId="0" applyFill="1" applyBorder="1" applyAlignment="1">
      <alignment vertical="top"/>
    </xf>
    <xf numFmtId="171" fontId="0" fillId="24" borderId="12" xfId="42" applyFill="1" applyBorder="1" applyAlignment="1">
      <alignment/>
    </xf>
    <xf numFmtId="171" fontId="0" fillId="24" borderId="12" xfId="42" applyFont="1" applyFill="1" applyBorder="1" applyAlignment="1">
      <alignment/>
    </xf>
    <xf numFmtId="171" fontId="0" fillId="24" borderId="11" xfId="42" applyFont="1" applyFill="1" applyBorder="1" applyAlignment="1">
      <alignment/>
    </xf>
    <xf numFmtId="0" fontId="0" fillId="24" borderId="12" xfId="0" applyFont="1" applyFill="1" applyBorder="1" applyAlignment="1">
      <alignment/>
    </xf>
    <xf numFmtId="43" fontId="2" fillId="24" borderId="12" xfId="49" applyFont="1" applyFill="1" applyBorder="1" applyAlignment="1">
      <alignment wrapText="1"/>
    </xf>
    <xf numFmtId="171" fontId="2" fillId="24" borderId="12" xfId="42" applyNumberFormat="1" applyFont="1" applyFill="1" applyBorder="1" applyAlignment="1">
      <alignment wrapText="1"/>
    </xf>
    <xf numFmtId="43" fontId="3" fillId="0" borderId="22" xfId="49" applyFont="1" applyBorder="1" applyAlignment="1">
      <alignment vertical="center" wrapText="1"/>
    </xf>
    <xf numFmtId="43" fontId="3" fillId="0" borderId="22" xfId="49" applyFont="1" applyBorder="1" applyAlignment="1">
      <alignment horizontal="center" vertical="center" wrapText="1"/>
    </xf>
    <xf numFmtId="0" fontId="0" fillId="24" borderId="12" xfId="0" applyFont="1" applyFill="1" applyBorder="1" applyAlignment="1">
      <alignment/>
    </xf>
    <xf numFmtId="181" fontId="16" fillId="0" borderId="0" xfId="42" applyNumberFormat="1" applyFont="1" applyAlignment="1">
      <alignment/>
    </xf>
    <xf numFmtId="187" fontId="2" fillId="0" borderId="0" xfId="49" applyNumberFormat="1" applyFont="1" applyFill="1" applyBorder="1" applyAlignment="1">
      <alignment wrapText="1"/>
    </xf>
    <xf numFmtId="0" fontId="2" fillId="0" borderId="0" xfId="0" applyFont="1" applyAlignment="1" quotePrefix="1">
      <alignment/>
    </xf>
    <xf numFmtId="171" fontId="0" fillId="24" borderId="11" xfId="42" applyFont="1" applyFill="1" applyBorder="1" applyAlignment="1">
      <alignment/>
    </xf>
    <xf numFmtId="171" fontId="0" fillId="24" borderId="12" xfId="42" applyFont="1" applyFill="1" applyBorder="1" applyAlignment="1">
      <alignment/>
    </xf>
    <xf numFmtId="171" fontId="0" fillId="24" borderId="13" xfId="42" applyFont="1" applyFill="1" applyBorder="1" applyAlignment="1">
      <alignment/>
    </xf>
    <xf numFmtId="0" fontId="0" fillId="24" borderId="12" xfId="69" applyFont="1" applyFill="1" applyBorder="1">
      <alignment/>
      <protection/>
    </xf>
    <xf numFmtId="0" fontId="0" fillId="24" borderId="12" xfId="69" applyFont="1" applyFill="1" applyBorder="1">
      <alignment/>
      <protection/>
    </xf>
    <xf numFmtId="171" fontId="27" fillId="24" borderId="12" xfId="42" applyFont="1" applyFill="1" applyBorder="1" applyAlignment="1">
      <alignment/>
    </xf>
    <xf numFmtId="171" fontId="0" fillId="24" borderId="12" xfId="42" applyFont="1" applyFill="1" applyBorder="1" applyAlignment="1">
      <alignment/>
    </xf>
    <xf numFmtId="43" fontId="0" fillId="24" borderId="12" xfId="49" applyFont="1" applyFill="1" applyBorder="1" applyAlignment="1">
      <alignment horizontal="left" vertical="center"/>
    </xf>
    <xf numFmtId="0" fontId="21" fillId="24" borderId="12" xfId="69" applyFont="1" applyFill="1" applyBorder="1">
      <alignment/>
      <protection/>
    </xf>
    <xf numFmtId="171" fontId="0" fillId="24" borderId="12" xfId="0" applyNumberFormat="1" applyFont="1" applyFill="1" applyBorder="1" applyAlignment="1">
      <alignment/>
    </xf>
    <xf numFmtId="0" fontId="0" fillId="24" borderId="12" xfId="69" applyFont="1" applyFill="1" applyBorder="1" quotePrefix="1">
      <alignment/>
      <protection/>
    </xf>
    <xf numFmtId="43" fontId="21" fillId="24" borderId="11" xfId="49" applyFont="1" applyFill="1" applyBorder="1" applyAlignment="1">
      <alignment vertical="center" wrapText="1"/>
    </xf>
    <xf numFmtId="0" fontId="21" fillId="24" borderId="14" xfId="69" applyFont="1" applyFill="1" applyBorder="1" applyAlignment="1">
      <alignment horizontal="center"/>
      <protection/>
    </xf>
    <xf numFmtId="0" fontId="21" fillId="24" borderId="14" xfId="69" applyFont="1" applyFill="1" applyBorder="1">
      <alignment/>
      <protection/>
    </xf>
    <xf numFmtId="0" fontId="0" fillId="24" borderId="13" xfId="69" applyFont="1" applyFill="1" applyBorder="1" applyAlignment="1" quotePrefix="1">
      <alignment vertical="center"/>
      <protection/>
    </xf>
    <xf numFmtId="43" fontId="2" fillId="24" borderId="12" xfId="49" applyFont="1" applyFill="1" applyBorder="1" applyAlignment="1">
      <alignment horizontal="center" vertical="center" wrapText="1"/>
    </xf>
    <xf numFmtId="43" fontId="3" fillId="0" borderId="22" xfId="49" applyFont="1" applyBorder="1" applyAlignment="1">
      <alignment horizontal="center" wrapText="1"/>
    </xf>
    <xf numFmtId="43" fontId="3" fillId="0" borderId="22" xfId="49" applyFont="1" applyBorder="1" applyAlignment="1">
      <alignment horizontal="center" vertical="center"/>
    </xf>
    <xf numFmtId="43" fontId="3" fillId="0" borderId="14" xfId="49" applyFont="1" applyBorder="1" applyAlignment="1">
      <alignment horizontal="center" vertical="center" wrapText="1"/>
    </xf>
    <xf numFmtId="171" fontId="16" fillId="0" borderId="0" xfId="42" applyFont="1" applyAlignment="1">
      <alignment/>
    </xf>
    <xf numFmtId="0" fontId="22" fillId="0" borderId="11" xfId="0" applyFont="1" applyBorder="1" applyAlignment="1">
      <alignment/>
    </xf>
    <xf numFmtId="0" fontId="0" fillId="0" borderId="14" xfId="0" applyFont="1" applyBorder="1" applyAlignment="1">
      <alignment/>
    </xf>
    <xf numFmtId="181" fontId="0" fillId="0" borderId="12" xfId="42" applyNumberFormat="1" applyFont="1" applyBorder="1" applyAlignment="1">
      <alignment/>
    </xf>
    <xf numFmtId="171" fontId="0" fillId="0" borderId="12" xfId="42" applyNumberFormat="1" applyFont="1" applyBorder="1" applyAlignment="1">
      <alignment/>
    </xf>
    <xf numFmtId="0" fontId="0" fillId="0" borderId="0" xfId="0" applyFont="1" applyAlignment="1">
      <alignment/>
    </xf>
    <xf numFmtId="0" fontId="21" fillId="0" borderId="12" xfId="0" applyFont="1" applyBorder="1" applyAlignment="1" quotePrefix="1">
      <alignment horizontal="left" vertical="top" wrapText="1"/>
    </xf>
    <xf numFmtId="171" fontId="0" fillId="24" borderId="11" xfId="42" applyFont="1" applyFill="1" applyBorder="1" applyAlignment="1">
      <alignment/>
    </xf>
    <xf numFmtId="171" fontId="0" fillId="0" borderId="15" xfId="42" applyNumberFormat="1" applyFont="1" applyBorder="1" applyAlignment="1">
      <alignment/>
    </xf>
    <xf numFmtId="0" fontId="0" fillId="0" borderId="15" xfId="0" applyFont="1" applyBorder="1" applyAlignment="1" quotePrefix="1">
      <alignment/>
    </xf>
    <xf numFmtId="181" fontId="0" fillId="0" borderId="12" xfId="42" applyNumberFormat="1" applyFont="1" applyBorder="1" applyAlignment="1">
      <alignment vertical="top"/>
    </xf>
    <xf numFmtId="171" fontId="0" fillId="0" borderId="12" xfId="42" applyNumberFormat="1" applyFont="1" applyBorder="1" applyAlignment="1">
      <alignment vertical="top"/>
    </xf>
    <xf numFmtId="171" fontId="0" fillId="0" borderId="12" xfId="42" applyNumberFormat="1" applyFont="1" applyBorder="1" applyAlignment="1">
      <alignment/>
    </xf>
    <xf numFmtId="0" fontId="0" fillId="0" borderId="12" xfId="0" applyFont="1" applyBorder="1" applyAlignment="1" quotePrefix="1">
      <alignment/>
    </xf>
    <xf numFmtId="43" fontId="2" fillId="24" borderId="12" xfId="49" applyFont="1" applyFill="1" applyBorder="1" applyAlignment="1" quotePrefix="1">
      <alignment vertical="center" wrapText="1"/>
    </xf>
    <xf numFmtId="43" fontId="2" fillId="24" borderId="12" xfId="49" applyFont="1" applyFill="1" applyBorder="1" applyAlignment="1">
      <alignment horizontal="left" vertical="center" wrapText="1"/>
    </xf>
    <xf numFmtId="43" fontId="2" fillId="24" borderId="11" xfId="49" applyFont="1" applyFill="1" applyBorder="1" applyAlignment="1">
      <alignment wrapText="1"/>
    </xf>
    <xf numFmtId="181" fontId="0" fillId="24" borderId="10" xfId="42" applyNumberFormat="1" applyFont="1" applyFill="1" applyBorder="1" applyAlignment="1">
      <alignment vertical="top"/>
    </xf>
    <xf numFmtId="0" fontId="0" fillId="24" borderId="12" xfId="69" applyFont="1" applyFill="1" applyBorder="1" applyAlignment="1">
      <alignment horizontal="left"/>
      <protection/>
    </xf>
    <xf numFmtId="0" fontId="0" fillId="24" borderId="12" xfId="0" applyFont="1" applyFill="1" applyBorder="1" applyAlignment="1" quotePrefix="1">
      <alignment vertical="center"/>
    </xf>
    <xf numFmtId="171" fontId="21" fillId="24" borderId="14" xfId="69" applyNumberFormat="1" applyFont="1" applyFill="1" applyBorder="1" applyAlignment="1">
      <alignment horizontal="center"/>
      <protection/>
    </xf>
    <xf numFmtId="0" fontId="16" fillId="0" borderId="0" xfId="69" applyFont="1">
      <alignment/>
      <protection/>
    </xf>
    <xf numFmtId="0" fontId="21" fillId="24" borderId="12" xfId="69" applyFont="1" applyFill="1" applyBorder="1" applyAlignment="1" quotePrefix="1">
      <alignment wrapText="1"/>
      <protection/>
    </xf>
    <xf numFmtId="171" fontId="0" fillId="0" borderId="13" xfId="42" applyFont="1" applyFill="1" applyBorder="1" applyAlignment="1">
      <alignment/>
    </xf>
    <xf numFmtId="43" fontId="16" fillId="0" borderId="0" xfId="69" applyNumberFormat="1" applyFont="1">
      <alignment/>
      <protection/>
    </xf>
    <xf numFmtId="0" fontId="21" fillId="24" borderId="15" xfId="0" applyFont="1" applyFill="1" applyBorder="1" applyAlignment="1">
      <alignment horizontal="center"/>
    </xf>
    <xf numFmtId="171" fontId="0" fillId="0" borderId="12" xfId="42" applyFont="1" applyBorder="1" applyAlignment="1">
      <alignment/>
    </xf>
    <xf numFmtId="0" fontId="0" fillId="24" borderId="15" xfId="69" applyFont="1" applyFill="1" applyBorder="1">
      <alignment/>
      <protection/>
    </xf>
    <xf numFmtId="171" fontId="0" fillId="24" borderId="15" xfId="42" applyFont="1" applyFill="1" applyBorder="1" applyAlignment="1">
      <alignment/>
    </xf>
    <xf numFmtId="0" fontId="21" fillId="0" borderId="12" xfId="0" applyFont="1" applyFill="1" applyBorder="1" applyAlignment="1">
      <alignment wrapText="1"/>
    </xf>
    <xf numFmtId="0" fontId="57" fillId="0" borderId="15" xfId="0" applyFont="1" applyBorder="1" applyAlignment="1">
      <alignment/>
    </xf>
    <xf numFmtId="0" fontId="0" fillId="0" borderId="11" xfId="0" applyFont="1" applyBorder="1" applyAlignment="1">
      <alignment wrapText="1"/>
    </xf>
    <xf numFmtId="171" fontId="0" fillId="24" borderId="25" xfId="42" applyFont="1" applyFill="1" applyBorder="1" applyAlignment="1">
      <alignment/>
    </xf>
    <xf numFmtId="43" fontId="2" fillId="0" borderId="24" xfId="49" applyFont="1" applyFill="1" applyBorder="1" applyAlignment="1">
      <alignment vertical="center" wrapText="1"/>
    </xf>
    <xf numFmtId="43" fontId="2" fillId="0" borderId="26" xfId="49" applyFont="1" applyFill="1" applyBorder="1" applyAlignment="1">
      <alignment vertical="center" wrapText="1"/>
    </xf>
    <xf numFmtId="0" fontId="0" fillId="0" borderId="26" xfId="42" applyNumberFormat="1" applyFont="1" applyBorder="1" applyAlignment="1">
      <alignment horizontal="center" vertical="center" wrapText="1"/>
    </xf>
    <xf numFmtId="171" fontId="21" fillId="0" borderId="15" xfId="42" applyNumberFormat="1" applyFont="1" applyBorder="1" applyAlignment="1" quotePrefix="1">
      <alignment horizontal="left" vertical="top" wrapText="1"/>
    </xf>
    <xf numFmtId="0" fontId="21" fillId="0" borderId="12" xfId="0" applyFont="1" applyBorder="1" applyAlignment="1" quotePrefix="1">
      <alignment horizontal="left" vertical="top"/>
    </xf>
    <xf numFmtId="0" fontId="0" fillId="0" borderId="15" xfId="0" applyFont="1" applyBorder="1" applyAlignment="1">
      <alignment wrapText="1"/>
    </xf>
    <xf numFmtId="171" fontId="0" fillId="24" borderId="11" xfId="42" applyFont="1" applyFill="1" applyBorder="1" applyAlignment="1">
      <alignment vertical="top" wrapText="1"/>
    </xf>
    <xf numFmtId="171" fontId="0" fillId="0" borderId="12" xfId="0" applyNumberFormat="1" applyBorder="1" applyAlignment="1">
      <alignment/>
    </xf>
    <xf numFmtId="171" fontId="0" fillId="24" borderId="11" xfId="42" applyNumberFormat="1" applyFont="1" applyFill="1" applyBorder="1" applyAlignment="1">
      <alignment/>
    </xf>
    <xf numFmtId="171" fontId="0" fillId="0" borderId="11" xfId="42" applyNumberFormat="1" applyFont="1" applyFill="1" applyBorder="1" applyAlignment="1">
      <alignment/>
    </xf>
    <xf numFmtId="171" fontId="0" fillId="24" borderId="12" xfId="42" applyNumberFormat="1" applyFont="1" applyFill="1" applyBorder="1" applyAlignment="1">
      <alignment/>
    </xf>
    <xf numFmtId="43" fontId="2" fillId="0" borderId="12" xfId="49" applyFont="1" applyFill="1" applyBorder="1" applyAlignment="1">
      <alignment horizontal="left" vertical="center" wrapText="1"/>
    </xf>
    <xf numFmtId="171" fontId="2" fillId="0" borderId="12" xfId="0" applyNumberFormat="1" applyFont="1" applyFill="1" applyBorder="1" applyAlignment="1">
      <alignment/>
    </xf>
    <xf numFmtId="171" fontId="2" fillId="0" borderId="12" xfId="42" applyNumberFormat="1" applyFont="1" applyFill="1" applyBorder="1" applyAlignment="1">
      <alignment/>
    </xf>
    <xf numFmtId="43" fontId="2" fillId="0" borderId="12" xfId="49" applyFont="1" applyFill="1" applyBorder="1" applyAlignment="1">
      <alignment wrapText="1"/>
    </xf>
    <xf numFmtId="43" fontId="3" fillId="0" borderId="11" xfId="49" applyFont="1" applyFill="1" applyBorder="1" applyAlignment="1">
      <alignment wrapText="1"/>
    </xf>
    <xf numFmtId="43" fontId="3" fillId="0" borderId="12" xfId="49" applyFont="1" applyFill="1" applyBorder="1" applyAlignment="1">
      <alignment wrapText="1"/>
    </xf>
    <xf numFmtId="43" fontId="2" fillId="0" borderId="12" xfId="49" applyFont="1" applyFill="1" applyBorder="1" applyAlignment="1">
      <alignment vertical="center" wrapText="1"/>
    </xf>
    <xf numFmtId="43" fontId="2" fillId="0" borderId="11" xfId="49" applyFont="1" applyFill="1" applyBorder="1" applyAlignment="1">
      <alignment horizontal="center" vertical="center" wrapText="1"/>
    </xf>
    <xf numFmtId="43" fontId="58" fillId="0" borderId="12" xfId="49" applyFont="1" applyFill="1" applyBorder="1" applyAlignment="1">
      <alignment horizontal="center" vertical="center" wrapText="1"/>
    </xf>
    <xf numFmtId="43" fontId="2" fillId="0" borderId="11" xfId="49" applyFont="1" applyFill="1" applyBorder="1" applyAlignment="1">
      <alignment vertical="center" wrapText="1"/>
    </xf>
    <xf numFmtId="171" fontId="2" fillId="0" borderId="0" xfId="0" applyNumberFormat="1" applyFont="1" applyFill="1" applyAlignment="1">
      <alignment vertical="top" wrapText="1"/>
    </xf>
    <xf numFmtId="43" fontId="2" fillId="0" borderId="15" xfId="49" applyFont="1" applyFill="1" applyBorder="1" applyAlignment="1">
      <alignment wrapText="1"/>
    </xf>
    <xf numFmtId="43" fontId="2" fillId="0" borderId="13" xfId="49" applyFont="1" applyFill="1" applyBorder="1" applyAlignment="1">
      <alignment wrapText="1"/>
    </xf>
    <xf numFmtId="171" fontId="2" fillId="0" borderId="12" xfId="0" applyNumberFormat="1" applyFont="1" applyFill="1" applyBorder="1" applyAlignment="1">
      <alignment vertical="top"/>
    </xf>
    <xf numFmtId="171" fontId="2" fillId="0" borderId="27" xfId="42" applyFont="1" applyFill="1" applyBorder="1" applyAlignment="1">
      <alignment/>
    </xf>
    <xf numFmtId="43" fontId="2" fillId="0" borderId="28" xfId="49" applyFont="1" applyFill="1" applyBorder="1" applyAlignment="1">
      <alignment wrapText="1"/>
    </xf>
    <xf numFmtId="43" fontId="2" fillId="0" borderId="11" xfId="49" applyFont="1" applyFill="1" applyBorder="1" applyAlignment="1">
      <alignment wrapText="1"/>
    </xf>
    <xf numFmtId="43" fontId="3" fillId="24" borderId="12" xfId="49" applyFont="1" applyFill="1" applyBorder="1" applyAlignment="1">
      <alignment wrapText="1"/>
    </xf>
    <xf numFmtId="0" fontId="0" fillId="24" borderId="11" xfId="0" applyFont="1" applyFill="1" applyBorder="1" applyAlignment="1" quotePrefix="1">
      <alignment wrapText="1"/>
    </xf>
    <xf numFmtId="171" fontId="0" fillId="24" borderId="12" xfId="42" applyNumberFormat="1" applyFont="1" applyFill="1" applyBorder="1" applyAlignment="1" quotePrefix="1">
      <alignment horizontal="left" vertical="top" wrapText="1"/>
    </xf>
    <xf numFmtId="43" fontId="0" fillId="24" borderId="12" xfId="51" applyFont="1" applyFill="1" applyBorder="1" applyAlignment="1">
      <alignment/>
    </xf>
    <xf numFmtId="171" fontId="0" fillId="24" borderId="11" xfId="42" applyFont="1" applyFill="1" applyBorder="1" applyAlignment="1">
      <alignment wrapText="1"/>
    </xf>
    <xf numFmtId="171" fontId="21" fillId="25" borderId="13" xfId="42" applyFont="1" applyFill="1" applyBorder="1" applyAlignment="1">
      <alignment horizontal="center"/>
    </xf>
    <xf numFmtId="171" fontId="59" fillId="24" borderId="12" xfId="42" applyFont="1" applyFill="1" applyBorder="1" applyAlignment="1">
      <alignment/>
    </xf>
    <xf numFmtId="171" fontId="2" fillId="24" borderId="12" xfId="0" applyNumberFormat="1" applyFont="1" applyFill="1" applyBorder="1" applyAlignment="1">
      <alignment vertical="top" wrapText="1"/>
    </xf>
    <xf numFmtId="171" fontId="21" fillId="0" borderId="14" xfId="42" applyFont="1" applyBorder="1" applyAlignment="1" quotePrefix="1">
      <alignment wrapText="1"/>
    </xf>
    <xf numFmtId="43" fontId="0" fillId="0" borderId="0" xfId="0" applyNumberFormat="1" applyBorder="1" applyAlignment="1">
      <alignment/>
    </xf>
    <xf numFmtId="0" fontId="21" fillId="0" borderId="23" xfId="0" applyFont="1" applyBorder="1" applyAlignment="1">
      <alignment horizontal="center" vertical="center"/>
    </xf>
    <xf numFmtId="171" fontId="0" fillId="24" borderId="12" xfId="42" applyFont="1" applyFill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171" fontId="0" fillId="24" borderId="12" xfId="42" applyNumberFormat="1" applyFont="1" applyFill="1" applyBorder="1" applyAlignment="1">
      <alignment/>
    </xf>
    <xf numFmtId="0" fontId="21" fillId="0" borderId="15" xfId="0" applyFont="1" applyBorder="1" applyAlignment="1">
      <alignment horizontal="center" vertical="center"/>
    </xf>
    <xf numFmtId="0" fontId="21" fillId="0" borderId="15" xfId="0" applyFont="1" applyBorder="1" applyAlignment="1" quotePrefix="1">
      <alignment horizontal="left" vertical="top"/>
    </xf>
    <xf numFmtId="0" fontId="0" fillId="24" borderId="12" xfId="0" applyFont="1" applyFill="1" applyBorder="1" applyAlignment="1">
      <alignment vertical="top" wrapText="1"/>
    </xf>
    <xf numFmtId="0" fontId="0" fillId="0" borderId="11" xfId="0" applyFont="1" applyBorder="1" applyAlignment="1">
      <alignment horizontal="center"/>
    </xf>
    <xf numFmtId="0" fontId="0" fillId="0" borderId="0" xfId="67">
      <alignment/>
      <protection/>
    </xf>
    <xf numFmtId="0" fontId="21" fillId="0" borderId="10" xfId="67" applyFont="1" applyBorder="1" applyAlignment="1" quotePrefix="1">
      <alignment horizontal="left" vertical="top"/>
      <protection/>
    </xf>
    <xf numFmtId="0" fontId="0" fillId="0" borderId="10" xfId="67" applyBorder="1" applyAlignment="1" quotePrefix="1">
      <alignment vertical="center"/>
      <protection/>
    </xf>
    <xf numFmtId="0" fontId="0" fillId="0" borderId="10" xfId="67" applyBorder="1">
      <alignment/>
      <protection/>
    </xf>
    <xf numFmtId="0" fontId="21" fillId="0" borderId="12" xfId="67" applyFont="1" applyBorder="1">
      <alignment/>
      <protection/>
    </xf>
    <xf numFmtId="0" fontId="0" fillId="0" borderId="11" xfId="67" applyBorder="1" applyAlignment="1" quotePrefix="1">
      <alignment vertical="center"/>
      <protection/>
    </xf>
    <xf numFmtId="0" fontId="0" fillId="0" borderId="11" xfId="67" applyBorder="1">
      <alignment/>
      <protection/>
    </xf>
    <xf numFmtId="0" fontId="0" fillId="24" borderId="11" xfId="67" applyFont="1" applyFill="1" applyBorder="1" applyAlignment="1">
      <alignment wrapText="1"/>
      <protection/>
    </xf>
    <xf numFmtId="0" fontId="0" fillId="0" borderId="11" xfId="67" applyFont="1" applyBorder="1" applyAlignment="1" quotePrefix="1">
      <alignment/>
      <protection/>
    </xf>
    <xf numFmtId="0" fontId="0" fillId="0" borderId="11" xfId="67" applyFont="1" applyBorder="1">
      <alignment/>
      <protection/>
    </xf>
    <xf numFmtId="0" fontId="0" fillId="24" borderId="12" xfId="67" applyFont="1" applyFill="1" applyBorder="1" applyAlignment="1">
      <alignment wrapText="1"/>
      <protection/>
    </xf>
    <xf numFmtId="0" fontId="21" fillId="24" borderId="12" xfId="67" applyFont="1" applyFill="1" applyBorder="1">
      <alignment/>
      <protection/>
    </xf>
    <xf numFmtId="171" fontId="22" fillId="24" borderId="11" xfId="67" applyNumberFormat="1" applyFont="1" applyFill="1" applyBorder="1" applyAlignment="1">
      <alignment/>
      <protection/>
    </xf>
    <xf numFmtId="0" fontId="0" fillId="24" borderId="12" xfId="67" applyFill="1" applyBorder="1" applyAlignment="1">
      <alignment/>
      <protection/>
    </xf>
    <xf numFmtId="0" fontId="0" fillId="0" borderId="12" xfId="67" applyBorder="1" applyAlignment="1">
      <alignment/>
      <protection/>
    </xf>
    <xf numFmtId="0" fontId="0" fillId="24" borderId="12" xfId="67" applyFont="1" applyFill="1" applyBorder="1" applyAlignment="1">
      <alignment/>
      <protection/>
    </xf>
    <xf numFmtId="0" fontId="21" fillId="0" borderId="14" xfId="67" applyFont="1" applyBorder="1" applyAlignment="1">
      <alignment horizontal="center" vertical="top"/>
      <protection/>
    </xf>
    <xf numFmtId="0" fontId="0" fillId="0" borderId="14" xfId="67" applyBorder="1">
      <alignment/>
      <protection/>
    </xf>
    <xf numFmtId="171" fontId="0" fillId="0" borderId="0" xfId="67" applyNumberFormat="1">
      <alignment/>
      <protection/>
    </xf>
    <xf numFmtId="43" fontId="0" fillId="0" borderId="0" xfId="67" applyNumberFormat="1">
      <alignment/>
      <protection/>
    </xf>
    <xf numFmtId="14" fontId="0" fillId="0" borderId="0" xfId="67" applyNumberFormat="1" quotePrefix="1">
      <alignment/>
      <protection/>
    </xf>
    <xf numFmtId="0" fontId="0" fillId="0" borderId="0" xfId="67" applyFill="1">
      <alignment/>
      <protection/>
    </xf>
    <xf numFmtId="0" fontId="0" fillId="0" borderId="10" xfId="0" applyFont="1" applyBorder="1" applyAlignment="1" quotePrefix="1">
      <alignment wrapText="1"/>
    </xf>
    <xf numFmtId="0" fontId="0" fillId="0" borderId="10" xfId="0" applyFont="1" applyBorder="1" applyAlignment="1" quotePrefix="1">
      <alignment vertical="center"/>
    </xf>
    <xf numFmtId="181" fontId="0" fillId="0" borderId="11" xfId="42" applyNumberFormat="1" applyFont="1" applyBorder="1" applyAlignment="1">
      <alignment/>
    </xf>
    <xf numFmtId="171" fontId="0" fillId="0" borderId="12" xfId="42" applyFont="1" applyBorder="1" applyAlignment="1">
      <alignment wrapText="1"/>
    </xf>
    <xf numFmtId="0" fontId="0" fillId="0" borderId="17" xfId="0" applyFont="1" applyFill="1" applyBorder="1" applyAlignment="1">
      <alignment/>
    </xf>
    <xf numFmtId="0" fontId="0" fillId="24" borderId="15" xfId="0" applyFont="1" applyFill="1" applyBorder="1" applyAlignment="1" quotePrefix="1">
      <alignment vertical="top" wrapText="1"/>
    </xf>
    <xf numFmtId="171" fontId="0" fillId="24" borderId="15" xfId="42" applyFont="1" applyFill="1" applyBorder="1" applyAlignment="1">
      <alignment/>
    </xf>
    <xf numFmtId="0" fontId="0" fillId="24" borderId="15" xfId="0" applyFont="1" applyFill="1" applyBorder="1" applyAlignment="1">
      <alignment/>
    </xf>
    <xf numFmtId="171" fontId="0" fillId="24" borderId="15" xfId="42" applyFont="1" applyFill="1" applyBorder="1" applyAlignment="1">
      <alignment/>
    </xf>
    <xf numFmtId="171" fontId="0" fillId="24" borderId="15" xfId="42" applyNumberFormat="1" applyFont="1" applyFill="1" applyBorder="1" applyAlignment="1">
      <alignment/>
    </xf>
    <xf numFmtId="0" fontId="0" fillId="24" borderId="15" xfId="0" applyFont="1" applyFill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11" xfId="0" applyBorder="1" applyAlignment="1" quotePrefix="1">
      <alignment vertical="center" wrapText="1"/>
    </xf>
    <xf numFmtId="43" fontId="0" fillId="0" borderId="11" xfId="42" applyNumberFormat="1" applyFont="1" applyBorder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171" fontId="0" fillId="24" borderId="12" xfId="42" applyNumberFormat="1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0" borderId="11" xfId="0" applyBorder="1" applyAlignment="1" quotePrefix="1">
      <alignment/>
    </xf>
    <xf numFmtId="171" fontId="0" fillId="0" borderId="15" xfId="42" applyNumberFormat="1" applyFont="1" applyBorder="1" applyAlignment="1">
      <alignment wrapText="1"/>
    </xf>
    <xf numFmtId="171" fontId="21" fillId="0" borderId="12" xfId="42" applyNumberFormat="1" applyFont="1" applyBorder="1" applyAlignment="1" quotePrefix="1">
      <alignment horizontal="left" vertical="top" wrapText="1"/>
    </xf>
    <xf numFmtId="171" fontId="0" fillId="0" borderId="12" xfId="42" applyNumberFormat="1" applyFont="1" applyBorder="1" applyAlignment="1" quotePrefix="1">
      <alignment wrapText="1"/>
    </xf>
    <xf numFmtId="171" fontId="0" fillId="24" borderId="12" xfId="42" applyFont="1" applyFill="1" applyBorder="1" applyAlignment="1">
      <alignment vertical="top" wrapText="1"/>
    </xf>
    <xf numFmtId="0" fontId="0" fillId="24" borderId="11" xfId="0" applyFont="1" applyFill="1" applyBorder="1" applyAlignment="1">
      <alignment vertical="top" wrapText="1"/>
    </xf>
    <xf numFmtId="171" fontId="60" fillId="24" borderId="12" xfId="42" applyFont="1" applyFill="1" applyBorder="1" applyAlignment="1">
      <alignment/>
    </xf>
    <xf numFmtId="0" fontId="0" fillId="24" borderId="12" xfId="49" applyNumberFormat="1" applyFont="1" applyFill="1" applyBorder="1" applyAlignment="1">
      <alignment horizontal="left" vertical="center"/>
    </xf>
    <xf numFmtId="0" fontId="0" fillId="24" borderId="13" xfId="69" applyFont="1" applyFill="1" applyBorder="1">
      <alignment/>
      <protection/>
    </xf>
    <xf numFmtId="171" fontId="59" fillId="24" borderId="11" xfId="42" applyFont="1" applyFill="1" applyBorder="1" applyAlignment="1">
      <alignment/>
    </xf>
    <xf numFmtId="171" fontId="0" fillId="24" borderId="11" xfId="0" applyNumberFormat="1" applyFont="1" applyFill="1" applyBorder="1" applyAlignment="1">
      <alignment/>
    </xf>
    <xf numFmtId="171" fontId="0" fillId="24" borderId="11" xfId="42" applyFont="1" applyFill="1" applyBorder="1" applyAlignment="1">
      <alignment/>
    </xf>
    <xf numFmtId="171" fontId="0" fillId="0" borderId="15" xfId="42" applyFont="1" applyBorder="1" applyAlignment="1">
      <alignment/>
    </xf>
    <xf numFmtId="0" fontId="0" fillId="0" borderId="15" xfId="0" applyBorder="1" applyAlignment="1">
      <alignment wrapText="1"/>
    </xf>
    <xf numFmtId="171" fontId="0" fillId="0" borderId="15" xfId="42" applyFont="1" applyBorder="1" applyAlignment="1">
      <alignment wrapText="1"/>
    </xf>
    <xf numFmtId="171" fontId="0" fillId="0" borderId="13" xfId="42" applyNumberFormat="1" applyFont="1" applyBorder="1" applyAlignment="1" quotePrefix="1">
      <alignment wrapText="1"/>
    </xf>
    <xf numFmtId="171" fontId="0" fillId="0" borderId="12" xfId="42" applyNumberFormat="1" applyFont="1" applyBorder="1" applyAlignment="1">
      <alignment wrapText="1"/>
    </xf>
    <xf numFmtId="171" fontId="0" fillId="0" borderId="11" xfId="42" applyFont="1" applyBorder="1" applyAlignment="1">
      <alignment wrapText="1"/>
    </xf>
    <xf numFmtId="171" fontId="0" fillId="0" borderId="11" xfId="42" applyNumberFormat="1" applyFont="1" applyBorder="1" applyAlignment="1" quotePrefix="1">
      <alignment wrapText="1"/>
    </xf>
    <xf numFmtId="181" fontId="0" fillId="24" borderId="20" xfId="42" applyNumberFormat="1" applyFont="1" applyFill="1" applyBorder="1" applyAlignment="1">
      <alignment wrapText="1"/>
    </xf>
    <xf numFmtId="171" fontId="0" fillId="24" borderId="20" xfId="42" applyNumberFormat="1" applyFont="1" applyFill="1" applyBorder="1" applyAlignment="1">
      <alignment wrapText="1"/>
    </xf>
    <xf numFmtId="171" fontId="0" fillId="24" borderId="12" xfId="42" applyNumberFormat="1" applyFont="1" applyFill="1" applyBorder="1" applyAlignment="1">
      <alignment wrapText="1"/>
    </xf>
    <xf numFmtId="0" fontId="0" fillId="0" borderId="11" xfId="0" applyFont="1" applyBorder="1" applyAlignment="1">
      <alignment vertical="top" wrapText="1"/>
    </xf>
    <xf numFmtId="0" fontId="0" fillId="24" borderId="11" xfId="0" applyFill="1" applyBorder="1" applyAlignment="1">
      <alignment/>
    </xf>
    <xf numFmtId="171" fontId="0" fillId="0" borderId="15" xfId="42" applyNumberFormat="1" applyBorder="1" applyAlignment="1">
      <alignment/>
    </xf>
    <xf numFmtId="171" fontId="0" fillId="0" borderId="15" xfId="42" applyFont="1" applyBorder="1" applyAlignment="1">
      <alignment/>
    </xf>
    <xf numFmtId="0" fontId="0" fillId="0" borderId="15" xfId="0" applyFont="1" applyBorder="1" applyAlignment="1" quotePrefix="1">
      <alignment vertical="center"/>
    </xf>
    <xf numFmtId="0" fontId="0" fillId="0" borderId="15" xfId="0" applyBorder="1" applyAlignment="1" quotePrefix="1">
      <alignment vertical="justify"/>
    </xf>
    <xf numFmtId="171" fontId="0" fillId="0" borderId="13" xfId="42" applyBorder="1" applyAlignment="1">
      <alignment/>
    </xf>
    <xf numFmtId="0" fontId="0" fillId="0" borderId="0" xfId="0" applyFont="1" applyAlignment="1">
      <alignment vertical="top"/>
    </xf>
    <xf numFmtId="0" fontId="0" fillId="24" borderId="12" xfId="69" applyFont="1" applyFill="1" applyBorder="1" applyAlignment="1" quotePrefix="1">
      <alignment wrapText="1"/>
      <protection/>
    </xf>
    <xf numFmtId="171" fontId="0" fillId="24" borderId="11" xfId="42" applyNumberFormat="1" applyFont="1" applyFill="1" applyBorder="1" applyAlignment="1">
      <alignment vertical="top"/>
    </xf>
    <xf numFmtId="181" fontId="0" fillId="0" borderId="12" xfId="42" applyNumberFormat="1" applyFont="1" applyBorder="1" applyAlignment="1">
      <alignment/>
    </xf>
    <xf numFmtId="0" fontId="0" fillId="0" borderId="12" xfId="0" applyFont="1" applyBorder="1" applyAlignment="1" quotePrefix="1">
      <alignment vertical="center"/>
    </xf>
    <xf numFmtId="0" fontId="0" fillId="0" borderId="12" xfId="0" applyBorder="1" applyAlignment="1" quotePrefix="1">
      <alignment vertical="justify"/>
    </xf>
    <xf numFmtId="0" fontId="0" fillId="24" borderId="13" xfId="67" applyFont="1" applyFill="1" applyBorder="1" applyAlignment="1">
      <alignment vertical="top" wrapText="1"/>
      <protection/>
    </xf>
    <xf numFmtId="0" fontId="0" fillId="24" borderId="13" xfId="67" applyFill="1" applyBorder="1" applyAlignment="1">
      <alignment/>
      <protection/>
    </xf>
    <xf numFmtId="0" fontId="0" fillId="24" borderId="12" xfId="0" applyFill="1" applyBorder="1" applyAlignment="1">
      <alignment/>
    </xf>
    <xf numFmtId="9" fontId="0" fillId="24" borderId="12" xfId="0" applyNumberForma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171" fontId="0" fillId="24" borderId="13" xfId="42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3" xfId="0" applyFill="1" applyBorder="1" applyAlignment="1">
      <alignment horizontal="center"/>
    </xf>
    <xf numFmtId="171" fontId="0" fillId="24" borderId="12" xfId="0" applyNumberFormat="1" applyFill="1" applyBorder="1" applyAlignment="1">
      <alignment horizontal="center"/>
    </xf>
    <xf numFmtId="171" fontId="0" fillId="24" borderId="14" xfId="0" applyNumberFormat="1" applyFill="1" applyBorder="1" applyAlignment="1">
      <alignment/>
    </xf>
    <xf numFmtId="171" fontId="2" fillId="0" borderId="13" xfId="0" applyNumberFormat="1" applyFont="1" applyFill="1" applyBorder="1" applyAlignment="1">
      <alignment vertical="top" wrapText="1"/>
    </xf>
    <xf numFmtId="0" fontId="2" fillId="24" borderId="13" xfId="0" applyFont="1" applyFill="1" applyBorder="1" applyAlignment="1">
      <alignment/>
    </xf>
    <xf numFmtId="171" fontId="0" fillId="0" borderId="0" xfId="0" applyNumberFormat="1" applyAlignment="1">
      <alignment vertical="top"/>
    </xf>
    <xf numFmtId="171" fontId="21" fillId="0" borderId="14" xfId="42" applyFont="1" applyBorder="1" applyAlignment="1">
      <alignment wrapText="1"/>
    </xf>
    <xf numFmtId="171" fontId="0" fillId="24" borderId="10" xfId="42" applyFont="1" applyFill="1" applyBorder="1" applyAlignment="1">
      <alignment vertical="top" wrapText="1"/>
    </xf>
    <xf numFmtId="171" fontId="0" fillId="24" borderId="10" xfId="42" applyNumberFormat="1" applyFont="1" applyFill="1" applyBorder="1" applyAlignment="1">
      <alignment vertical="top" wrapText="1"/>
    </xf>
    <xf numFmtId="0" fontId="0" fillId="24" borderId="10" xfId="0" applyFill="1" applyBorder="1" applyAlignment="1" quotePrefix="1">
      <alignment vertical="top" wrapText="1"/>
    </xf>
    <xf numFmtId="0" fontId="0" fillId="24" borderId="10" xfId="0" applyFill="1" applyBorder="1" applyAlignment="1">
      <alignment vertical="top" wrapText="1"/>
    </xf>
    <xf numFmtId="171" fontId="2" fillId="0" borderId="12" xfId="42" applyFont="1" applyBorder="1" applyAlignment="1">
      <alignment vertical="top" wrapText="1"/>
    </xf>
    <xf numFmtId="171" fontId="0" fillId="24" borderId="11" xfId="42" applyNumberFormat="1" applyFont="1" applyFill="1" applyBorder="1" applyAlignment="1" quotePrefix="1">
      <alignment horizontal="left" vertical="top" wrapText="1"/>
    </xf>
    <xf numFmtId="171" fontId="16" fillId="0" borderId="0" xfId="42" applyNumberFormat="1" applyFont="1" applyAlignment="1">
      <alignment/>
    </xf>
    <xf numFmtId="0" fontId="61" fillId="24" borderId="0" xfId="69" applyFont="1" applyFill="1" applyBorder="1" applyAlignment="1">
      <alignment horizontal="center"/>
      <protection/>
    </xf>
    <xf numFmtId="0" fontId="29" fillId="24" borderId="16" xfId="69" applyFont="1" applyFill="1" applyBorder="1" applyAlignment="1">
      <alignment horizontal="center"/>
      <protection/>
    </xf>
    <xf numFmtId="43" fontId="29" fillId="24" borderId="16" xfId="69" applyNumberFormat="1" applyFont="1" applyFill="1" applyBorder="1" applyAlignment="1">
      <alignment horizontal="center"/>
      <protection/>
    </xf>
    <xf numFmtId="171" fontId="29" fillId="24" borderId="0" xfId="42" applyFont="1" applyFill="1" applyBorder="1" applyAlignment="1">
      <alignment horizontal="center"/>
    </xf>
    <xf numFmtId="0" fontId="29" fillId="24" borderId="0" xfId="69" applyFont="1" applyFill="1" applyBorder="1" applyAlignment="1">
      <alignment horizontal="center"/>
      <protection/>
    </xf>
    <xf numFmtId="171" fontId="21" fillId="24" borderId="22" xfId="42" applyFont="1" applyFill="1" applyBorder="1" applyAlignment="1">
      <alignment horizontal="center" vertical="center" wrapText="1"/>
    </xf>
    <xf numFmtId="0" fontId="21" fillId="24" borderId="22" xfId="0" applyFont="1" applyFill="1" applyBorder="1" applyAlignment="1">
      <alignment horizontal="center" vertical="center" wrapText="1"/>
    </xf>
    <xf numFmtId="0" fontId="21" fillId="24" borderId="22" xfId="69" applyFont="1" applyFill="1" applyBorder="1" applyAlignment="1">
      <alignment horizontal="center"/>
      <protection/>
    </xf>
    <xf numFmtId="0" fontId="21" fillId="24" borderId="23" xfId="69" applyFont="1" applyFill="1" applyBorder="1" applyAlignment="1">
      <alignment horizontal="center"/>
      <protection/>
    </xf>
    <xf numFmtId="43" fontId="2" fillId="24" borderId="25" xfId="49" applyFont="1" applyFill="1" applyBorder="1" applyAlignment="1">
      <alignment wrapText="1"/>
    </xf>
    <xf numFmtId="171" fontId="2" fillId="24" borderId="15" xfId="49" applyNumberFormat="1" applyFont="1" applyFill="1" applyBorder="1" applyAlignment="1">
      <alignment/>
    </xf>
    <xf numFmtId="0" fontId="0" fillId="24" borderId="12" xfId="69" applyFont="1" applyFill="1" applyBorder="1" applyAlignment="1" quotePrefix="1">
      <alignment vertical="center" wrapText="1"/>
      <protection/>
    </xf>
    <xf numFmtId="0" fontId="0" fillId="24" borderId="11" xfId="0" applyFill="1" applyBorder="1" applyAlignment="1" quotePrefix="1">
      <alignment vertical="center"/>
    </xf>
    <xf numFmtId="43" fontId="16" fillId="0" borderId="0" xfId="50" applyFont="1" applyAlignment="1">
      <alignment vertical="center" wrapText="1"/>
    </xf>
    <xf numFmtId="0" fontId="21" fillId="0" borderId="18" xfId="67" applyFont="1" applyBorder="1" applyAlignment="1">
      <alignment horizontal="center" vertical="center"/>
      <protection/>
    </xf>
    <xf numFmtId="0" fontId="0" fillId="0" borderId="11" xfId="0" applyFont="1" applyBorder="1" applyAlignment="1" quotePrefix="1">
      <alignment horizontal="center"/>
    </xf>
    <xf numFmtId="0" fontId="2" fillId="0" borderId="0" xfId="67" applyFont="1" applyAlignment="1" quotePrefix="1">
      <alignment/>
      <protection/>
    </xf>
    <xf numFmtId="0" fontId="21" fillId="0" borderId="23" xfId="67" applyFont="1" applyBorder="1" applyAlignment="1">
      <alignment horizontal="center" vertical="center"/>
      <protection/>
    </xf>
    <xf numFmtId="0" fontId="21" fillId="25" borderId="22" xfId="67" applyFont="1" applyFill="1" applyBorder="1" applyAlignment="1">
      <alignment horizontal="center"/>
      <protection/>
    </xf>
    <xf numFmtId="0" fontId="21" fillId="25" borderId="22" xfId="67" applyFont="1" applyFill="1" applyBorder="1" applyAlignment="1">
      <alignment horizontal="center" wrapText="1"/>
      <protection/>
    </xf>
    <xf numFmtId="0" fontId="21" fillId="25" borderId="29" xfId="67" applyFont="1" applyFill="1" applyBorder="1" applyAlignment="1">
      <alignment horizontal="center"/>
      <protection/>
    </xf>
    <xf numFmtId="0" fontId="57" fillId="24" borderId="29" xfId="67" applyFont="1" applyFill="1" applyBorder="1" applyAlignment="1">
      <alignment horizontal="center"/>
      <protection/>
    </xf>
    <xf numFmtId="0" fontId="21" fillId="25" borderId="29" xfId="67" applyFont="1" applyFill="1" applyBorder="1" applyAlignment="1">
      <alignment horizontal="center" wrapText="1"/>
      <protection/>
    </xf>
    <xf numFmtId="0" fontId="3" fillId="25" borderId="29" xfId="67" applyFont="1" applyFill="1" applyBorder="1" applyAlignment="1">
      <alignment horizontal="center"/>
      <protection/>
    </xf>
    <xf numFmtId="0" fontId="21" fillId="25" borderId="20" xfId="67" applyFont="1" applyFill="1" applyBorder="1" applyAlignment="1">
      <alignment horizontal="center" wrapText="1"/>
      <protection/>
    </xf>
    <xf numFmtId="0" fontId="0" fillId="24" borderId="11" xfId="67" applyFont="1" applyFill="1" applyBorder="1">
      <alignment/>
      <protection/>
    </xf>
    <xf numFmtId="171" fontId="0" fillId="24" borderId="12" xfId="42" applyNumberFormat="1" applyFont="1" applyFill="1" applyBorder="1" applyAlignment="1">
      <alignment vertical="top"/>
    </xf>
    <xf numFmtId="181" fontId="0" fillId="24" borderId="12" xfId="42" applyNumberFormat="1" applyFont="1" applyFill="1" applyBorder="1" applyAlignment="1">
      <alignment vertical="top"/>
    </xf>
    <xf numFmtId="0" fontId="0" fillId="24" borderId="12" xfId="67" applyFont="1" applyFill="1" applyBorder="1">
      <alignment/>
      <protection/>
    </xf>
    <xf numFmtId="171" fontId="0" fillId="0" borderId="11" xfId="42" applyNumberFormat="1" applyFont="1" applyBorder="1" applyAlignment="1">
      <alignment/>
    </xf>
    <xf numFmtId="171" fontId="0" fillId="0" borderId="12" xfId="42" applyNumberFormat="1" applyFont="1" applyBorder="1" applyAlignment="1">
      <alignment/>
    </xf>
    <xf numFmtId="43" fontId="0" fillId="24" borderId="12" xfId="49" applyFont="1" applyFill="1" applyBorder="1" applyAlignment="1">
      <alignment horizontal="left" vertical="center" wrapText="1"/>
    </xf>
    <xf numFmtId="0" fontId="21" fillId="24" borderId="23" xfId="69" applyFont="1" applyFill="1" applyBorder="1" applyAlignment="1">
      <alignment horizontal="center"/>
      <protection/>
    </xf>
    <xf numFmtId="171" fontId="0" fillId="24" borderId="13" xfId="42" applyFont="1" applyFill="1" applyBorder="1" applyAlignment="1">
      <alignment/>
    </xf>
    <xf numFmtId="0" fontId="0" fillId="24" borderId="12" xfId="69" applyFont="1" applyFill="1" applyBorder="1" applyAlignment="1">
      <alignment vertical="top" wrapText="1"/>
      <protection/>
    </xf>
    <xf numFmtId="43" fontId="0" fillId="24" borderId="11" xfId="51" applyFont="1" applyFill="1" applyBorder="1" applyAlignment="1">
      <alignment/>
    </xf>
    <xf numFmtId="171" fontId="0" fillId="24" borderId="12" xfId="0" applyNumberFormat="1" applyFont="1" applyFill="1" applyBorder="1" applyAlignment="1">
      <alignment vertical="top"/>
    </xf>
    <xf numFmtId="43" fontId="0" fillId="24" borderId="12" xfId="0" applyNumberFormat="1" applyFont="1" applyFill="1" applyBorder="1" applyAlignment="1">
      <alignment/>
    </xf>
    <xf numFmtId="43" fontId="0" fillId="24" borderId="0" xfId="0" applyNumberFormat="1" applyFont="1" applyFill="1" applyAlignment="1">
      <alignment/>
    </xf>
    <xf numFmtId="0" fontId="27" fillId="24" borderId="12" xfId="69" applyFont="1" applyFill="1" applyBorder="1">
      <alignment/>
      <protection/>
    </xf>
    <xf numFmtId="43" fontId="27" fillId="24" borderId="12" xfId="69" applyNumberFormat="1" applyFont="1" applyFill="1" applyBorder="1">
      <alignment/>
      <protection/>
    </xf>
    <xf numFmtId="0" fontId="21" fillId="24" borderId="12" xfId="69" applyFont="1" applyFill="1" applyBorder="1" quotePrefix="1">
      <alignment/>
      <protection/>
    </xf>
    <xf numFmtId="43" fontId="0" fillId="24" borderId="12" xfId="69" applyNumberFormat="1" applyFont="1" applyFill="1" applyBorder="1">
      <alignment/>
      <protection/>
    </xf>
    <xf numFmtId="0" fontId="21" fillId="24" borderId="11" xfId="69" applyFont="1" applyFill="1" applyBorder="1">
      <alignment/>
      <protection/>
    </xf>
    <xf numFmtId="43" fontId="0" fillId="24" borderId="12" xfId="69" applyNumberFormat="1" applyFont="1" applyFill="1" applyBorder="1">
      <alignment/>
      <protection/>
    </xf>
    <xf numFmtId="171" fontId="0" fillId="24" borderId="11" xfId="42" applyFont="1" applyFill="1" applyBorder="1" applyAlignment="1">
      <alignment vertical="top" wrapText="1"/>
    </xf>
    <xf numFmtId="0" fontId="0" fillId="24" borderId="12" xfId="69" applyFont="1" applyFill="1" applyBorder="1" applyAlignment="1" quotePrefix="1">
      <alignment vertical="center"/>
      <protection/>
    </xf>
    <xf numFmtId="171" fontId="0" fillId="24" borderId="12" xfId="49" applyNumberFormat="1" applyFont="1" applyFill="1" applyBorder="1" applyAlignment="1">
      <alignment/>
    </xf>
    <xf numFmtId="0" fontId="0" fillId="24" borderId="12" xfId="49" applyNumberFormat="1" applyFont="1" applyFill="1" applyBorder="1" applyAlignment="1">
      <alignment horizontal="left" vertical="center"/>
    </xf>
    <xf numFmtId="171" fontId="0" fillId="24" borderId="11" xfId="49" applyNumberFormat="1" applyFont="1" applyFill="1" applyBorder="1" applyAlignment="1">
      <alignment/>
    </xf>
    <xf numFmtId="43" fontId="0" fillId="24" borderId="12" xfId="49" applyFont="1" applyFill="1" applyBorder="1" applyAlignment="1" quotePrefix="1">
      <alignment vertical="center" wrapText="1"/>
    </xf>
    <xf numFmtId="43" fontId="3" fillId="24" borderId="12" xfId="49" applyFont="1" applyFill="1" applyBorder="1" applyAlignment="1">
      <alignment horizontal="left" vertical="center" wrapText="1"/>
    </xf>
    <xf numFmtId="43" fontId="0" fillId="24" borderId="12" xfId="49" applyFont="1" applyFill="1" applyBorder="1" applyAlignment="1">
      <alignment horizontal="left" vertical="center"/>
    </xf>
    <xf numFmtId="43" fontId="0" fillId="24" borderId="12" xfId="49" applyFont="1" applyFill="1" applyBorder="1" applyAlignment="1">
      <alignment horizontal="left" vertical="top"/>
    </xf>
    <xf numFmtId="171" fontId="0" fillId="24" borderId="12" xfId="42" applyFont="1" applyFill="1" applyBorder="1" applyAlignment="1">
      <alignment vertical="top" wrapText="1"/>
    </xf>
    <xf numFmtId="171" fontId="0" fillId="24" borderId="12" xfId="42" applyFont="1" applyFill="1" applyBorder="1" applyAlignment="1">
      <alignment/>
    </xf>
    <xf numFmtId="171" fontId="34" fillId="24" borderId="12" xfId="42" applyFont="1" applyFill="1" applyBorder="1" applyAlignment="1">
      <alignment/>
    </xf>
    <xf numFmtId="181" fontId="0" fillId="24" borderId="12" xfId="48" applyNumberFormat="1" applyFont="1" applyFill="1" applyBorder="1" applyAlignment="1" quotePrefix="1">
      <alignment vertical="center"/>
    </xf>
    <xf numFmtId="0" fontId="0" fillId="24" borderId="12" xfId="0" applyFont="1" applyFill="1" applyBorder="1" applyAlignment="1" quotePrefix="1">
      <alignment/>
    </xf>
    <xf numFmtId="0" fontId="0" fillId="24" borderId="13" xfId="69" applyFont="1" applyFill="1" applyBorder="1" applyAlignment="1" quotePrefix="1">
      <alignment vertical="center" wrapText="1"/>
      <protection/>
    </xf>
    <xf numFmtId="0" fontId="21" fillId="0" borderId="22" xfId="67" applyFont="1" applyBorder="1" applyAlignment="1">
      <alignment horizontal="center"/>
      <protection/>
    </xf>
    <xf numFmtId="0" fontId="21" fillId="24" borderId="22" xfId="67" applyFont="1" applyFill="1" applyBorder="1" applyAlignment="1">
      <alignment horizontal="center"/>
      <protection/>
    </xf>
    <xf numFmtId="171" fontId="0" fillId="0" borderId="15" xfId="42" applyNumberFormat="1" applyFont="1" applyBorder="1" applyAlignment="1" quotePrefix="1">
      <alignment wrapText="1"/>
    </xf>
    <xf numFmtId="171" fontId="21" fillId="24" borderId="12" xfId="0" applyNumberFormat="1" applyFont="1" applyFill="1" applyBorder="1" applyAlignment="1">
      <alignment/>
    </xf>
    <xf numFmtId="171" fontId="21" fillId="24" borderId="15" xfId="0" applyNumberFormat="1" applyFont="1" applyFill="1" applyBorder="1" applyAlignment="1">
      <alignment/>
    </xf>
    <xf numFmtId="0" fontId="21" fillId="24" borderId="19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left" vertical="top" wrapText="1"/>
    </xf>
    <xf numFmtId="0" fontId="0" fillId="24" borderId="13" xfId="0" applyFont="1" applyFill="1" applyBorder="1" applyAlignment="1">
      <alignment wrapText="1"/>
    </xf>
    <xf numFmtId="171" fontId="35" fillId="0" borderId="0" xfId="42" applyFont="1" applyAlignment="1">
      <alignment/>
    </xf>
    <xf numFmtId="171" fontId="0" fillId="0" borderId="13" xfId="42" applyFont="1" applyBorder="1" applyAlignment="1">
      <alignment/>
    </xf>
    <xf numFmtId="171" fontId="0" fillId="0" borderId="13" xfId="42" applyNumberFormat="1" applyFont="1" applyBorder="1" applyAlignment="1">
      <alignment/>
    </xf>
    <xf numFmtId="0" fontId="21" fillId="24" borderId="13" xfId="69" applyFont="1" applyFill="1" applyBorder="1" applyAlignment="1" quotePrefix="1">
      <alignment wrapText="1"/>
      <protection/>
    </xf>
    <xf numFmtId="0" fontId="0" fillId="0" borderId="11" xfId="67" applyFont="1" applyBorder="1" applyAlignment="1" quotePrefix="1">
      <alignment wrapText="1"/>
      <protection/>
    </xf>
    <xf numFmtId="171" fontId="21" fillId="0" borderId="14" xfId="42" applyNumberFormat="1" applyFont="1" applyBorder="1" applyAlignment="1">
      <alignment horizontal="center"/>
    </xf>
    <xf numFmtId="171" fontId="0" fillId="0" borderId="30" xfId="42" applyNumberFormat="1" applyFont="1" applyBorder="1" applyAlignment="1">
      <alignment/>
    </xf>
    <xf numFmtId="0" fontId="0" fillId="0" borderId="30" xfId="0" applyBorder="1" applyAlignment="1">
      <alignment horizontal="left"/>
    </xf>
    <xf numFmtId="171" fontId="21" fillId="0" borderId="19" xfId="42" applyNumberFormat="1" applyFont="1" applyBorder="1" applyAlignment="1">
      <alignment/>
    </xf>
    <xf numFmtId="171" fontId="0" fillId="24" borderId="13" xfId="42" applyNumberFormat="1" applyFont="1" applyFill="1" applyBorder="1" applyAlignment="1">
      <alignment/>
    </xf>
    <xf numFmtId="171" fontId="0" fillId="0" borderId="11" xfId="42" applyFont="1" applyBorder="1" applyAlignment="1">
      <alignment/>
    </xf>
    <xf numFmtId="0" fontId="0" fillId="0" borderId="13" xfId="0" applyFont="1" applyBorder="1" applyAlignment="1">
      <alignment wrapText="1"/>
    </xf>
    <xf numFmtId="0" fontId="62" fillId="0" borderId="10" xfId="0" applyFont="1" applyBorder="1" applyAlignment="1">
      <alignment/>
    </xf>
    <xf numFmtId="0" fontId="62" fillId="0" borderId="11" xfId="0" applyFont="1" applyBorder="1" applyAlignment="1">
      <alignment/>
    </xf>
    <xf numFmtId="0" fontId="63" fillId="0" borderId="12" xfId="0" applyFont="1" applyBorder="1" applyAlignment="1">
      <alignment/>
    </xf>
    <xf numFmtId="0" fontId="21" fillId="0" borderId="11" xfId="0" applyFont="1" applyFill="1" applyBorder="1" applyAlignment="1">
      <alignment horizontal="left"/>
    </xf>
    <xf numFmtId="43" fontId="2" fillId="24" borderId="12" xfId="50" applyFont="1" applyFill="1" applyBorder="1" applyAlignment="1">
      <alignment vertical="center" wrapText="1"/>
    </xf>
    <xf numFmtId="43" fontId="0" fillId="0" borderId="0" xfId="0" applyNumberFormat="1" applyFont="1" applyAlignment="1">
      <alignment/>
    </xf>
    <xf numFmtId="171" fontId="0" fillId="0" borderId="0" xfId="42" applyNumberFormat="1" applyFont="1" applyBorder="1" applyAlignment="1">
      <alignment/>
    </xf>
    <xf numFmtId="171" fontId="0" fillId="24" borderId="15" xfId="42" applyFont="1" applyFill="1" applyBorder="1" applyAlignment="1">
      <alignment wrapText="1"/>
    </xf>
    <xf numFmtId="0" fontId="0" fillId="24" borderId="12" xfId="0" applyFont="1" applyFill="1" applyBorder="1" applyAlignment="1">
      <alignment vertical="center" wrapText="1"/>
    </xf>
    <xf numFmtId="171" fontId="0" fillId="24" borderId="12" xfId="42" applyFont="1" applyFill="1" applyBorder="1" applyAlignment="1">
      <alignment vertical="top"/>
    </xf>
    <xf numFmtId="171" fontId="0" fillId="0" borderId="13" xfId="42" applyFont="1" applyBorder="1" applyAlignment="1">
      <alignment vertical="top"/>
    </xf>
    <xf numFmtId="171" fontId="0" fillId="0" borderId="12" xfId="42" applyFont="1" applyBorder="1" applyAlignment="1">
      <alignment vertical="top"/>
    </xf>
    <xf numFmtId="0" fontId="0" fillId="0" borderId="10" xfId="0" applyFont="1" applyFill="1" applyBorder="1" applyAlignment="1" quotePrefix="1">
      <alignment vertical="center"/>
    </xf>
    <xf numFmtId="181" fontId="0" fillId="0" borderId="11" xfId="42" applyNumberFormat="1" applyFont="1" applyFill="1" applyBorder="1" applyAlignment="1">
      <alignment vertical="top"/>
    </xf>
    <xf numFmtId="0" fontId="0" fillId="0" borderId="11" xfId="0" applyFont="1" applyFill="1" applyBorder="1" applyAlignment="1" quotePrefix="1">
      <alignment vertical="center"/>
    </xf>
    <xf numFmtId="0" fontId="0" fillId="0" borderId="11" xfId="0" applyFont="1" applyFill="1" applyBorder="1" applyAlignment="1" quotePrefix="1">
      <alignment vertical="top" wrapText="1"/>
    </xf>
    <xf numFmtId="0" fontId="0" fillId="0" borderId="12" xfId="0" applyFont="1" applyFill="1" applyBorder="1" applyAlignment="1">
      <alignment/>
    </xf>
    <xf numFmtId="171" fontId="0" fillId="0" borderId="12" xfId="42" applyFont="1" applyFill="1" applyBorder="1" applyAlignment="1">
      <alignment/>
    </xf>
    <xf numFmtId="171" fontId="0" fillId="0" borderId="11" xfId="42" applyNumberFormat="1" applyFont="1" applyFill="1" applyBorder="1" applyAlignment="1">
      <alignment/>
    </xf>
    <xf numFmtId="0" fontId="0" fillId="0" borderId="12" xfId="0" applyFont="1" applyFill="1" applyBorder="1" applyAlignment="1">
      <alignment vertical="top"/>
    </xf>
    <xf numFmtId="0" fontId="21" fillId="0" borderId="12" xfId="0" applyFont="1" applyFill="1" applyBorder="1" applyAlignment="1">
      <alignment/>
    </xf>
    <xf numFmtId="171" fontId="0" fillId="0" borderId="15" xfId="42" applyFont="1" applyFill="1" applyBorder="1" applyAlignment="1">
      <alignment/>
    </xf>
    <xf numFmtId="0" fontId="0" fillId="0" borderId="15" xfId="0" applyFont="1" applyFill="1" applyBorder="1" applyAlignment="1">
      <alignment/>
    </xf>
    <xf numFmtId="171" fontId="0" fillId="0" borderId="12" xfId="42" applyNumberFormat="1" applyFont="1" applyFill="1" applyBorder="1" applyAlignment="1">
      <alignment/>
    </xf>
    <xf numFmtId="171" fontId="0" fillId="0" borderId="11" xfId="42" applyFont="1" applyFill="1" applyBorder="1" applyAlignment="1">
      <alignment/>
    </xf>
    <xf numFmtId="0" fontId="0" fillId="0" borderId="15" xfId="0" applyFont="1" applyFill="1" applyBorder="1" applyAlignment="1">
      <alignment vertical="top"/>
    </xf>
    <xf numFmtId="171" fontId="0" fillId="0" borderId="15" xfId="42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171" fontId="0" fillId="0" borderId="11" xfId="42" applyFont="1" applyFill="1" applyBorder="1" applyAlignment="1">
      <alignment/>
    </xf>
    <xf numFmtId="0" fontId="0" fillId="0" borderId="27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63" fillId="0" borderId="15" xfId="0" applyFont="1" applyBorder="1" applyAlignment="1">
      <alignment/>
    </xf>
    <xf numFmtId="43" fontId="3" fillId="24" borderId="12" xfId="50" applyFont="1" applyFill="1" applyBorder="1" applyAlignment="1">
      <alignment vertical="center" wrapText="1"/>
    </xf>
    <xf numFmtId="171" fontId="0" fillId="24" borderId="13" xfId="0" applyNumberFormat="1" applyFont="1" applyFill="1" applyBorder="1" applyAlignment="1">
      <alignment/>
    </xf>
    <xf numFmtId="0" fontId="60" fillId="24" borderId="12" xfId="69" applyFont="1" applyFill="1" applyBorder="1">
      <alignment/>
      <protection/>
    </xf>
    <xf numFmtId="43" fontId="60" fillId="24" borderId="11" xfId="69" applyNumberFormat="1" applyFont="1" applyFill="1" applyBorder="1">
      <alignment/>
      <protection/>
    </xf>
    <xf numFmtId="171" fontId="2" fillId="24" borderId="28" xfId="42" applyFont="1" applyFill="1" applyBorder="1" applyAlignment="1">
      <alignment/>
    </xf>
    <xf numFmtId="0" fontId="64" fillId="24" borderId="15" xfId="0" applyFont="1" applyFill="1" applyBorder="1" applyAlignment="1">
      <alignment/>
    </xf>
    <xf numFmtId="43" fontId="2" fillId="24" borderId="12" xfId="49" applyFont="1" applyFill="1" applyBorder="1" applyAlignment="1">
      <alignment/>
    </xf>
    <xf numFmtId="43" fontId="2" fillId="24" borderId="0" xfId="49" applyFont="1" applyFill="1" applyBorder="1" applyAlignment="1">
      <alignment/>
    </xf>
    <xf numFmtId="171" fontId="2" fillId="24" borderId="13" xfId="0" applyNumberFormat="1" applyFont="1" applyFill="1" applyBorder="1" applyAlignment="1">
      <alignment/>
    </xf>
    <xf numFmtId="171" fontId="2" fillId="24" borderId="0" xfId="0" applyNumberFormat="1" applyFont="1" applyFill="1" applyBorder="1" applyAlignment="1">
      <alignment/>
    </xf>
    <xf numFmtId="43" fontId="0" fillId="24" borderId="15" xfId="51" applyFont="1" applyFill="1" applyBorder="1" applyAlignment="1">
      <alignment/>
    </xf>
    <xf numFmtId="171" fontId="60" fillId="24" borderId="11" xfId="42" applyFont="1" applyFill="1" applyBorder="1" applyAlignment="1">
      <alignment/>
    </xf>
    <xf numFmtId="171" fontId="0" fillId="24" borderId="12" xfId="0" applyNumberFormat="1" applyFont="1" applyFill="1" applyBorder="1" applyAlignment="1" quotePrefix="1">
      <alignment horizontal="left" vertical="top"/>
    </xf>
    <xf numFmtId="0" fontId="21" fillId="24" borderId="13" xfId="69" applyFont="1" applyFill="1" applyBorder="1" applyAlignment="1" quotePrefix="1">
      <alignment vertical="center"/>
      <protection/>
    </xf>
    <xf numFmtId="171" fontId="0" fillId="24" borderId="12" xfId="69" applyNumberFormat="1" applyFont="1" applyFill="1" applyBorder="1">
      <alignment/>
      <protection/>
    </xf>
    <xf numFmtId="171" fontId="62" fillId="24" borderId="12" xfId="42" applyFont="1" applyFill="1" applyBorder="1" applyAlignment="1">
      <alignment/>
    </xf>
    <xf numFmtId="171" fontId="65" fillId="24" borderId="12" xfId="42" applyFont="1" applyFill="1" applyBorder="1" applyAlignment="1">
      <alignment/>
    </xf>
    <xf numFmtId="171" fontId="0" fillId="24" borderId="12" xfId="0" applyNumberFormat="1" applyFill="1" applyBorder="1" applyAlignment="1">
      <alignment/>
    </xf>
    <xf numFmtId="171" fontId="66" fillId="24" borderId="12" xfId="69" applyNumberFormat="1" applyFont="1" applyFill="1" applyBorder="1">
      <alignment/>
      <protection/>
    </xf>
    <xf numFmtId="171" fontId="66" fillId="24" borderId="13" xfId="69" applyNumberFormat="1" applyFont="1" applyFill="1" applyBorder="1">
      <alignment/>
      <protection/>
    </xf>
    <xf numFmtId="171" fontId="0" fillId="26" borderId="11" xfId="42" applyFont="1" applyFill="1" applyBorder="1" applyAlignment="1">
      <alignment/>
    </xf>
    <xf numFmtId="0" fontId="0" fillId="26" borderId="11" xfId="67" applyFont="1" applyFill="1" applyBorder="1">
      <alignment/>
      <protection/>
    </xf>
    <xf numFmtId="0" fontId="3" fillId="24" borderId="22" xfId="67" applyFont="1" applyFill="1" applyBorder="1" applyAlignment="1">
      <alignment horizontal="center"/>
      <protection/>
    </xf>
    <xf numFmtId="171" fontId="2" fillId="24" borderId="11" xfId="42" applyFont="1" applyFill="1" applyBorder="1" applyAlignment="1">
      <alignment/>
    </xf>
    <xf numFmtId="182" fontId="21" fillId="0" borderId="19" xfId="42" applyNumberFormat="1" applyFont="1" applyBorder="1" applyAlignment="1">
      <alignment horizontal="center"/>
    </xf>
    <xf numFmtId="0" fontId="0" fillId="24" borderId="30" xfId="0" applyFont="1" applyFill="1" applyBorder="1" applyAlignment="1">
      <alignment vertical="top" wrapText="1"/>
    </xf>
    <xf numFmtId="0" fontId="0" fillId="0" borderId="31" xfId="0" applyFont="1" applyFill="1" applyBorder="1" applyAlignment="1" quotePrefix="1">
      <alignment vertical="center"/>
    </xf>
    <xf numFmtId="0" fontId="0" fillId="0" borderId="27" xfId="0" applyFont="1" applyFill="1" applyBorder="1" applyAlignment="1" quotePrefix="1">
      <alignment vertical="center"/>
    </xf>
    <xf numFmtId="0" fontId="0" fillId="0" borderId="24" xfId="0" applyFont="1" applyFill="1" applyBorder="1" applyAlignment="1">
      <alignment horizontal="left" wrapText="1"/>
    </xf>
    <xf numFmtId="0" fontId="0" fillId="24" borderId="24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67" fillId="24" borderId="12" xfId="0" applyFont="1" applyFill="1" applyBorder="1" applyAlignment="1">
      <alignment/>
    </xf>
    <xf numFmtId="0" fontId="65" fillId="24" borderId="12" xfId="0" applyFont="1" applyFill="1" applyBorder="1" applyAlignment="1">
      <alignment/>
    </xf>
    <xf numFmtId="0" fontId="0" fillId="0" borderId="28" xfId="0" applyFont="1" applyFill="1" applyBorder="1" applyAlignment="1">
      <alignment horizontal="left" wrapText="1"/>
    </xf>
    <xf numFmtId="171" fontId="34" fillId="24" borderId="33" xfId="42" applyFont="1" applyFill="1" applyBorder="1" applyAlignment="1">
      <alignment/>
    </xf>
    <xf numFmtId="0" fontId="21" fillId="24" borderId="13" xfId="69" applyFont="1" applyFill="1" applyBorder="1">
      <alignment/>
      <protection/>
    </xf>
    <xf numFmtId="0" fontId="0" fillId="24" borderId="12" xfId="0" applyFont="1" applyFill="1" applyBorder="1" applyAlignment="1" quotePrefix="1">
      <alignment vertical="center" wrapText="1"/>
    </xf>
    <xf numFmtId="0" fontId="0" fillId="24" borderId="13" xfId="0" applyFont="1" applyFill="1" applyBorder="1" applyAlignment="1" quotePrefix="1">
      <alignment vertical="center"/>
    </xf>
    <xf numFmtId="0" fontId="0" fillId="24" borderId="12" xfId="69" applyFont="1" applyFill="1" applyBorder="1" applyAlignment="1">
      <alignment horizontal="left" vertical="center" wrapText="1"/>
      <protection/>
    </xf>
    <xf numFmtId="0" fontId="16" fillId="0" borderId="0" xfId="69" applyAlignment="1">
      <alignment vertical="center"/>
      <protection/>
    </xf>
    <xf numFmtId="0" fontId="60" fillId="24" borderId="0" xfId="69" applyFont="1" applyFill="1" applyBorder="1" applyAlignment="1">
      <alignment horizontal="center"/>
      <protection/>
    </xf>
    <xf numFmtId="0" fontId="0" fillId="0" borderId="0" xfId="69" applyFont="1">
      <alignment/>
      <protection/>
    </xf>
    <xf numFmtId="171" fontId="0" fillId="0" borderId="12" xfId="42" applyNumberFormat="1" applyFont="1" applyBorder="1" applyAlignment="1" quotePrefix="1">
      <alignment vertical="center" wrapText="1"/>
    </xf>
    <xf numFmtId="171" fontId="21" fillId="0" borderId="12" xfId="42" applyNumberFormat="1" applyFont="1" applyBorder="1" applyAlignment="1" quotePrefix="1">
      <alignment horizontal="left" vertical="center" wrapText="1"/>
    </xf>
    <xf numFmtId="171" fontId="0" fillId="0" borderId="13" xfId="42" applyNumberFormat="1" applyFont="1" applyBorder="1" applyAlignment="1">
      <alignment vertical="center" wrapText="1"/>
    </xf>
    <xf numFmtId="171" fontId="0" fillId="0" borderId="13" xfId="42" applyFont="1" applyBorder="1" applyAlignment="1">
      <alignment vertical="center" wrapText="1"/>
    </xf>
    <xf numFmtId="171" fontId="0" fillId="0" borderId="12" xfId="42" applyNumberFormat="1" applyFont="1" applyBorder="1" applyAlignment="1">
      <alignment vertical="center" wrapText="1"/>
    </xf>
    <xf numFmtId="171" fontId="0" fillId="0" borderId="12" xfId="42" applyFont="1" applyBorder="1" applyAlignment="1">
      <alignment vertical="center" wrapText="1"/>
    </xf>
    <xf numFmtId="171" fontId="0" fillId="0" borderId="12" xfId="42" applyFont="1" applyFill="1" applyBorder="1" applyAlignment="1">
      <alignment vertical="center"/>
    </xf>
    <xf numFmtId="171" fontId="0" fillId="24" borderId="12" xfId="42" applyFont="1" applyFill="1" applyBorder="1" applyAlignment="1">
      <alignment vertical="center"/>
    </xf>
    <xf numFmtId="0" fontId="0" fillId="24" borderId="11" xfId="0" applyFill="1" applyBorder="1" applyAlignment="1">
      <alignment horizontal="left" vertical="center" wrapText="1"/>
    </xf>
    <xf numFmtId="171" fontId="0" fillId="24" borderId="12" xfId="42" applyNumberFormat="1" applyFill="1" applyBorder="1" applyAlignment="1">
      <alignment vertical="center"/>
    </xf>
    <xf numFmtId="0" fontId="0" fillId="24" borderId="11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left" vertical="center" wrapText="1"/>
    </xf>
    <xf numFmtId="171" fontId="21" fillId="0" borderId="12" xfId="42" applyNumberFormat="1" applyFont="1" applyBorder="1" applyAlignment="1" quotePrefix="1">
      <alignment wrapText="1"/>
    </xf>
    <xf numFmtId="171" fontId="62" fillId="0" borderId="15" xfId="42" applyNumberFormat="1" applyFont="1" applyBorder="1" applyAlignment="1">
      <alignment wrapText="1"/>
    </xf>
    <xf numFmtId="171" fontId="21" fillId="0" borderId="15" xfId="42" applyNumberFormat="1" applyFont="1" applyBorder="1" applyAlignment="1" quotePrefix="1">
      <alignment wrapText="1"/>
    </xf>
    <xf numFmtId="0" fontId="0" fillId="0" borderId="11" xfId="0" applyFont="1" applyBorder="1" applyAlignment="1">
      <alignment horizontal="left" vertical="top" wrapText="1"/>
    </xf>
    <xf numFmtId="0" fontId="0" fillId="24" borderId="11" xfId="0" applyFont="1" applyFill="1" applyBorder="1" applyAlignment="1">
      <alignment horizontal="left" vertical="top" wrapText="1"/>
    </xf>
    <xf numFmtId="171" fontId="21" fillId="24" borderId="19" xfId="0" applyNumberFormat="1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34" xfId="0" applyFont="1" applyFill="1" applyBorder="1" applyAlignment="1">
      <alignment horizontal="left" wrapText="1"/>
    </xf>
    <xf numFmtId="171" fontId="21" fillId="24" borderId="34" xfId="0" applyNumberFormat="1" applyFont="1" applyFill="1" applyBorder="1" applyAlignment="1">
      <alignment/>
    </xf>
    <xf numFmtId="171" fontId="0" fillId="24" borderId="34" xfId="0" applyNumberFormat="1" applyFont="1" applyFill="1" applyBorder="1" applyAlignment="1">
      <alignment/>
    </xf>
    <xf numFmtId="0" fontId="0" fillId="24" borderId="34" xfId="0" applyFont="1" applyFill="1" applyBorder="1" applyAlignment="1">
      <alignment/>
    </xf>
    <xf numFmtId="171" fontId="0" fillId="24" borderId="12" xfId="0" applyNumberFormat="1" applyFont="1" applyFill="1" applyBorder="1" applyAlignment="1">
      <alignment/>
    </xf>
    <xf numFmtId="171" fontId="21" fillId="24" borderId="12" xfId="0" applyNumberFormat="1" applyFont="1" applyFill="1" applyBorder="1" applyAlignment="1">
      <alignment/>
    </xf>
    <xf numFmtId="0" fontId="0" fillId="24" borderId="12" xfId="71" applyFont="1" applyFill="1" applyBorder="1" applyAlignment="1">
      <alignment wrapText="1"/>
      <protection/>
    </xf>
    <xf numFmtId="171" fontId="0" fillId="24" borderId="12" xfId="42" applyNumberFormat="1" applyFill="1" applyBorder="1" applyAlignment="1">
      <alignment/>
    </xf>
    <xf numFmtId="171" fontId="21" fillId="24" borderId="15" xfId="0" applyNumberFormat="1" applyFont="1" applyFill="1" applyBorder="1" applyAlignment="1">
      <alignment/>
    </xf>
    <xf numFmtId="0" fontId="0" fillId="24" borderId="34" xfId="71" applyFont="1" applyFill="1" applyBorder="1" applyAlignment="1">
      <alignment horizontal="left" vertical="center" wrapText="1"/>
      <protection/>
    </xf>
    <xf numFmtId="171" fontId="0" fillId="0" borderId="19" xfId="42" applyNumberFormat="1" applyFont="1" applyBorder="1" applyAlignment="1">
      <alignment wrapText="1"/>
    </xf>
    <xf numFmtId="171" fontId="21" fillId="0" borderId="19" xfId="42" applyNumberFormat="1" applyFont="1" applyBorder="1" applyAlignment="1">
      <alignment wrapText="1"/>
    </xf>
    <xf numFmtId="181" fontId="2" fillId="0" borderId="11" xfId="42" applyNumberFormat="1" applyFont="1" applyBorder="1" applyAlignment="1">
      <alignment vertical="top"/>
    </xf>
    <xf numFmtId="0" fontId="2" fillId="0" borderId="11" xfId="0" applyFont="1" applyBorder="1" applyAlignment="1">
      <alignment/>
    </xf>
    <xf numFmtId="171" fontId="21" fillId="0" borderId="35" xfId="42" applyFont="1" applyBorder="1" applyAlignment="1">
      <alignment wrapText="1"/>
    </xf>
    <xf numFmtId="171" fontId="0" fillId="0" borderId="35" xfId="42" applyFont="1" applyBorder="1" applyAlignment="1">
      <alignment wrapText="1"/>
    </xf>
    <xf numFmtId="171" fontId="21" fillId="0" borderId="12" xfId="42" applyFont="1" applyBorder="1" applyAlignment="1">
      <alignment wrapText="1"/>
    </xf>
    <xf numFmtId="171" fontId="21" fillId="0" borderId="13" xfId="42" applyFont="1" applyBorder="1" applyAlignment="1">
      <alignment wrapText="1"/>
    </xf>
    <xf numFmtId="171" fontId="21" fillId="0" borderId="11" xfId="42" applyFont="1" applyBorder="1" applyAlignment="1">
      <alignment wrapText="1"/>
    </xf>
    <xf numFmtId="0" fontId="22" fillId="0" borderId="15" xfId="0" applyFont="1" applyBorder="1" applyAlignment="1">
      <alignment/>
    </xf>
    <xf numFmtId="171" fontId="0" fillId="0" borderId="15" xfId="42" applyFont="1" applyBorder="1" applyAlignment="1">
      <alignment/>
    </xf>
    <xf numFmtId="171" fontId="0" fillId="24" borderId="15" xfId="42" applyFont="1" applyFill="1" applyBorder="1" applyAlignment="1">
      <alignment/>
    </xf>
    <xf numFmtId="9" fontId="0" fillId="24" borderId="13" xfId="0" applyNumberFormat="1" applyFill="1" applyBorder="1" applyAlignment="1">
      <alignment horizontal="center"/>
    </xf>
    <xf numFmtId="171" fontId="0" fillId="0" borderId="11" xfId="42" applyFont="1" applyFill="1" applyBorder="1" applyAlignment="1">
      <alignment wrapText="1"/>
    </xf>
    <xf numFmtId="0" fontId="68" fillId="0" borderId="0" xfId="0" applyFont="1" applyAlignment="1">
      <alignment horizontal="center"/>
    </xf>
    <xf numFmtId="0" fontId="0" fillId="0" borderId="12" xfId="0" applyFont="1" applyFill="1" applyBorder="1" applyAlignment="1">
      <alignment horizontal="left" wrapText="1"/>
    </xf>
    <xf numFmtId="171" fontId="2" fillId="0" borderId="11" xfId="42" applyNumberFormat="1" applyFont="1" applyBorder="1" applyAlignment="1">
      <alignment/>
    </xf>
    <xf numFmtId="0" fontId="0" fillId="24" borderId="11" xfId="0" applyFill="1" applyBorder="1" applyAlignment="1" quotePrefix="1">
      <alignment/>
    </xf>
    <xf numFmtId="0" fontId="0" fillId="24" borderId="11" xfId="69" applyFont="1" applyFill="1" applyBorder="1" applyAlignment="1" quotePrefix="1">
      <alignment wrapText="1"/>
      <protection/>
    </xf>
    <xf numFmtId="171" fontId="0" fillId="0" borderId="19" xfId="42" applyNumberFormat="1" applyFont="1" applyBorder="1" applyAlignment="1">
      <alignment horizontal="center"/>
    </xf>
    <xf numFmtId="171" fontId="0" fillId="24" borderId="15" xfId="42" applyNumberFormat="1" applyFont="1" applyFill="1" applyBorder="1" applyAlignment="1">
      <alignment/>
    </xf>
    <xf numFmtId="0" fontId="0" fillId="0" borderId="15" xfId="67" applyBorder="1" applyAlignment="1">
      <alignment/>
      <protection/>
    </xf>
    <xf numFmtId="0" fontId="62" fillId="27" borderId="12" xfId="0" applyFont="1" applyFill="1" applyBorder="1" applyAlignment="1">
      <alignment wrapText="1"/>
    </xf>
    <xf numFmtId="171" fontId="62" fillId="27" borderId="12" xfId="42" applyNumberFormat="1" applyFont="1" applyFill="1" applyBorder="1" applyAlignment="1">
      <alignment/>
    </xf>
    <xf numFmtId="0" fontId="0" fillId="24" borderId="11" xfId="0" applyFont="1" applyFill="1" applyBorder="1" applyAlignment="1" quotePrefix="1">
      <alignment horizontal="center"/>
    </xf>
    <xf numFmtId="0" fontId="0" fillId="24" borderId="34" xfId="0" applyFill="1" applyBorder="1" applyAlignment="1">
      <alignment/>
    </xf>
    <xf numFmtId="171" fontId="62" fillId="24" borderId="12" xfId="42" applyNumberFormat="1" applyFont="1" applyFill="1" applyBorder="1" applyAlignment="1">
      <alignment/>
    </xf>
    <xf numFmtId="0" fontId="62" fillId="24" borderId="12" xfId="69" applyFont="1" applyFill="1" applyBorder="1" applyAlignment="1" quotePrefix="1">
      <alignment wrapText="1"/>
      <protection/>
    </xf>
    <xf numFmtId="0" fontId="62" fillId="24" borderId="11" xfId="0" applyFont="1" applyFill="1" applyBorder="1" applyAlignment="1" quotePrefix="1">
      <alignment/>
    </xf>
    <xf numFmtId="0" fontId="0" fillId="0" borderId="33" xfId="0" applyBorder="1" applyAlignment="1">
      <alignment/>
    </xf>
    <xf numFmtId="0" fontId="59" fillId="24" borderId="12" xfId="0" applyFont="1" applyFill="1" applyBorder="1" applyAlignment="1">
      <alignment horizontal="left" vertical="top" wrapText="1"/>
    </xf>
    <xf numFmtId="171" fontId="2" fillId="24" borderId="11" xfId="42" applyFont="1" applyFill="1" applyBorder="1" applyAlignment="1">
      <alignment wrapText="1"/>
    </xf>
    <xf numFmtId="0" fontId="21" fillId="0" borderId="0" xfId="0" applyFont="1" applyFill="1" applyAlignment="1">
      <alignment horizontal="center" vertical="top" wrapText="1"/>
    </xf>
    <xf numFmtId="171" fontId="0" fillId="24" borderId="34" xfId="42" applyFont="1" applyFill="1" applyBorder="1" applyAlignment="1">
      <alignment vertical="center"/>
    </xf>
    <xf numFmtId="0" fontId="0" fillId="24" borderId="15" xfId="67" applyFont="1" applyFill="1" applyBorder="1">
      <alignment/>
      <protection/>
    </xf>
    <xf numFmtId="171" fontId="2" fillId="0" borderId="11" xfId="42" applyFont="1" applyBorder="1" applyAlignment="1">
      <alignment vertical="top"/>
    </xf>
    <xf numFmtId="0" fontId="0" fillId="24" borderId="15" xfId="67" applyFont="1" applyFill="1" applyBorder="1" applyAlignment="1">
      <alignment vertical="top" wrapText="1"/>
      <protection/>
    </xf>
    <xf numFmtId="0" fontId="0" fillId="24" borderId="15" xfId="67" applyFill="1" applyBorder="1" applyAlignment="1">
      <alignment/>
      <protection/>
    </xf>
    <xf numFmtId="0" fontId="0" fillId="24" borderId="15" xfId="67" applyFont="1" applyFill="1" applyBorder="1" applyAlignment="1">
      <alignment/>
      <protection/>
    </xf>
    <xf numFmtId="0" fontId="0" fillId="24" borderId="12" xfId="67" applyFont="1" applyFill="1" applyBorder="1" applyAlignment="1">
      <alignment vertical="top" wrapText="1"/>
      <protection/>
    </xf>
    <xf numFmtId="0" fontId="0" fillId="24" borderId="11" xfId="69" applyFont="1" applyFill="1" applyBorder="1">
      <alignment/>
      <protection/>
    </xf>
    <xf numFmtId="0" fontId="59" fillId="24" borderId="12" xfId="69" applyFont="1" applyFill="1" applyBorder="1" quotePrefix="1">
      <alignment/>
      <protection/>
    </xf>
    <xf numFmtId="171" fontId="0" fillId="24" borderId="36" xfId="42" applyFont="1" applyFill="1" applyBorder="1" applyAlignment="1">
      <alignment/>
    </xf>
    <xf numFmtId="181" fontId="21" fillId="0" borderId="14" xfId="0" applyNumberFormat="1" applyFont="1" applyBorder="1" applyAlignment="1">
      <alignment/>
    </xf>
    <xf numFmtId="171" fontId="21" fillId="0" borderId="14" xfId="42" applyNumberFormat="1" applyFont="1" applyBorder="1" applyAlignment="1">
      <alignment wrapText="1"/>
    </xf>
    <xf numFmtId="0" fontId="0" fillId="24" borderId="12" xfId="0" applyFont="1" applyFill="1" applyBorder="1" applyAlignment="1">
      <alignment vertical="justify" wrapText="1"/>
    </xf>
    <xf numFmtId="0" fontId="0" fillId="24" borderId="12" xfId="0" applyFont="1" applyFill="1" applyBorder="1" applyAlignment="1" quotePrefix="1">
      <alignment/>
    </xf>
    <xf numFmtId="43" fontId="22" fillId="0" borderId="11" xfId="0" applyNumberFormat="1" applyFont="1" applyBorder="1" applyAlignment="1">
      <alignment/>
    </xf>
    <xf numFmtId="43" fontId="0" fillId="24" borderId="0" xfId="0" applyNumberFormat="1" applyFill="1" applyAlignment="1">
      <alignment/>
    </xf>
    <xf numFmtId="0" fontId="57" fillId="24" borderId="12" xfId="0" applyFont="1" applyFill="1" applyBorder="1" applyAlignment="1">
      <alignment vertical="top" wrapText="1"/>
    </xf>
    <xf numFmtId="171" fontId="59" fillId="24" borderId="11" xfId="42" applyFont="1" applyFill="1" applyBorder="1" applyAlignment="1">
      <alignment vertical="top" wrapText="1"/>
    </xf>
    <xf numFmtId="171" fontId="59" fillId="24" borderId="11" xfId="42" applyNumberFormat="1" applyFont="1" applyFill="1" applyBorder="1" applyAlignment="1">
      <alignment vertical="top" wrapText="1"/>
    </xf>
    <xf numFmtId="0" fontId="59" fillId="24" borderId="11" xfId="0" applyFont="1" applyFill="1" applyBorder="1" applyAlignment="1" quotePrefix="1">
      <alignment vertical="top" wrapText="1"/>
    </xf>
    <xf numFmtId="0" fontId="59" fillId="24" borderId="11" xfId="0" applyFont="1" applyFill="1" applyBorder="1" applyAlignment="1">
      <alignment vertical="top" wrapText="1"/>
    </xf>
    <xf numFmtId="171" fontId="59" fillId="24" borderId="11" xfId="42" applyFont="1" applyFill="1" applyBorder="1" applyAlignment="1">
      <alignment wrapText="1"/>
    </xf>
    <xf numFmtId="171" fontId="59" fillId="24" borderId="11" xfId="42" applyNumberFormat="1" applyFont="1" applyFill="1" applyBorder="1" applyAlignment="1">
      <alignment wrapText="1"/>
    </xf>
    <xf numFmtId="0" fontId="59" fillId="24" borderId="11" xfId="0" applyFont="1" applyFill="1" applyBorder="1" applyAlignment="1">
      <alignment wrapText="1"/>
    </xf>
    <xf numFmtId="171" fontId="59" fillId="24" borderId="12" xfId="42" applyFont="1" applyFill="1" applyBorder="1" applyAlignment="1">
      <alignment wrapText="1"/>
    </xf>
    <xf numFmtId="0" fontId="59" fillId="24" borderId="12" xfId="0" applyFont="1" applyFill="1" applyBorder="1" applyAlignment="1">
      <alignment wrapText="1"/>
    </xf>
    <xf numFmtId="0" fontId="59" fillId="24" borderId="12" xfId="0" applyFont="1" applyFill="1" applyBorder="1" applyAlignment="1">
      <alignment vertical="center" wrapText="1"/>
    </xf>
    <xf numFmtId="0" fontId="59" fillId="24" borderId="11" xfId="0" applyFont="1" applyFill="1" applyBorder="1" applyAlignment="1">
      <alignment vertical="center" wrapText="1"/>
    </xf>
    <xf numFmtId="0" fontId="57" fillId="24" borderId="12" xfId="0" applyFont="1" applyFill="1" applyBorder="1" applyAlignment="1">
      <alignment wrapText="1"/>
    </xf>
    <xf numFmtId="0" fontId="59" fillId="24" borderId="12" xfId="0" applyFont="1" applyFill="1" applyBorder="1" applyAlignment="1">
      <alignment horizontal="left" wrapText="1"/>
    </xf>
    <xf numFmtId="0" fontId="59" fillId="24" borderId="15" xfId="0" applyFont="1" applyFill="1" applyBorder="1" applyAlignment="1">
      <alignment wrapText="1"/>
    </xf>
    <xf numFmtId="0" fontId="59" fillId="24" borderId="33" xfId="0" applyFont="1" applyFill="1" applyBorder="1" applyAlignment="1">
      <alignment vertical="top" wrapText="1"/>
    </xf>
    <xf numFmtId="0" fontId="59" fillId="24" borderId="12" xfId="0" applyFont="1" applyFill="1" applyBorder="1" applyAlignment="1">
      <alignment vertical="top" wrapText="1"/>
    </xf>
    <xf numFmtId="0" fontId="59" fillId="24" borderId="0" xfId="0" applyFont="1" applyFill="1" applyAlignment="1">
      <alignment/>
    </xf>
    <xf numFmtId="0" fontId="59" fillId="24" borderId="12" xfId="0" applyFont="1" applyFill="1" applyBorder="1" applyAlignment="1" quotePrefix="1">
      <alignment horizontal="left" vertical="top" wrapText="1"/>
    </xf>
    <xf numFmtId="0" fontId="59" fillId="24" borderId="12" xfId="0" applyFont="1" applyFill="1" applyBorder="1" applyAlignment="1" quotePrefix="1">
      <alignment wrapText="1"/>
    </xf>
    <xf numFmtId="171" fontId="59" fillId="24" borderId="12" xfId="42" applyFont="1" applyFill="1" applyBorder="1" applyAlignment="1">
      <alignment vertical="top" wrapText="1"/>
    </xf>
    <xf numFmtId="3" fontId="59" fillId="24" borderId="12" xfId="0" applyNumberFormat="1" applyFont="1" applyFill="1" applyBorder="1" applyAlignment="1" quotePrefix="1">
      <alignment horizontal="left" vertical="top" wrapText="1"/>
    </xf>
    <xf numFmtId="0" fontId="57" fillId="24" borderId="12" xfId="0" applyFont="1" applyFill="1" applyBorder="1" applyAlignment="1" quotePrefix="1">
      <alignment horizontal="left" vertical="top" wrapText="1"/>
    </xf>
    <xf numFmtId="0" fontId="57" fillId="24" borderId="12" xfId="0" applyFont="1" applyFill="1" applyBorder="1" applyAlignment="1" quotePrefix="1">
      <alignment wrapText="1"/>
    </xf>
    <xf numFmtId="0" fontId="57" fillId="24" borderId="12" xfId="0" applyFont="1" applyFill="1" applyBorder="1" applyAlignment="1">
      <alignment horizontal="left" vertical="top" wrapText="1"/>
    </xf>
    <xf numFmtId="171" fontId="59" fillId="24" borderId="12" xfId="42" applyFont="1" applyFill="1" applyBorder="1" applyAlignment="1">
      <alignment horizontal="left" vertical="top" wrapText="1"/>
    </xf>
    <xf numFmtId="0" fontId="59" fillId="24" borderId="11" xfId="0" applyFont="1" applyFill="1" applyBorder="1" applyAlignment="1">
      <alignment/>
    </xf>
    <xf numFmtId="0" fontId="57" fillId="24" borderId="14" xfId="0" applyFont="1" applyFill="1" applyBorder="1" applyAlignment="1">
      <alignment horizontal="center" vertical="top" wrapText="1"/>
    </xf>
    <xf numFmtId="171" fontId="57" fillId="24" borderId="14" xfId="0" applyNumberFormat="1" applyFont="1" applyFill="1" applyBorder="1" applyAlignment="1">
      <alignment vertical="top" wrapText="1"/>
    </xf>
    <xf numFmtId="0" fontId="59" fillId="24" borderId="14" xfId="0" applyFont="1" applyFill="1" applyBorder="1" applyAlignment="1">
      <alignment vertical="top" wrapText="1"/>
    </xf>
    <xf numFmtId="171" fontId="0" fillId="0" borderId="11" xfId="0" applyNumberFormat="1" applyBorder="1" applyAlignment="1" quotePrefix="1">
      <alignment vertical="center"/>
    </xf>
    <xf numFmtId="171" fontId="0" fillId="0" borderId="15" xfId="0" applyNumberFormat="1" applyBorder="1" applyAlignment="1">
      <alignment/>
    </xf>
    <xf numFmtId="171" fontId="59" fillId="24" borderId="11" xfId="49" applyNumberFormat="1" applyFont="1" applyFill="1" applyBorder="1" applyAlignment="1">
      <alignment/>
    </xf>
    <xf numFmtId="0" fontId="0" fillId="24" borderId="12" xfId="69" applyFont="1" applyFill="1" applyBorder="1" applyAlignment="1">
      <alignment/>
      <protection/>
    </xf>
    <xf numFmtId="43" fontId="0" fillId="24" borderId="12" xfId="49" applyFont="1" applyFill="1" applyBorder="1" applyAlignment="1">
      <alignment vertical="center"/>
    </xf>
    <xf numFmtId="171" fontId="59" fillId="24" borderId="12" xfId="49" applyNumberFormat="1" applyFont="1" applyFill="1" applyBorder="1" applyAlignment="1">
      <alignment/>
    </xf>
    <xf numFmtId="171" fontId="2" fillId="0" borderId="12" xfId="42" applyFont="1" applyBorder="1" applyAlignment="1">
      <alignment/>
    </xf>
    <xf numFmtId="0" fontId="69" fillId="24" borderId="15" xfId="0" applyFont="1" applyFill="1" applyBorder="1" applyAlignment="1">
      <alignment/>
    </xf>
    <xf numFmtId="0" fontId="3" fillId="24" borderId="12" xfId="69" applyFont="1" applyFill="1" applyBorder="1">
      <alignment/>
      <protection/>
    </xf>
    <xf numFmtId="43" fontId="3" fillId="24" borderId="11" xfId="49" applyFont="1" applyFill="1" applyBorder="1" applyAlignment="1">
      <alignment vertical="center" wrapText="1"/>
    </xf>
    <xf numFmtId="0" fontId="0" fillId="24" borderId="34" xfId="69" applyFont="1" applyFill="1" applyBorder="1" applyAlignment="1" quotePrefix="1">
      <alignment vertical="center"/>
      <protection/>
    </xf>
    <xf numFmtId="0" fontId="21" fillId="0" borderId="20" xfId="67" applyFont="1" applyBorder="1" applyAlignment="1">
      <alignment horizontal="center" wrapText="1"/>
      <protection/>
    </xf>
    <xf numFmtId="0" fontId="0" fillId="24" borderId="12" xfId="70" applyFont="1" applyFill="1" applyBorder="1" applyAlignment="1" quotePrefix="1">
      <alignment wrapText="1"/>
      <protection/>
    </xf>
    <xf numFmtId="0" fontId="0" fillId="24" borderId="13" xfId="70" applyFont="1" applyFill="1" applyBorder="1">
      <alignment/>
      <protection/>
    </xf>
    <xf numFmtId="0" fontId="0" fillId="24" borderId="30" xfId="70" applyFont="1" applyFill="1" applyBorder="1" applyAlignment="1" quotePrefix="1">
      <alignment wrapText="1"/>
      <protection/>
    </xf>
    <xf numFmtId="0" fontId="3" fillId="0" borderId="0" xfId="67" applyFont="1" applyAlignment="1">
      <alignment/>
      <protection/>
    </xf>
    <xf numFmtId="0" fontId="0" fillId="0" borderId="0" xfId="67" applyAlignment="1">
      <alignment vertical="top" wrapText="1"/>
      <protection/>
    </xf>
    <xf numFmtId="0" fontId="21" fillId="0" borderId="23" xfId="67" applyFont="1" applyBorder="1" applyAlignment="1">
      <alignment horizontal="center" vertical="top" wrapText="1"/>
      <protection/>
    </xf>
    <xf numFmtId="0" fontId="21" fillId="0" borderId="15" xfId="67" applyFont="1" applyBorder="1" applyAlignment="1">
      <alignment horizontal="center" vertical="center" wrapText="1"/>
      <protection/>
    </xf>
    <xf numFmtId="0" fontId="21" fillId="0" borderId="15" xfId="67" applyFont="1" applyFill="1" applyBorder="1" applyAlignment="1">
      <alignment horizontal="center" vertical="top" wrapText="1"/>
      <protection/>
    </xf>
    <xf numFmtId="0" fontId="21" fillId="0" borderId="10" xfId="67" applyFont="1" applyBorder="1" applyAlignment="1" quotePrefix="1">
      <alignment horizontal="left" vertical="top" wrapText="1"/>
      <protection/>
    </xf>
    <xf numFmtId="0" fontId="0" fillId="0" borderId="10" xfId="67" applyBorder="1" applyAlignment="1" quotePrefix="1">
      <alignment vertical="top" wrapText="1"/>
      <protection/>
    </xf>
    <xf numFmtId="0" fontId="0" fillId="0" borderId="11" xfId="67" applyFont="1" applyBorder="1" applyAlignment="1">
      <alignment vertical="center" wrapText="1"/>
      <protection/>
    </xf>
    <xf numFmtId="0" fontId="0" fillId="0" borderId="12" xfId="67" applyFont="1" applyBorder="1" applyAlignment="1">
      <alignment wrapText="1"/>
      <protection/>
    </xf>
    <xf numFmtId="0" fontId="0" fillId="0" borderId="11" xfId="67" applyBorder="1" applyAlignment="1">
      <alignment vertical="center" wrapText="1"/>
      <protection/>
    </xf>
    <xf numFmtId="0" fontId="21" fillId="0" borderId="11" xfId="67" applyFont="1" applyBorder="1" applyAlignment="1">
      <alignment vertical="top" wrapText="1"/>
      <protection/>
    </xf>
    <xf numFmtId="0" fontId="0" fillId="0" borderId="11" xfId="67" applyFont="1" applyBorder="1" applyAlignment="1">
      <alignment horizontal="left" vertical="top" wrapText="1"/>
      <protection/>
    </xf>
    <xf numFmtId="0" fontId="0" fillId="0" borderId="12" xfId="67" applyBorder="1" applyAlignment="1">
      <alignment vertical="top" wrapText="1"/>
      <protection/>
    </xf>
    <xf numFmtId="0" fontId="0" fillId="0" borderId="12" xfId="67" applyBorder="1" applyAlignment="1">
      <alignment vertical="center" wrapText="1"/>
      <protection/>
    </xf>
    <xf numFmtId="0" fontId="0" fillId="24" borderId="20" xfId="67" applyFont="1" applyFill="1" applyBorder="1" applyAlignment="1">
      <alignment vertical="top" wrapText="1"/>
      <protection/>
    </xf>
    <xf numFmtId="0" fontId="0" fillId="0" borderId="11" xfId="67" applyFont="1" applyBorder="1" applyAlignment="1">
      <alignment wrapText="1"/>
      <protection/>
    </xf>
    <xf numFmtId="0" fontId="0" fillId="24" borderId="34" xfId="67" applyFont="1" applyFill="1" applyBorder="1">
      <alignment/>
      <protection/>
    </xf>
    <xf numFmtId="0" fontId="21" fillId="0" borderId="14" xfId="67" applyFont="1" applyBorder="1" applyAlignment="1">
      <alignment horizontal="center" vertical="top" wrapText="1"/>
      <protection/>
    </xf>
    <xf numFmtId="0" fontId="0" fillId="0" borderId="14" xfId="67" applyBorder="1" applyAlignment="1">
      <alignment vertical="top" wrapText="1"/>
      <protection/>
    </xf>
    <xf numFmtId="171" fontId="0" fillId="0" borderId="0" xfId="67" applyNumberFormat="1" applyAlignment="1">
      <alignment vertical="top" wrapText="1"/>
      <protection/>
    </xf>
    <xf numFmtId="0" fontId="0" fillId="0" borderId="0" xfId="67" applyFont="1" applyAlignment="1">
      <alignment vertical="top" wrapText="1"/>
      <protection/>
    </xf>
    <xf numFmtId="14" fontId="0" fillId="0" borderId="0" xfId="67" applyNumberFormat="1" applyAlignment="1" quotePrefix="1">
      <alignment vertical="top" wrapText="1"/>
      <protection/>
    </xf>
    <xf numFmtId="171" fontId="0" fillId="0" borderId="0" xfId="67" applyNumberFormat="1" applyFont="1" applyAlignment="1">
      <alignment vertical="top" wrapText="1"/>
      <protection/>
    </xf>
    <xf numFmtId="43" fontId="0" fillId="0" borderId="0" xfId="67" applyNumberFormat="1" applyAlignment="1">
      <alignment vertical="top" wrapText="1"/>
      <protection/>
    </xf>
    <xf numFmtId="0" fontId="0" fillId="0" borderId="0" xfId="67" applyFont="1">
      <alignment/>
      <protection/>
    </xf>
    <xf numFmtId="14" fontId="0" fillId="0" borderId="0" xfId="67" applyNumberFormat="1">
      <alignment/>
      <protection/>
    </xf>
    <xf numFmtId="0" fontId="22" fillId="0" borderId="0" xfId="67" applyFont="1">
      <alignment/>
      <protection/>
    </xf>
    <xf numFmtId="0" fontId="0" fillId="0" borderId="0" xfId="67" applyBorder="1">
      <alignment/>
      <protection/>
    </xf>
    <xf numFmtId="171" fontId="0" fillId="0" borderId="0" xfId="67" applyNumberFormat="1" applyBorder="1">
      <alignment/>
      <protection/>
    </xf>
    <xf numFmtId="0" fontId="21" fillId="0" borderId="14" xfId="67" applyFont="1" applyBorder="1" applyAlignment="1">
      <alignment horizontal="center"/>
      <protection/>
    </xf>
    <xf numFmtId="0" fontId="0" fillId="24" borderId="11" xfId="67" applyFont="1" applyFill="1" applyBorder="1" applyAlignment="1" quotePrefix="1">
      <alignment/>
      <protection/>
    </xf>
    <xf numFmtId="0" fontId="0" fillId="0" borderId="11" xfId="67" applyFont="1" applyBorder="1" applyAlignment="1" quotePrefix="1">
      <alignment vertical="center"/>
      <protection/>
    </xf>
    <xf numFmtId="0" fontId="21" fillId="0" borderId="11" xfId="67" applyFont="1" applyBorder="1" applyAlignment="1" quotePrefix="1">
      <alignment horizontal="left" vertical="top"/>
      <protection/>
    </xf>
    <xf numFmtId="0" fontId="21" fillId="0" borderId="15" xfId="67" applyFont="1" applyBorder="1" applyAlignment="1">
      <alignment horizontal="center"/>
      <protection/>
    </xf>
    <xf numFmtId="0" fontId="0" fillId="0" borderId="0" xfId="67" applyAlignment="1">
      <alignment horizontal="center"/>
      <protection/>
    </xf>
    <xf numFmtId="0" fontId="0" fillId="0" borderId="0" xfId="67" applyAlignment="1">
      <alignment/>
      <protection/>
    </xf>
    <xf numFmtId="0" fontId="21" fillId="0" borderId="20" xfId="67" applyFont="1" applyBorder="1" applyAlignment="1">
      <alignment horizontal="center"/>
      <protection/>
    </xf>
    <xf numFmtId="0" fontId="21" fillId="0" borderId="15" xfId="67" applyFont="1" applyFill="1" applyBorder="1" applyAlignment="1">
      <alignment horizontal="left" wrapText="1"/>
      <protection/>
    </xf>
    <xf numFmtId="0" fontId="0" fillId="0" borderId="15" xfId="67" applyFont="1" applyBorder="1" applyAlignment="1" quotePrefix="1">
      <alignment vertical="top" wrapText="1"/>
      <protection/>
    </xf>
    <xf numFmtId="0" fontId="0" fillId="0" borderId="15" xfId="67" applyFont="1" applyBorder="1" applyAlignment="1" quotePrefix="1">
      <alignment horizontal="left" vertical="top" wrapText="1"/>
      <protection/>
    </xf>
    <xf numFmtId="0" fontId="0" fillId="0" borderId="15" xfId="67" applyBorder="1">
      <alignment/>
      <protection/>
    </xf>
    <xf numFmtId="0" fontId="0" fillId="24" borderId="12" xfId="67" applyFont="1" applyFill="1" applyBorder="1" applyAlignment="1">
      <alignment horizontal="left" vertical="center" wrapText="1"/>
      <protection/>
    </xf>
    <xf numFmtId="0" fontId="0" fillId="0" borderId="13" xfId="67" applyBorder="1">
      <alignment/>
      <protection/>
    </xf>
    <xf numFmtId="0" fontId="0" fillId="0" borderId="12" xfId="67" applyFont="1" applyBorder="1" applyAlignment="1">
      <alignment horizontal="left" wrapText="1"/>
      <protection/>
    </xf>
    <xf numFmtId="9" fontId="0" fillId="0" borderId="12" xfId="67" applyNumberFormat="1" applyBorder="1" applyAlignment="1">
      <alignment horizontal="center"/>
      <protection/>
    </xf>
    <xf numFmtId="0" fontId="0" fillId="0" borderId="12" xfId="67" applyFont="1" applyFill="1" applyBorder="1" applyAlignment="1">
      <alignment vertical="center" wrapText="1"/>
      <protection/>
    </xf>
    <xf numFmtId="0" fontId="0" fillId="0" borderId="13" xfId="67" applyBorder="1" applyAlignment="1">
      <alignment vertical="center"/>
      <protection/>
    </xf>
    <xf numFmtId="0" fontId="0" fillId="0" borderId="12" xfId="67" applyFont="1" applyBorder="1" applyAlignment="1" quotePrefix="1">
      <alignment horizontal="left" vertical="center" wrapText="1"/>
      <protection/>
    </xf>
    <xf numFmtId="0" fontId="0" fillId="0" borderId="12" xfId="67" applyBorder="1" applyAlignment="1">
      <alignment vertical="center"/>
      <protection/>
    </xf>
    <xf numFmtId="0" fontId="0" fillId="0" borderId="0" xfId="67" applyAlignment="1">
      <alignment vertical="center"/>
      <protection/>
    </xf>
    <xf numFmtId="0" fontId="0" fillId="0" borderId="12" xfId="67" applyFont="1" applyFill="1" applyBorder="1" applyAlignment="1">
      <alignment wrapText="1"/>
      <protection/>
    </xf>
    <xf numFmtId="0" fontId="0" fillId="0" borderId="12" xfId="67" applyFont="1" applyBorder="1" applyAlignment="1" quotePrefix="1">
      <alignment horizontal="left" wrapText="1"/>
      <protection/>
    </xf>
    <xf numFmtId="0" fontId="0" fillId="0" borderId="12" xfId="67" applyBorder="1">
      <alignment/>
      <protection/>
    </xf>
    <xf numFmtId="9" fontId="0" fillId="0" borderId="12" xfId="67" applyNumberFormat="1" applyBorder="1" applyAlignment="1">
      <alignment horizontal="center" vertical="center"/>
      <protection/>
    </xf>
    <xf numFmtId="0" fontId="0" fillId="0" borderId="13" xfId="67" applyBorder="1" applyAlignment="1">
      <alignment/>
      <protection/>
    </xf>
    <xf numFmtId="0" fontId="0" fillId="0" borderId="15" xfId="67" applyBorder="1" applyAlignment="1">
      <alignment wrapText="1"/>
      <protection/>
    </xf>
    <xf numFmtId="0" fontId="0" fillId="0" borderId="13" xfId="67" applyFont="1" applyBorder="1" applyAlignment="1" quotePrefix="1">
      <alignment horizontal="left" vertical="top" wrapText="1"/>
      <protection/>
    </xf>
    <xf numFmtId="0" fontId="0" fillId="0" borderId="12" xfId="67" applyBorder="1" applyAlignment="1">
      <alignment wrapText="1"/>
      <protection/>
    </xf>
    <xf numFmtId="0" fontId="21" fillId="0" borderId="14" xfId="67" applyFont="1" applyBorder="1" applyAlignment="1">
      <alignment horizontal="center" wrapText="1"/>
      <protection/>
    </xf>
    <xf numFmtId="171" fontId="21" fillId="0" borderId="14" xfId="67" applyNumberFormat="1" applyFont="1" applyBorder="1" applyAlignment="1">
      <alignment wrapText="1"/>
      <protection/>
    </xf>
    <xf numFmtId="0" fontId="0" fillId="0" borderId="14" xfId="67" applyFont="1" applyBorder="1" applyAlignment="1" quotePrefix="1">
      <alignment horizontal="left" vertical="top" wrapText="1"/>
      <protection/>
    </xf>
    <xf numFmtId="0" fontId="21" fillId="0" borderId="35" xfId="67" applyFont="1" applyFill="1" applyBorder="1" applyAlignment="1">
      <alignment horizontal="left" wrapText="1"/>
      <protection/>
    </xf>
    <xf numFmtId="171" fontId="0" fillId="0" borderId="35" xfId="67" applyNumberFormat="1" applyBorder="1" applyAlignment="1">
      <alignment wrapText="1"/>
      <protection/>
    </xf>
    <xf numFmtId="0" fontId="0" fillId="0" borderId="35" xfId="67" applyBorder="1">
      <alignment/>
      <protection/>
    </xf>
    <xf numFmtId="0" fontId="0" fillId="0" borderId="35" xfId="67" applyFont="1" applyBorder="1" applyAlignment="1" quotePrefix="1">
      <alignment horizontal="left" vertical="top" wrapText="1"/>
      <protection/>
    </xf>
    <xf numFmtId="0" fontId="0" fillId="0" borderId="13" xfId="67" applyFont="1" applyFill="1" applyBorder="1" applyAlignment="1">
      <alignment vertical="center" wrapText="1"/>
      <protection/>
    </xf>
    <xf numFmtId="171" fontId="0" fillId="0" borderId="12" xfId="67" applyNumberFormat="1" applyBorder="1" applyAlignment="1">
      <alignment wrapText="1"/>
      <protection/>
    </xf>
    <xf numFmtId="0" fontId="0" fillId="0" borderId="12" xfId="67" applyFont="1" applyBorder="1" applyAlignment="1" quotePrefix="1">
      <alignment horizontal="left" vertical="top" wrapText="1"/>
      <protection/>
    </xf>
    <xf numFmtId="0" fontId="0" fillId="0" borderId="12" xfId="67" applyFont="1" applyBorder="1">
      <alignment/>
      <protection/>
    </xf>
    <xf numFmtId="171" fontId="0" fillId="0" borderId="13" xfId="67" applyNumberFormat="1" applyBorder="1" applyAlignment="1">
      <alignment wrapText="1"/>
      <protection/>
    </xf>
    <xf numFmtId="0" fontId="0" fillId="0" borderId="13" xfId="67" applyFont="1" applyBorder="1">
      <alignment/>
      <protection/>
    </xf>
    <xf numFmtId="171" fontId="0" fillId="0" borderId="11" xfId="67" applyNumberFormat="1" applyBorder="1" applyAlignment="1">
      <alignment wrapText="1"/>
      <protection/>
    </xf>
    <xf numFmtId="0" fontId="0" fillId="0" borderId="11" xfId="67" applyFont="1" applyBorder="1" applyAlignment="1" quotePrefix="1">
      <alignment horizontal="left" vertical="top" wrapText="1"/>
      <protection/>
    </xf>
    <xf numFmtId="0" fontId="0" fillId="0" borderId="14" xfId="67" applyBorder="1" applyAlignment="1">
      <alignment wrapText="1"/>
      <protection/>
    </xf>
    <xf numFmtId="0" fontId="0" fillId="0" borderId="14" xfId="67" applyFont="1" applyBorder="1" applyAlignment="1" quotePrefix="1">
      <alignment horizontal="left" wrapText="1"/>
      <protection/>
    </xf>
    <xf numFmtId="0" fontId="0" fillId="0" borderId="11" xfId="67" applyBorder="1" applyAlignment="1">
      <alignment wrapText="1"/>
      <protection/>
    </xf>
    <xf numFmtId="0" fontId="0" fillId="0" borderId="13" xfId="67" applyBorder="1" applyAlignment="1">
      <alignment vertical="center" wrapText="1"/>
      <protection/>
    </xf>
    <xf numFmtId="0" fontId="0" fillId="0" borderId="15" xfId="67" applyFont="1" applyBorder="1" applyAlignment="1" quotePrefix="1">
      <alignment horizontal="left" wrapText="1"/>
      <protection/>
    </xf>
    <xf numFmtId="0" fontId="0" fillId="0" borderId="14" xfId="67" applyFont="1" applyBorder="1" applyAlignment="1" quotePrefix="1">
      <alignment wrapText="1"/>
      <protection/>
    </xf>
    <xf numFmtId="0" fontId="21" fillId="0" borderId="11" xfId="67" applyFont="1" applyBorder="1" applyAlignment="1">
      <alignment wrapText="1"/>
      <protection/>
    </xf>
    <xf numFmtId="0" fontId="0" fillId="0" borderId="15" xfId="67" applyFont="1" applyBorder="1" applyAlignment="1">
      <alignment wrapText="1"/>
      <protection/>
    </xf>
    <xf numFmtId="0" fontId="0" fillId="0" borderId="11" xfId="67" applyBorder="1" applyAlignment="1">
      <alignment horizontal="left" wrapText="1"/>
      <protection/>
    </xf>
    <xf numFmtId="0" fontId="21" fillId="0" borderId="12" xfId="70" applyFont="1" applyFill="1" applyBorder="1" applyAlignment="1" quotePrefix="1">
      <alignment/>
      <protection/>
    </xf>
    <xf numFmtId="171" fontId="0" fillId="0" borderId="13" xfId="42" applyNumberFormat="1" applyFont="1" applyBorder="1" applyAlignment="1">
      <alignment wrapText="1"/>
    </xf>
    <xf numFmtId="0" fontId="21" fillId="0" borderId="15" xfId="67" applyFont="1" applyBorder="1" applyAlignment="1" quotePrefix="1">
      <alignment wrapText="1"/>
      <protection/>
    </xf>
    <xf numFmtId="0" fontId="0" fillId="0" borderId="13" xfId="70" applyFont="1" applyFill="1" applyBorder="1" applyAlignment="1" quotePrefix="1">
      <alignment vertical="center"/>
      <protection/>
    </xf>
    <xf numFmtId="0" fontId="0" fillId="0" borderId="12" xfId="67" applyFont="1" applyBorder="1" applyAlignment="1">
      <alignment vertical="center" wrapText="1"/>
      <protection/>
    </xf>
    <xf numFmtId="0" fontId="0" fillId="0" borderId="12" xfId="70" applyFont="1" applyFill="1" applyBorder="1" applyAlignment="1" quotePrefix="1">
      <alignment vertical="center"/>
      <protection/>
    </xf>
    <xf numFmtId="0" fontId="0" fillId="0" borderId="34" xfId="67" applyFont="1" applyFill="1" applyBorder="1" applyAlignment="1">
      <alignment vertical="center" wrapText="1"/>
      <protection/>
    </xf>
    <xf numFmtId="0" fontId="0" fillId="0" borderId="34" xfId="67" applyFont="1" applyBorder="1" applyAlignment="1">
      <alignment vertical="center" wrapText="1"/>
      <protection/>
    </xf>
    <xf numFmtId="171" fontId="0" fillId="0" borderId="34" xfId="42" applyNumberFormat="1" applyFont="1" applyBorder="1" applyAlignment="1">
      <alignment vertical="center" wrapText="1"/>
    </xf>
    <xf numFmtId="0" fontId="0" fillId="0" borderId="34" xfId="67" applyBorder="1" applyAlignment="1">
      <alignment vertical="center"/>
      <protection/>
    </xf>
    <xf numFmtId="0" fontId="0" fillId="0" borderId="34" xfId="67" applyFont="1" applyBorder="1" applyAlignment="1" quotePrefix="1">
      <alignment horizontal="left" vertical="center" wrapText="1"/>
      <protection/>
    </xf>
    <xf numFmtId="0" fontId="0" fillId="0" borderId="34" xfId="70" applyFont="1" applyFill="1" applyBorder="1" applyAlignment="1" quotePrefix="1">
      <alignment vertical="center"/>
      <protection/>
    </xf>
    <xf numFmtId="0" fontId="21" fillId="0" borderId="19" xfId="67" applyFont="1" applyBorder="1" applyAlignment="1">
      <alignment horizontal="center" vertical="top" wrapText="1"/>
      <protection/>
    </xf>
    <xf numFmtId="0" fontId="0" fillId="0" borderId="19" xfId="67" applyFont="1" applyBorder="1" applyAlignment="1">
      <alignment wrapText="1"/>
      <protection/>
    </xf>
    <xf numFmtId="0" fontId="21" fillId="0" borderId="19" xfId="67" applyFont="1" applyBorder="1" applyAlignment="1">
      <alignment wrapText="1"/>
      <protection/>
    </xf>
    <xf numFmtId="0" fontId="0" fillId="0" borderId="19" xfId="67" applyBorder="1">
      <alignment/>
      <protection/>
    </xf>
    <xf numFmtId="0" fontId="0" fillId="0" borderId="19" xfId="67" applyBorder="1" applyAlignment="1">
      <alignment vertical="top" wrapText="1"/>
      <protection/>
    </xf>
    <xf numFmtId="9" fontId="2" fillId="0" borderId="13" xfId="0" applyNumberFormat="1" applyFont="1" applyBorder="1" applyAlignment="1">
      <alignment horizontal="center"/>
    </xf>
    <xf numFmtId="9" fontId="0" fillId="0" borderId="11" xfId="67" applyNumberFormat="1" applyFont="1" applyBorder="1" applyAlignment="1">
      <alignment horizontal="center"/>
      <protection/>
    </xf>
    <xf numFmtId="0" fontId="0" fillId="0" borderId="0" xfId="68" applyFont="1" applyFill="1" applyBorder="1">
      <alignment/>
      <protection/>
    </xf>
    <xf numFmtId="9" fontId="0" fillId="0" borderId="12" xfId="67" applyNumberFormat="1" applyFont="1" applyBorder="1" applyAlignment="1">
      <alignment horizontal="center"/>
      <protection/>
    </xf>
    <xf numFmtId="43" fontId="29" fillId="24" borderId="0" xfId="69" applyNumberFormat="1" applyFont="1" applyFill="1" applyBorder="1" applyAlignment="1">
      <alignment horizontal="center"/>
      <protection/>
    </xf>
    <xf numFmtId="0" fontId="70" fillId="24" borderId="15" xfId="0" applyFont="1" applyFill="1" applyBorder="1" applyAlignment="1">
      <alignment horizontal="left" vertical="center" wrapText="1"/>
    </xf>
    <xf numFmtId="0" fontId="71" fillId="24" borderId="15" xfId="0" applyFont="1" applyFill="1" applyBorder="1" applyAlignment="1" quotePrefix="1">
      <alignment horizontal="left" vertical="center"/>
    </xf>
    <xf numFmtId="171" fontId="21" fillId="24" borderId="12" xfId="42" applyFont="1" applyFill="1" applyBorder="1" applyAlignment="1">
      <alignment/>
    </xf>
    <xf numFmtId="171" fontId="0" fillId="0" borderId="0" xfId="0" applyNumberFormat="1" applyFont="1" applyAlignment="1">
      <alignment/>
    </xf>
    <xf numFmtId="0" fontId="57" fillId="24" borderId="11" xfId="0" applyFont="1" applyFill="1" applyBorder="1" applyAlignment="1">
      <alignment vertical="top" wrapText="1"/>
    </xf>
    <xf numFmtId="171" fontId="59" fillId="24" borderId="12" xfId="42" applyNumberFormat="1" applyFont="1" applyFill="1" applyBorder="1" applyAlignment="1">
      <alignment wrapText="1"/>
    </xf>
    <xf numFmtId="0" fontId="72" fillId="24" borderId="15" xfId="0" applyFont="1" applyFill="1" applyBorder="1" applyAlignment="1">
      <alignment horizontal="left" vertical="center" wrapText="1"/>
    </xf>
    <xf numFmtId="0" fontId="57" fillId="24" borderId="15" xfId="0" applyFont="1" applyFill="1" applyBorder="1" applyAlignment="1">
      <alignment/>
    </xf>
    <xf numFmtId="43" fontId="21" fillId="24" borderId="12" xfId="49" applyFont="1" applyFill="1" applyBorder="1" applyAlignment="1">
      <alignment horizontal="left" vertical="center" wrapText="1"/>
    </xf>
    <xf numFmtId="43" fontId="21" fillId="24" borderId="12" xfId="50" applyFont="1" applyFill="1" applyBorder="1" applyAlignment="1">
      <alignment vertical="center" wrapText="1"/>
    </xf>
    <xf numFmtId="2" fontId="2" fillId="0" borderId="10" xfId="68" applyNumberFormat="1" applyFont="1" applyBorder="1">
      <alignment/>
      <protection/>
    </xf>
    <xf numFmtId="2" fontId="2" fillId="0" borderId="12" xfId="68" applyNumberFormat="1" applyFont="1" applyBorder="1">
      <alignment/>
      <protection/>
    </xf>
    <xf numFmtId="0" fontId="59" fillId="24" borderId="11" xfId="0" applyFont="1" applyFill="1" applyBorder="1" applyAlignment="1">
      <alignment horizontal="left" vertical="top" wrapText="1"/>
    </xf>
    <xf numFmtId="0" fontId="59" fillId="24" borderId="13" xfId="0" applyFont="1" applyFill="1" applyBorder="1" applyAlignment="1">
      <alignment horizontal="left" vertical="top" wrapText="1"/>
    </xf>
    <xf numFmtId="171" fontId="59" fillId="24" borderId="11" xfId="42" applyFont="1" applyFill="1" applyBorder="1" applyAlignment="1">
      <alignment horizontal="left" vertical="top" wrapText="1"/>
    </xf>
    <xf numFmtId="171" fontId="59" fillId="24" borderId="13" xfId="42" applyFont="1" applyFill="1" applyBorder="1" applyAlignment="1">
      <alignment wrapText="1"/>
    </xf>
    <xf numFmtId="171" fontId="59" fillId="24" borderId="13" xfId="42" applyNumberFormat="1" applyFont="1" applyFill="1" applyBorder="1" applyAlignment="1">
      <alignment wrapText="1"/>
    </xf>
    <xf numFmtId="0" fontId="59" fillId="24" borderId="13" xfId="0" applyFont="1" applyFill="1" applyBorder="1" applyAlignment="1">
      <alignment wrapText="1"/>
    </xf>
    <xf numFmtId="0" fontId="59" fillId="24" borderId="13" xfId="0" applyFont="1" applyFill="1" applyBorder="1" applyAlignment="1">
      <alignment vertical="center" wrapText="1"/>
    </xf>
    <xf numFmtId="171" fontId="59" fillId="24" borderId="11" xfId="42" applyFont="1" applyFill="1" applyBorder="1" applyAlignment="1">
      <alignment/>
    </xf>
    <xf numFmtId="0" fontId="59" fillId="24" borderId="11" xfId="0" applyFont="1" applyFill="1" applyBorder="1" applyAlignment="1">
      <alignment vertical="center"/>
    </xf>
    <xf numFmtId="0" fontId="59" fillId="24" borderId="13" xfId="0" applyFont="1" applyFill="1" applyBorder="1" applyAlignment="1">
      <alignment vertical="top" wrapText="1"/>
    </xf>
    <xf numFmtId="0" fontId="59" fillId="24" borderId="12" xfId="0" applyFont="1" applyFill="1" applyBorder="1" applyAlignment="1">
      <alignment/>
    </xf>
    <xf numFmtId="0" fontId="21" fillId="0" borderId="10" xfId="0" applyFont="1" applyBorder="1" applyAlignment="1">
      <alignment/>
    </xf>
    <xf numFmtId="0" fontId="73" fillId="0" borderId="12" xfId="0" applyFont="1" applyBorder="1" applyAlignment="1">
      <alignment/>
    </xf>
    <xf numFmtId="171" fontId="0" fillId="26" borderId="0" xfId="42" applyFont="1" applyFill="1" applyBorder="1" applyAlignment="1">
      <alignment/>
    </xf>
    <xf numFmtId="0" fontId="36" fillId="0" borderId="0" xfId="0" applyFont="1" applyAlignment="1">
      <alignment/>
    </xf>
    <xf numFmtId="171" fontId="74" fillId="27" borderId="11" xfId="67" applyNumberFormat="1" applyFont="1" applyFill="1" applyBorder="1" applyAlignment="1">
      <alignment horizontal="center" vertical="center"/>
      <protection/>
    </xf>
    <xf numFmtId="43" fontId="2" fillId="24" borderId="11" xfId="49" applyFont="1" applyFill="1" applyBorder="1" applyAlignment="1">
      <alignment horizontal="left" vertical="center" wrapText="1"/>
    </xf>
    <xf numFmtId="171" fontId="2" fillId="24" borderId="11" xfId="0" applyNumberFormat="1" applyFont="1" applyFill="1" applyBorder="1" applyAlignment="1">
      <alignment/>
    </xf>
    <xf numFmtId="43" fontId="3" fillId="24" borderId="11" xfId="49" applyFont="1" applyFill="1" applyBorder="1" applyAlignment="1">
      <alignment wrapText="1"/>
    </xf>
    <xf numFmtId="2" fontId="2" fillId="0" borderId="11" xfId="68" applyNumberFormat="1" applyFont="1" applyBorder="1">
      <alignment/>
      <protection/>
    </xf>
    <xf numFmtId="43" fontId="2" fillId="0" borderId="10" xfId="49" applyFont="1" applyFill="1" applyBorder="1" applyAlignment="1">
      <alignment horizontal="left" vertical="center" wrapText="1"/>
    </xf>
    <xf numFmtId="43" fontId="2" fillId="0" borderId="37" xfId="49" applyFont="1" applyFill="1" applyBorder="1" applyAlignment="1">
      <alignment wrapText="1"/>
    </xf>
    <xf numFmtId="43" fontId="2" fillId="0" borderId="10" xfId="49" applyFont="1" applyFill="1" applyBorder="1" applyAlignment="1">
      <alignment wrapText="1"/>
    </xf>
    <xf numFmtId="43" fontId="3" fillId="0" borderId="10" xfId="49" applyFont="1" applyFill="1" applyBorder="1" applyAlignment="1">
      <alignment wrapText="1"/>
    </xf>
    <xf numFmtId="171" fontId="2" fillId="0" borderId="10" xfId="42" applyNumberFormat="1" applyFont="1" applyBorder="1" applyAlignment="1">
      <alignment/>
    </xf>
    <xf numFmtId="0" fontId="60" fillId="28" borderId="20" xfId="67" applyFont="1" applyFill="1" applyBorder="1" applyAlignment="1">
      <alignment horizontal="center" wrapText="1"/>
      <protection/>
    </xf>
    <xf numFmtId="171" fontId="62" fillId="28" borderId="11" xfId="42" applyFont="1" applyFill="1" applyBorder="1" applyAlignment="1">
      <alignment/>
    </xf>
    <xf numFmtId="171" fontId="59" fillId="24" borderId="12" xfId="42" applyNumberFormat="1" applyFont="1" applyFill="1" applyBorder="1" applyAlignment="1">
      <alignment/>
    </xf>
    <xf numFmtId="0" fontId="0" fillId="24" borderId="0" xfId="0" applyFill="1" applyAlignment="1">
      <alignment/>
    </xf>
    <xf numFmtId="171" fontId="57" fillId="24" borderId="12" xfId="42" applyFont="1" applyFill="1" applyBorder="1" applyAlignment="1">
      <alignment wrapText="1"/>
    </xf>
    <xf numFmtId="0" fontId="59" fillId="24" borderId="12" xfId="0" applyFont="1" applyFill="1" applyBorder="1" applyAlignment="1" quotePrefix="1">
      <alignment horizontal="left" wrapText="1"/>
    </xf>
    <xf numFmtId="0" fontId="0" fillId="0" borderId="22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59" fillId="24" borderId="11" xfId="0" applyFont="1" applyFill="1" applyBorder="1" applyAlignment="1" quotePrefix="1">
      <alignment wrapText="1"/>
    </xf>
    <xf numFmtId="0" fontId="59" fillId="24" borderId="13" xfId="0" applyFont="1" applyFill="1" applyBorder="1" applyAlignment="1" quotePrefix="1">
      <alignment horizontal="left" wrapText="1"/>
    </xf>
    <xf numFmtId="43" fontId="2" fillId="0" borderId="22" xfId="68" applyNumberFormat="1" applyFont="1" applyBorder="1" applyAlignment="1">
      <alignment horizontal="center" vertical="center"/>
      <protection/>
    </xf>
    <xf numFmtId="43" fontId="3" fillId="0" borderId="0" xfId="49" applyFont="1" applyAlignment="1">
      <alignment horizontal="center" vertical="center" wrapText="1"/>
    </xf>
    <xf numFmtId="43" fontId="2" fillId="24" borderId="0" xfId="50" applyFont="1" applyFill="1" applyBorder="1" applyAlignment="1">
      <alignment horizontal="left" vertical="center" wrapText="1"/>
    </xf>
    <xf numFmtId="0" fontId="21" fillId="24" borderId="13" xfId="69" applyFont="1" applyFill="1" applyBorder="1" applyAlignment="1" quotePrefix="1">
      <alignment horizontal="left" vertical="center"/>
      <protection/>
    </xf>
    <xf numFmtId="0" fontId="21" fillId="24" borderId="11" xfId="69" applyFont="1" applyFill="1" applyBorder="1" applyAlignment="1" quotePrefix="1">
      <alignment horizontal="left" vertical="center"/>
      <protection/>
    </xf>
    <xf numFmtId="0" fontId="0" fillId="24" borderId="13" xfId="69" applyFont="1" applyFill="1" applyBorder="1" applyAlignment="1" quotePrefix="1">
      <alignment horizontal="left" vertical="center"/>
      <protection/>
    </xf>
    <xf numFmtId="0" fontId="0" fillId="24" borderId="11" xfId="69" applyFont="1" applyFill="1" applyBorder="1" applyAlignment="1" quotePrefix="1">
      <alignment horizontal="left" vertical="center"/>
      <protection/>
    </xf>
    <xf numFmtId="0" fontId="0" fillId="24" borderId="13" xfId="0" applyFont="1" applyFill="1" applyBorder="1" applyAlignment="1" quotePrefix="1">
      <alignment horizontal="left" vertical="center"/>
    </xf>
    <xf numFmtId="0" fontId="0" fillId="24" borderId="11" xfId="0" applyFont="1" applyFill="1" applyBorder="1" applyAlignment="1" quotePrefix="1">
      <alignment horizontal="left" vertical="center"/>
    </xf>
    <xf numFmtId="0" fontId="21" fillId="24" borderId="15" xfId="69" applyFont="1" applyFill="1" applyBorder="1" applyAlignment="1" quotePrefix="1">
      <alignment horizontal="left" vertical="center"/>
      <protection/>
    </xf>
    <xf numFmtId="0" fontId="0" fillId="24" borderId="13" xfId="69" applyFont="1" applyFill="1" applyBorder="1" applyAlignment="1" quotePrefix="1">
      <alignment horizontal="left" vertical="center" wrapText="1"/>
      <protection/>
    </xf>
    <xf numFmtId="0" fontId="0" fillId="24" borderId="11" xfId="69" applyFont="1" applyFill="1" applyBorder="1" applyAlignment="1" quotePrefix="1">
      <alignment horizontal="left" vertical="center" wrapText="1"/>
      <protection/>
    </xf>
    <xf numFmtId="0" fontId="21" fillId="24" borderId="0" xfId="69" applyFont="1" applyFill="1" applyAlignment="1">
      <alignment horizontal="center"/>
      <protection/>
    </xf>
    <xf numFmtId="0" fontId="21" fillId="24" borderId="0" xfId="69" applyFont="1" applyFill="1" applyBorder="1" applyAlignment="1">
      <alignment horizontal="center"/>
      <protection/>
    </xf>
    <xf numFmtId="0" fontId="21" fillId="24" borderId="29" xfId="69" applyFont="1" applyFill="1" applyBorder="1" applyAlignment="1">
      <alignment horizontal="center" vertical="center"/>
      <protection/>
    </xf>
    <xf numFmtId="0" fontId="21" fillId="24" borderId="20" xfId="0" applyFont="1" applyFill="1" applyBorder="1" applyAlignment="1">
      <alignment horizontal="center" vertical="center"/>
    </xf>
    <xf numFmtId="0" fontId="21" fillId="24" borderId="38" xfId="69" applyFont="1" applyFill="1" applyBorder="1" applyAlignment="1">
      <alignment horizontal="center"/>
      <protection/>
    </xf>
    <xf numFmtId="0" fontId="21" fillId="24" borderId="18" xfId="69" applyFont="1" applyFill="1" applyBorder="1" applyAlignment="1">
      <alignment horizontal="center"/>
      <protection/>
    </xf>
    <xf numFmtId="0" fontId="21" fillId="24" borderId="23" xfId="69" applyFont="1" applyFill="1" applyBorder="1" applyAlignment="1">
      <alignment horizontal="center"/>
      <protection/>
    </xf>
    <xf numFmtId="43" fontId="21" fillId="24" borderId="29" xfId="51" applyFont="1" applyFill="1" applyBorder="1" applyAlignment="1">
      <alignment horizontal="center" vertical="center"/>
    </xf>
    <xf numFmtId="0" fontId="0" fillId="24" borderId="20" xfId="0" applyFont="1" applyFill="1" applyBorder="1" applyAlignment="1">
      <alignment horizontal="center" vertical="center"/>
    </xf>
    <xf numFmtId="0" fontId="3" fillId="24" borderId="29" xfId="69" applyFont="1" applyFill="1" applyBorder="1" applyAlignment="1">
      <alignment horizontal="center" vertical="center"/>
      <protection/>
    </xf>
    <xf numFmtId="0" fontId="2" fillId="24" borderId="20" xfId="0" applyFont="1" applyFill="1" applyBorder="1" applyAlignment="1">
      <alignment horizontal="center" vertical="center"/>
    </xf>
    <xf numFmtId="0" fontId="0" fillId="24" borderId="13" xfId="69" applyFont="1" applyFill="1" applyBorder="1" applyAlignment="1">
      <alignment horizontal="left" vertical="top" wrapText="1"/>
      <protection/>
    </xf>
    <xf numFmtId="0" fontId="0" fillId="24" borderId="15" xfId="69" applyFont="1" applyFill="1" applyBorder="1" applyAlignment="1">
      <alignment horizontal="left" vertical="top" wrapText="1"/>
      <protection/>
    </xf>
    <xf numFmtId="0" fontId="0" fillId="0" borderId="28" xfId="67" applyBorder="1" applyAlignment="1">
      <alignment horizontal="center" vertical="center" wrapText="1"/>
      <protection/>
    </xf>
    <xf numFmtId="0" fontId="0" fillId="0" borderId="33" xfId="67" applyBorder="1" applyAlignment="1">
      <alignment horizontal="center" vertical="center" wrapText="1"/>
      <protection/>
    </xf>
    <xf numFmtId="0" fontId="3" fillId="0" borderId="0" xfId="67" applyFont="1" applyAlignment="1">
      <alignment horizontal="center"/>
      <protection/>
    </xf>
    <xf numFmtId="0" fontId="3" fillId="0" borderId="0" xfId="67" applyFont="1" applyAlignment="1" quotePrefix="1">
      <alignment horizontal="center"/>
      <protection/>
    </xf>
    <xf numFmtId="0" fontId="21" fillId="0" borderId="29" xfId="67" applyFont="1" applyBorder="1" applyAlignment="1">
      <alignment horizontal="center" vertical="center" wrapText="1"/>
      <protection/>
    </xf>
    <xf numFmtId="0" fontId="21" fillId="0" borderId="20" xfId="67" applyFont="1" applyBorder="1" applyAlignment="1">
      <alignment horizontal="center" vertical="center" wrapText="1"/>
      <protection/>
    </xf>
    <xf numFmtId="0" fontId="21" fillId="0" borderId="38" xfId="67" applyFont="1" applyBorder="1" applyAlignment="1">
      <alignment horizontal="center" vertical="center" wrapText="1"/>
      <protection/>
    </xf>
    <xf numFmtId="0" fontId="21" fillId="0" borderId="18" xfId="67" applyFont="1" applyBorder="1" applyAlignment="1">
      <alignment horizontal="center" vertical="center" wrapText="1"/>
      <protection/>
    </xf>
    <xf numFmtId="0" fontId="21" fillId="0" borderId="23" xfId="67" applyFont="1" applyBorder="1" applyAlignment="1">
      <alignment horizontal="center" vertical="center" wrapText="1"/>
      <protection/>
    </xf>
    <xf numFmtId="0" fontId="21" fillId="0" borderId="29" xfId="67" applyFont="1" applyBorder="1" applyAlignment="1">
      <alignment horizontal="center" wrapText="1"/>
      <protection/>
    </xf>
    <xf numFmtId="0" fontId="21" fillId="0" borderId="20" xfId="67" applyFont="1" applyBorder="1" applyAlignment="1">
      <alignment horizontal="center" wrapText="1"/>
      <protection/>
    </xf>
    <xf numFmtId="0" fontId="0" fillId="0" borderId="38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21" fillId="0" borderId="29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wrapText="1"/>
    </xf>
    <xf numFmtId="0" fontId="21" fillId="0" borderId="15" xfId="0" applyFont="1" applyBorder="1" applyAlignment="1">
      <alignment horizontal="center" wrapText="1"/>
    </xf>
    <xf numFmtId="0" fontId="0" fillId="0" borderId="20" xfId="0" applyBorder="1" applyAlignment="1">
      <alignment/>
    </xf>
    <xf numFmtId="0" fontId="3" fillId="0" borderId="2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1" fillId="0" borderId="20" xfId="0" applyFont="1" applyBorder="1" applyAlignment="1">
      <alignment horizont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1" fillId="0" borderId="29" xfId="67" applyFont="1" applyBorder="1" applyAlignment="1">
      <alignment horizontal="center" vertical="top" wrapText="1"/>
      <protection/>
    </xf>
    <xf numFmtId="0" fontId="21" fillId="0" borderId="20" xfId="67" applyFont="1" applyBorder="1" applyAlignment="1">
      <alignment horizontal="center" vertical="top" wrapText="1"/>
      <protection/>
    </xf>
    <xf numFmtId="0" fontId="21" fillId="0" borderId="38" xfId="67" applyFont="1" applyBorder="1" applyAlignment="1">
      <alignment horizontal="center" vertical="top" wrapText="1"/>
      <protection/>
    </xf>
    <xf numFmtId="0" fontId="21" fillId="0" borderId="18" xfId="67" applyFont="1" applyBorder="1" applyAlignment="1">
      <alignment horizontal="center" vertical="top" wrapText="1"/>
      <protection/>
    </xf>
    <xf numFmtId="0" fontId="21" fillId="0" borderId="39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vertical="top" wrapText="1"/>
    </xf>
    <xf numFmtId="0" fontId="21" fillId="0" borderId="3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24" borderId="29" xfId="0" applyFont="1" applyFill="1" applyBorder="1" applyAlignment="1">
      <alignment horizontal="center" vertical="center"/>
    </xf>
    <xf numFmtId="0" fontId="21" fillId="0" borderId="29" xfId="67" applyFont="1" applyBorder="1" applyAlignment="1">
      <alignment horizontal="center" vertical="center"/>
      <protection/>
    </xf>
    <xf numFmtId="0" fontId="21" fillId="0" borderId="20" xfId="67" applyFont="1" applyBorder="1" applyAlignment="1">
      <alignment horizontal="center" vertical="center"/>
      <protection/>
    </xf>
    <xf numFmtId="0" fontId="21" fillId="0" borderId="38" xfId="67" applyFont="1" applyBorder="1" applyAlignment="1">
      <alignment horizontal="center" vertical="center"/>
      <protection/>
    </xf>
    <xf numFmtId="0" fontId="21" fillId="0" borderId="18" xfId="67" applyFont="1" applyBorder="1" applyAlignment="1">
      <alignment horizontal="center" vertical="center"/>
      <protection/>
    </xf>
    <xf numFmtId="0" fontId="3" fillId="29" borderId="0" xfId="0" applyFont="1" applyFill="1" applyAlignment="1">
      <alignment horizontal="center" vertical="top" wrapText="1"/>
    </xf>
    <xf numFmtId="0" fontId="3" fillId="29" borderId="0" xfId="0" applyFont="1" applyFill="1" applyAlignment="1" quotePrefix="1">
      <alignment horizontal="center" vertical="top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top" wrapText="1"/>
    </xf>
    <xf numFmtId="0" fontId="21" fillId="0" borderId="22" xfId="0" applyFont="1" applyBorder="1" applyAlignment="1">
      <alignment horizontal="center" wrapText="1"/>
    </xf>
    <xf numFmtId="0" fontId="21" fillId="0" borderId="22" xfId="0" applyFont="1" applyBorder="1" applyAlignment="1">
      <alignment horizontal="center" vertical="center" wrapText="1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_Annual TICP Report 2005" xfId="48"/>
    <cellStyle name="Comma_grant-contributions09" xfId="49"/>
    <cellStyle name="Comma_grant-contributions09 2" xfId="50"/>
    <cellStyle name="Comma_sector-valluelao4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rmal 3" xfId="66"/>
    <cellStyle name="Normal 4" xfId="67"/>
    <cellStyle name="Normal_grant-contributions09" xfId="68"/>
    <cellStyle name="Normal_sector-valluelao4" xfId="69"/>
    <cellStyle name="Normal_sector-valluelao4 2" xfId="70"/>
    <cellStyle name="Normal_ตารางมค-มิย.50" xfId="71"/>
    <cellStyle name="Note" xfId="72"/>
    <cellStyle name="Output" xfId="73"/>
    <cellStyle name="Percent" xfId="74"/>
    <cellStyle name="Percent 2" xfId="75"/>
    <cellStyle name="Percent 3" xfId="76"/>
    <cellStyle name="Title" xfId="77"/>
    <cellStyle name="Total" xfId="78"/>
    <cellStyle name="Warning Text" xfId="79"/>
    <cellStyle name="ปกติ_41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285750</xdr:colOff>
      <xdr:row>23</xdr:row>
      <xdr:rowOff>0</xdr:rowOff>
    </xdr:from>
    <xdr:ext cx="88582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3876675" y="8743950"/>
          <a:ext cx="885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3619;&#3634;&#3618;&#3621;&#3632;&#3648;&#3629;&#3637;&#3618;&#3604;&#3585;&#3634;&#3619;&#3592;&#3657;&#3634;&#3591;&#3611;&#3637;60-61\&#3619;&#3623;&#3617;&#3605;&#3633;&#3623;&#3648;&#3621;&#3586;&#3626;&#3614;&#3619;.&#3649;&#3610;&#3610;&#3605;&#3656;&#3634;&#3591;&#3654;\Downloads\other-20130925-105802-277795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I"/>
      <sheetName val="AnII"/>
      <sheetName val="ApIII"/>
      <sheetName val="ApIV"/>
      <sheetName val="ApV"/>
      <sheetName val="AnVI"/>
      <sheetName val="ApVII"/>
      <sheetName val="ApVIII"/>
      <sheetName val="ApIX"/>
      <sheetName val="ApX"/>
      <sheetName val="AnXI"/>
      <sheetName val="ApXII"/>
      <sheetName val="ApXIII"/>
      <sheetName val="Framework"/>
      <sheetName val="ApXI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46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E1"/>
    </sheetView>
  </sheetViews>
  <sheetFormatPr defaultColWidth="9.140625" defaultRowHeight="20.25" customHeight="1"/>
  <cols>
    <col min="1" max="1" width="58.57421875" style="81" customWidth="1"/>
    <col min="2" max="2" width="18.421875" style="81" customWidth="1"/>
    <col min="3" max="3" width="19.28125" style="81" customWidth="1"/>
    <col min="4" max="4" width="16.421875" style="81" customWidth="1"/>
    <col min="5" max="5" width="18.140625" style="81" customWidth="1"/>
    <col min="6" max="6" width="8.421875" style="81" customWidth="1"/>
    <col min="7" max="7" width="9.140625" style="81" customWidth="1"/>
    <col min="8" max="16384" width="9.140625" style="81" customWidth="1"/>
  </cols>
  <sheetData>
    <row r="1" spans="1:6" ht="31.5" customHeight="1">
      <c r="A1" s="802" t="s">
        <v>1083</v>
      </c>
      <c r="B1" s="802"/>
      <c r="C1" s="802"/>
      <c r="D1" s="802"/>
      <c r="E1" s="802"/>
      <c r="F1" s="176"/>
    </row>
    <row r="2" spans="1:5" ht="25.5" customHeight="1">
      <c r="A2" s="117"/>
      <c r="B2" s="117"/>
      <c r="C2" s="117"/>
      <c r="D2" s="117"/>
      <c r="E2" s="118"/>
    </row>
    <row r="3" spans="1:22" ht="51" customHeight="1">
      <c r="A3" s="172" t="s">
        <v>57</v>
      </c>
      <c r="B3" s="194" t="s">
        <v>58</v>
      </c>
      <c r="C3" s="194" t="s">
        <v>59</v>
      </c>
      <c r="D3" s="173" t="s">
        <v>60</v>
      </c>
      <c r="E3" s="195" t="s">
        <v>61</v>
      </c>
      <c r="F3" s="801" t="s">
        <v>1035</v>
      </c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</row>
    <row r="4" spans="1:22" ht="24">
      <c r="A4" s="786" t="s">
        <v>275</v>
      </c>
      <c r="B4" s="787"/>
      <c r="C4" s="790">
        <v>1662699320</v>
      </c>
      <c r="D4" s="788"/>
      <c r="E4" s="789">
        <f>SUM(B4:D4)</f>
        <v>1662699320</v>
      </c>
      <c r="F4" s="764">
        <f aca="true" t="shared" si="0" ref="F4:F24">E4*100/$E$27</f>
        <v>36.69884758409859</v>
      </c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</row>
    <row r="5" spans="1:22" ht="48">
      <c r="A5" s="782" t="s">
        <v>271</v>
      </c>
      <c r="B5" s="494">
        <v>147275846.93</v>
      </c>
      <c r="C5" s="326"/>
      <c r="D5" s="783">
        <v>683483359.22</v>
      </c>
      <c r="E5" s="784">
        <f aca="true" t="shared" si="1" ref="E5:E18">SUM(B5:D5)</f>
        <v>830759206.1500001</v>
      </c>
      <c r="F5" s="785">
        <f t="shared" si="0"/>
        <v>18.336391384093183</v>
      </c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</row>
    <row r="6" spans="1:22" ht="24.75" customHeight="1">
      <c r="A6" s="157" t="s">
        <v>74</v>
      </c>
      <c r="B6" s="171">
        <f>3200000+7298000+3901158.19</f>
        <v>14399158.19</v>
      </c>
      <c r="C6" s="213">
        <v>114176308.39999999</v>
      </c>
      <c r="D6" s="170"/>
      <c r="E6" s="258">
        <f t="shared" si="1"/>
        <v>128575466.58999999</v>
      </c>
      <c r="F6" s="765">
        <f t="shared" si="0"/>
        <v>2.8378982265060224</v>
      </c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</row>
    <row r="7" spans="1:22" ht="24.75" customHeight="1">
      <c r="A7" s="211" t="s">
        <v>146</v>
      </c>
      <c r="B7" s="171">
        <v>464064100</v>
      </c>
      <c r="C7" s="170">
        <v>41956041.11</v>
      </c>
      <c r="D7" s="170"/>
      <c r="E7" s="258">
        <f t="shared" si="1"/>
        <v>506020141.11</v>
      </c>
      <c r="F7" s="765">
        <f t="shared" si="0"/>
        <v>11.168799920529198</v>
      </c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</row>
    <row r="8" spans="1:22" ht="24.75" customHeight="1">
      <c r="A8" s="241" t="s">
        <v>62</v>
      </c>
      <c r="B8" s="242">
        <v>803890392</v>
      </c>
      <c r="C8" s="243">
        <v>5425886.380000001</v>
      </c>
      <c r="D8" s="244"/>
      <c r="E8" s="245">
        <f t="shared" si="1"/>
        <v>809316278.38</v>
      </c>
      <c r="F8" s="765">
        <f t="shared" si="0"/>
        <v>17.86310632977075</v>
      </c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</row>
    <row r="9" spans="1:22" ht="24.75" customHeight="1">
      <c r="A9" s="491" t="s">
        <v>63</v>
      </c>
      <c r="B9" s="492">
        <v>8700000</v>
      </c>
      <c r="C9" s="493">
        <v>2704496</v>
      </c>
      <c r="D9" s="170"/>
      <c r="E9" s="258">
        <f t="shared" si="1"/>
        <v>11404496</v>
      </c>
      <c r="F9" s="765">
        <f t="shared" si="0"/>
        <v>0.2517183085619245</v>
      </c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</row>
    <row r="10" spans="1:22" ht="24.75" customHeight="1">
      <c r="A10" s="778" t="s">
        <v>974</v>
      </c>
      <c r="B10" s="265">
        <v>165762024.90333334</v>
      </c>
      <c r="C10" s="362">
        <v>3839475.39</v>
      </c>
      <c r="D10" s="244"/>
      <c r="E10" s="246">
        <f t="shared" si="1"/>
        <v>169601500.29333332</v>
      </c>
      <c r="F10" s="765">
        <f t="shared" si="0"/>
        <v>3.743418629232068</v>
      </c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</row>
    <row r="11" spans="1:22" ht="24.75" customHeight="1">
      <c r="A11" s="247" t="s">
        <v>75</v>
      </c>
      <c r="B11" s="248">
        <v>1634935.98</v>
      </c>
      <c r="C11" s="370">
        <v>103084601.4092</v>
      </c>
      <c r="D11" s="249"/>
      <c r="E11" s="246">
        <f t="shared" si="1"/>
        <v>104719537.3892</v>
      </c>
      <c r="F11" s="765">
        <f t="shared" si="0"/>
        <v>2.3113537700391698</v>
      </c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</row>
    <row r="12" spans="1:22" ht="24">
      <c r="A12" s="212" t="s">
        <v>73</v>
      </c>
      <c r="B12" s="382">
        <v>7009346.939999998</v>
      </c>
      <c r="C12" s="383">
        <v>23054613.35</v>
      </c>
      <c r="D12" s="170"/>
      <c r="E12" s="258">
        <f>SUM(B12:D12)</f>
        <v>30063960.29</v>
      </c>
      <c r="F12" s="765">
        <f t="shared" si="0"/>
        <v>0.6635671784944871</v>
      </c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</row>
    <row r="13" spans="1:22" ht="24">
      <c r="A13" s="490" t="s">
        <v>311</v>
      </c>
      <c r="B13" s="170">
        <v>690000</v>
      </c>
      <c r="C13" s="213">
        <v>22631797.7188</v>
      </c>
      <c r="D13" s="170"/>
      <c r="E13" s="258">
        <f t="shared" si="1"/>
        <v>23321797.7188</v>
      </c>
      <c r="F13" s="765">
        <f t="shared" si="0"/>
        <v>0.5147551872875124</v>
      </c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</row>
    <row r="14" spans="1:22" ht="24.75" customHeight="1">
      <c r="A14" s="241" t="s">
        <v>64</v>
      </c>
      <c r="B14" s="253"/>
      <c r="C14" s="253">
        <v>48422229.940000005</v>
      </c>
      <c r="D14" s="244"/>
      <c r="E14" s="246">
        <f t="shared" si="1"/>
        <v>48422229.940000005</v>
      </c>
      <c r="F14" s="765">
        <f t="shared" si="0"/>
        <v>1.0687681259472914</v>
      </c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</row>
    <row r="15" spans="1:22" ht="24.75" customHeight="1">
      <c r="A15" s="247" t="s">
        <v>66</v>
      </c>
      <c r="B15" s="244">
        <v>2760266</v>
      </c>
      <c r="C15" s="254">
        <v>51440069.93</v>
      </c>
      <c r="D15" s="244"/>
      <c r="E15" s="246">
        <f t="shared" si="1"/>
        <v>54200335.93</v>
      </c>
      <c r="F15" s="765">
        <f t="shared" si="0"/>
        <v>1.1963016062952454</v>
      </c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</row>
    <row r="16" spans="1:22" ht="24.75" customHeight="1">
      <c r="A16" s="241" t="s">
        <v>70</v>
      </c>
      <c r="B16" s="255">
        <v>2499120</v>
      </c>
      <c r="C16" s="252"/>
      <c r="D16" s="244"/>
      <c r="E16" s="246">
        <f t="shared" si="1"/>
        <v>2499120</v>
      </c>
      <c r="F16" s="765">
        <f t="shared" si="0"/>
        <v>0.055160198161608956</v>
      </c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</row>
    <row r="17" spans="1:22" ht="24.75" customHeight="1">
      <c r="A17" s="241" t="s">
        <v>67</v>
      </c>
      <c r="B17" s="489">
        <v>24794000</v>
      </c>
      <c r="C17" s="253">
        <v>2599290.14</v>
      </c>
      <c r="D17" s="244"/>
      <c r="E17" s="246">
        <f t="shared" si="1"/>
        <v>27393290.14</v>
      </c>
      <c r="F17" s="765">
        <f t="shared" si="0"/>
        <v>0.6046205514024332</v>
      </c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</row>
    <row r="18" spans="1:22" ht="24.75" customHeight="1">
      <c r="A18" s="212" t="s">
        <v>71</v>
      </c>
      <c r="B18" s="253">
        <v>20274.75</v>
      </c>
      <c r="C18" s="641">
        <v>76610969.6165</v>
      </c>
      <c r="D18" s="170"/>
      <c r="E18" s="258">
        <f t="shared" si="1"/>
        <v>76631244.3665</v>
      </c>
      <c r="F18" s="765">
        <f t="shared" si="0"/>
        <v>1.6913932202642612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</row>
    <row r="19" spans="1:22" ht="24.75" customHeight="1">
      <c r="A19" s="212" t="s">
        <v>72</v>
      </c>
      <c r="B19" s="170">
        <v>7848527.5</v>
      </c>
      <c r="C19" s="587">
        <v>926004.1</v>
      </c>
      <c r="D19" s="170"/>
      <c r="E19" s="246">
        <f aca="true" t="shared" si="2" ref="E19:E26">SUM(B19:D19)</f>
        <v>8774531.6</v>
      </c>
      <c r="F19" s="765">
        <f t="shared" si="0"/>
        <v>0.19367013261920185</v>
      </c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</row>
    <row r="20" spans="1:22" ht="24.75" customHeight="1">
      <c r="A20" s="212" t="s">
        <v>77</v>
      </c>
      <c r="B20" s="170"/>
      <c r="C20" s="370">
        <v>600787.85</v>
      </c>
      <c r="D20" s="170"/>
      <c r="E20" s="246">
        <f t="shared" si="2"/>
        <v>600787.85</v>
      </c>
      <c r="F20" s="765">
        <f t="shared" si="0"/>
        <v>0.013260498439085357</v>
      </c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</row>
    <row r="21" spans="1:22" ht="24.75" customHeight="1">
      <c r="A21" s="250" t="s">
        <v>65</v>
      </c>
      <c r="B21" s="251">
        <v>391048</v>
      </c>
      <c r="C21" s="257">
        <v>7941304.390000001</v>
      </c>
      <c r="D21" s="244"/>
      <c r="E21" s="246">
        <f t="shared" si="2"/>
        <v>8332352.390000001</v>
      </c>
      <c r="F21" s="765">
        <f t="shared" si="0"/>
        <v>0.18391042006176414</v>
      </c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</row>
    <row r="22" spans="1:22" ht="24.75" customHeight="1">
      <c r="A22" s="457" t="s">
        <v>426</v>
      </c>
      <c r="B22" s="256">
        <v>323213</v>
      </c>
      <c r="C22" s="257">
        <v>8640200</v>
      </c>
      <c r="D22" s="244"/>
      <c r="E22" s="246">
        <f t="shared" si="2"/>
        <v>8963413</v>
      </c>
      <c r="F22" s="765">
        <f t="shared" si="0"/>
        <v>0.1978390942749215</v>
      </c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</row>
    <row r="23" spans="1:22" ht="24.75" customHeight="1">
      <c r="A23" s="212" t="s">
        <v>76</v>
      </c>
      <c r="B23" s="256">
        <v>2678233.6</v>
      </c>
      <c r="C23" s="257">
        <v>8448062.96</v>
      </c>
      <c r="D23" s="244"/>
      <c r="E23" s="246">
        <f t="shared" si="2"/>
        <v>11126296.56</v>
      </c>
      <c r="F23" s="765">
        <f t="shared" si="0"/>
        <v>0.24557793265406547</v>
      </c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</row>
    <row r="24" spans="1:22" ht="24.75" customHeight="1">
      <c r="A24" s="212" t="s">
        <v>488</v>
      </c>
      <c r="B24" s="193"/>
      <c r="C24" s="193">
        <v>7232819.71</v>
      </c>
      <c r="D24" s="193"/>
      <c r="E24" s="246">
        <f t="shared" si="2"/>
        <v>7232819.71</v>
      </c>
      <c r="F24" s="765">
        <f t="shared" si="0"/>
        <v>0.15964170126716246</v>
      </c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</row>
    <row r="25" spans="1:22" ht="24.75" customHeight="1">
      <c r="A25" s="241" t="s">
        <v>69</v>
      </c>
      <c r="B25" s="193"/>
      <c r="C25" s="193"/>
      <c r="D25" s="193"/>
      <c r="E25" s="246">
        <f t="shared" si="2"/>
        <v>0</v>
      </c>
      <c r="F25" s="765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</row>
    <row r="26" spans="1:22" ht="24.75" customHeight="1">
      <c r="A26" s="212" t="s">
        <v>68</v>
      </c>
      <c r="B26" s="256"/>
      <c r="C26" s="257"/>
      <c r="D26" s="244"/>
      <c r="E26" s="246">
        <f t="shared" si="2"/>
        <v>0</v>
      </c>
      <c r="F26" s="765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</row>
    <row r="27" spans="1:22" ht="30.75" customHeight="1" thickBot="1">
      <c r="A27" s="196" t="s">
        <v>82</v>
      </c>
      <c r="B27" s="196">
        <f>SUM(B4:B26)</f>
        <v>1654740487.7933333</v>
      </c>
      <c r="C27" s="196">
        <f>SUM(C4:C26)</f>
        <v>2192434278.3945003</v>
      </c>
      <c r="D27" s="196">
        <f>SUM(D4:D26)</f>
        <v>683483359.22</v>
      </c>
      <c r="E27" s="196">
        <f>SUM(E4:E26)</f>
        <v>4530658125.407836</v>
      </c>
      <c r="F27" s="196">
        <f>SUM(F4:F26)</f>
        <v>99.99999999999996</v>
      </c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</row>
    <row r="28" spans="1:22" ht="127.5" customHeight="1" hidden="1" thickTop="1">
      <c r="A28" s="230" t="s">
        <v>140</v>
      </c>
      <c r="B28" s="231"/>
      <c r="C28" s="231"/>
      <c r="D28" s="231"/>
      <c r="E28" s="23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</row>
    <row r="29" spans="1:22" ht="53.25" customHeight="1" thickTop="1">
      <c r="A29" s="803" t="s">
        <v>1037</v>
      </c>
      <c r="B29" s="803"/>
      <c r="C29" s="803"/>
      <c r="D29" s="803"/>
      <c r="E29" s="803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</row>
    <row r="30" spans="1:22" ht="20.25" customHeight="1">
      <c r="A30" s="751"/>
      <c r="B30" s="386"/>
      <c r="C30" s="386"/>
      <c r="D30" s="386"/>
      <c r="E30" s="158">
        <v>44119</v>
      </c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</row>
    <row r="31" spans="6:22" ht="20.25" customHeight="1"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</row>
    <row r="32" spans="6:22" ht="20.25" customHeight="1"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</row>
    <row r="33" spans="6:22" ht="20.25" customHeight="1"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</row>
    <row r="34" spans="6:22" ht="20.25" customHeight="1"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</row>
    <row r="35" spans="6:22" ht="20.25" customHeight="1"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</row>
    <row r="36" spans="6:22" ht="20.25" customHeight="1"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</row>
    <row r="37" spans="6:22" ht="20.25" customHeight="1"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</row>
    <row r="38" spans="6:22" ht="20.25" customHeight="1"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</row>
    <row r="39" spans="6:22" ht="20.25" customHeight="1"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</row>
    <row r="40" spans="6:22" ht="20.25" customHeight="1"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</row>
    <row r="41" spans="6:22" ht="20.25" customHeight="1"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</row>
    <row r="42" spans="6:22" ht="20.25" customHeight="1"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</row>
    <row r="43" spans="6:22" ht="20.25" customHeight="1"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</row>
    <row r="44" spans="6:22" ht="20.25" customHeight="1"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</row>
    <row r="45" spans="6:22" ht="20.25" customHeight="1"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</row>
    <row r="46" spans="6:22" ht="20.25" customHeight="1"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</row>
  </sheetData>
  <sheetProtection/>
  <mergeCells count="2">
    <mergeCell ref="A1:E1"/>
    <mergeCell ref="A29:E29"/>
  </mergeCells>
  <printOptions horizontalCentered="1" verticalCentered="1"/>
  <pageMargins left="0" right="0" top="0.748031496062992" bottom="0.905511811023622" header="1.18110236220472" footer="0.511811023622047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L19"/>
  <sheetViews>
    <sheetView showGridLines="0" zoomScalePageLayoutView="0" workbookViewId="0" topLeftCell="A70">
      <selection activeCell="A19" sqref="A19"/>
    </sheetView>
  </sheetViews>
  <sheetFormatPr defaultColWidth="9.140625" defaultRowHeight="21.75"/>
  <cols>
    <col min="1" max="1" width="53.8515625" style="0" customWidth="1"/>
    <col min="2" max="2" width="12.28125" style="0" customWidth="1"/>
    <col min="3" max="3" width="12.28125" style="0" bestFit="1" customWidth="1"/>
    <col min="4" max="4" width="11.57421875" style="0" customWidth="1"/>
    <col min="5" max="5" width="12.140625" style="0" customWidth="1"/>
    <col min="6" max="6" width="14.421875" style="0" customWidth="1"/>
    <col min="7" max="7" width="16.421875" style="0" customWidth="1"/>
    <col min="8" max="8" width="15.00390625" style="0" customWidth="1"/>
    <col min="9" max="9" width="11.00390625" style="0" customWidth="1"/>
    <col min="10" max="10" width="15.7109375" style="0" customWidth="1"/>
    <col min="11" max="11" width="12.28125" style="0" customWidth="1"/>
  </cols>
  <sheetData>
    <row r="1" spans="1:11" ht="23.25">
      <c r="A1" s="840" t="s">
        <v>0</v>
      </c>
      <c r="B1" s="840"/>
      <c r="C1" s="840"/>
      <c r="D1" s="840"/>
      <c r="E1" s="840"/>
      <c r="F1" s="840"/>
      <c r="G1" s="840"/>
      <c r="H1" s="840"/>
      <c r="I1" s="840"/>
      <c r="J1" s="840"/>
      <c r="K1" s="840"/>
    </row>
    <row r="2" spans="1:12" ht="23.25">
      <c r="A2" s="841" t="s">
        <v>513</v>
      </c>
      <c r="B2" s="840"/>
      <c r="C2" s="840"/>
      <c r="D2" s="840"/>
      <c r="E2" s="840"/>
      <c r="F2" s="840"/>
      <c r="G2" s="840"/>
      <c r="H2" s="840"/>
      <c r="I2" s="840"/>
      <c r="J2" s="840"/>
      <c r="K2" s="840"/>
      <c r="L2" s="840"/>
    </row>
    <row r="3" ht="21.75" customHeight="1"/>
    <row r="4" spans="1:11" ht="30" customHeight="1">
      <c r="A4" s="842" t="s">
        <v>1</v>
      </c>
      <c r="B4" s="845" t="s">
        <v>13</v>
      </c>
      <c r="C4" s="846"/>
      <c r="D4" s="846"/>
      <c r="E4" s="846"/>
      <c r="F4" s="847"/>
      <c r="G4" s="848" t="s">
        <v>117</v>
      </c>
      <c r="H4" s="857" t="s">
        <v>4</v>
      </c>
      <c r="I4" s="842" t="s">
        <v>6</v>
      </c>
      <c r="J4" s="857" t="s">
        <v>7</v>
      </c>
      <c r="K4" s="857" t="s">
        <v>36</v>
      </c>
    </row>
    <row r="5" spans="1:11" ht="43.5" customHeight="1">
      <c r="A5" s="844"/>
      <c r="B5" s="23" t="s">
        <v>8</v>
      </c>
      <c r="C5" s="23" t="s">
        <v>9</v>
      </c>
      <c r="D5" s="23" t="s">
        <v>236</v>
      </c>
      <c r="E5" s="23" t="s">
        <v>10</v>
      </c>
      <c r="F5" s="135" t="s">
        <v>41</v>
      </c>
      <c r="G5" s="856"/>
      <c r="H5" s="858"/>
      <c r="I5" s="844"/>
      <c r="J5" s="858"/>
      <c r="K5" s="858"/>
    </row>
    <row r="6" spans="1:11" ht="21.75">
      <c r="A6" s="7" t="s">
        <v>3</v>
      </c>
      <c r="B6" s="8"/>
      <c r="C6" s="8"/>
      <c r="D6" s="8"/>
      <c r="E6" s="8"/>
      <c r="F6" s="56"/>
      <c r="G6" s="8"/>
      <c r="H6" s="8"/>
      <c r="I6" s="9"/>
      <c r="J6" s="9"/>
      <c r="K6" s="10"/>
    </row>
    <row r="7" spans="1:11" ht="21.75">
      <c r="A7" s="274" t="s">
        <v>405</v>
      </c>
      <c r="B7" s="207"/>
      <c r="C7" s="223"/>
      <c r="D7" s="207"/>
      <c r="E7" s="207"/>
      <c r="F7" s="208"/>
      <c r="G7" s="314"/>
      <c r="H7" s="40"/>
      <c r="I7" s="647"/>
      <c r="J7" s="210"/>
      <c r="K7" s="15"/>
    </row>
    <row r="8" spans="1:11" ht="65.25">
      <c r="A8" s="275" t="s">
        <v>406</v>
      </c>
      <c r="B8" s="209">
        <v>713502.5</v>
      </c>
      <c r="C8" s="209">
        <v>713502.5</v>
      </c>
      <c r="D8" s="209">
        <v>713502.5</v>
      </c>
      <c r="E8" s="209">
        <v>713502.5</v>
      </c>
      <c r="F8" s="209">
        <f>713502.5*7</f>
        <v>4994517.5</v>
      </c>
      <c r="G8" s="450"/>
      <c r="H8" s="40">
        <f aca="true" t="shared" si="0" ref="H8:H15">SUM(B8:G8)</f>
        <v>7848527.5</v>
      </c>
      <c r="I8" s="647" t="s">
        <v>43</v>
      </c>
      <c r="J8" s="648" t="s">
        <v>408</v>
      </c>
      <c r="K8" s="78"/>
    </row>
    <row r="9" spans="1:11" ht="21.75">
      <c r="A9" s="274" t="s">
        <v>1032</v>
      </c>
      <c r="B9" s="205"/>
      <c r="C9" s="205"/>
      <c r="D9" s="205"/>
      <c r="E9" s="205"/>
      <c r="F9" s="205"/>
      <c r="G9" s="450"/>
      <c r="H9" s="40"/>
      <c r="I9" s="647"/>
      <c r="J9" s="648"/>
      <c r="K9" s="78"/>
    </row>
    <row r="10" spans="1:11" ht="21.75">
      <c r="A10" s="275" t="s">
        <v>1033</v>
      </c>
      <c r="B10" s="348"/>
      <c r="C10" s="223"/>
      <c r="D10" s="348"/>
      <c r="E10" s="348"/>
      <c r="F10" s="209"/>
      <c r="G10" s="209">
        <v>32920</v>
      </c>
      <c r="H10" s="40">
        <f t="shared" si="0"/>
        <v>32920</v>
      </c>
      <c r="I10" s="647"/>
      <c r="J10" s="132" t="s">
        <v>101</v>
      </c>
      <c r="K10" s="16"/>
    </row>
    <row r="11" spans="1:11" ht="21.75">
      <c r="A11" s="274" t="s">
        <v>309</v>
      </c>
      <c r="B11" s="348"/>
      <c r="C11" s="223"/>
      <c r="D11" s="348"/>
      <c r="E11" s="348"/>
      <c r="F11" s="209"/>
      <c r="G11" s="205"/>
      <c r="H11" s="40"/>
      <c r="I11" s="647"/>
      <c r="J11" s="42"/>
      <c r="K11" s="16"/>
    </row>
    <row r="12" spans="1:11" ht="43.5">
      <c r="A12" s="275" t="s">
        <v>449</v>
      </c>
      <c r="B12" s="348"/>
      <c r="C12" s="223"/>
      <c r="D12" s="348"/>
      <c r="E12" s="348"/>
      <c r="F12" s="209"/>
      <c r="G12" s="209">
        <f>6653*31.7</f>
        <v>210900.1</v>
      </c>
      <c r="H12" s="40">
        <f t="shared" si="0"/>
        <v>210900.1</v>
      </c>
      <c r="I12" s="647" t="s">
        <v>43</v>
      </c>
      <c r="J12" s="42" t="s">
        <v>124</v>
      </c>
      <c r="K12" s="16"/>
    </row>
    <row r="13" spans="1:11" ht="43.5">
      <c r="A13" s="275" t="s">
        <v>505</v>
      </c>
      <c r="B13" s="348"/>
      <c r="C13" s="223"/>
      <c r="D13" s="348"/>
      <c r="E13" s="348"/>
      <c r="F13" s="209"/>
      <c r="G13" s="209">
        <f>21000*31.7</f>
        <v>665700</v>
      </c>
      <c r="H13" s="40">
        <f t="shared" si="0"/>
        <v>665700</v>
      </c>
      <c r="I13" s="647" t="s">
        <v>43</v>
      </c>
      <c r="J13" s="42" t="s">
        <v>124</v>
      </c>
      <c r="K13" s="16"/>
    </row>
    <row r="14" spans="1:11" ht="65.25">
      <c r="A14" s="275" t="s">
        <v>450</v>
      </c>
      <c r="B14" s="348"/>
      <c r="C14" s="223"/>
      <c r="D14" s="348"/>
      <c r="E14" s="348"/>
      <c r="F14" s="348"/>
      <c r="G14" s="209">
        <f>300*31.7</f>
        <v>9510</v>
      </c>
      <c r="H14" s="40">
        <f t="shared" si="0"/>
        <v>9510</v>
      </c>
      <c r="I14" s="647" t="s">
        <v>43</v>
      </c>
      <c r="J14" s="42" t="s">
        <v>124</v>
      </c>
      <c r="K14" s="15"/>
    </row>
    <row r="15" spans="1:11" ht="44.25" customHeight="1" thickBot="1">
      <c r="A15" s="510" t="s">
        <v>404</v>
      </c>
      <c r="B15" s="449"/>
      <c r="C15" s="449"/>
      <c r="D15" s="449"/>
      <c r="E15" s="449"/>
      <c r="F15" s="575"/>
      <c r="G15" s="575">
        <f>220*31.7</f>
        <v>6974</v>
      </c>
      <c r="H15" s="447">
        <f t="shared" si="0"/>
        <v>6974</v>
      </c>
      <c r="I15" s="649" t="s">
        <v>43</v>
      </c>
      <c r="J15" s="448" t="s">
        <v>124</v>
      </c>
      <c r="K15" s="111"/>
    </row>
    <row r="16" spans="1:11" ht="23.25" thickBot="1" thickTop="1">
      <c r="A16" s="509" t="s">
        <v>2</v>
      </c>
      <c r="B16" s="446">
        <f aca="true" t="shared" si="1" ref="B16:H16">SUM(B7:B15)</f>
        <v>713502.5</v>
      </c>
      <c r="C16" s="446">
        <f t="shared" si="1"/>
        <v>713502.5</v>
      </c>
      <c r="D16" s="446">
        <f t="shared" si="1"/>
        <v>713502.5</v>
      </c>
      <c r="E16" s="446">
        <f t="shared" si="1"/>
        <v>713502.5</v>
      </c>
      <c r="F16" s="446">
        <f t="shared" si="1"/>
        <v>4994517.5</v>
      </c>
      <c r="G16" s="446">
        <f t="shared" si="1"/>
        <v>926004.1</v>
      </c>
      <c r="H16" s="446">
        <f t="shared" si="1"/>
        <v>8774531.6</v>
      </c>
      <c r="I16" s="111"/>
      <c r="J16" s="111"/>
      <c r="K16" s="21"/>
    </row>
    <row r="17" spans="1:10" ht="22.5" thickTop="1">
      <c r="A17" s="60"/>
      <c r="F17" s="1"/>
      <c r="G17" s="36"/>
      <c r="H17" s="36"/>
      <c r="I17" s="36"/>
      <c r="J17" s="36"/>
    </row>
    <row r="18" spans="1:8" ht="21.75">
      <c r="A18" s="37"/>
      <c r="G18" s="757"/>
      <c r="H18" s="1"/>
    </row>
    <row r="19" spans="7:8" ht="21.75">
      <c r="G19" s="30"/>
      <c r="H19" s="1"/>
    </row>
  </sheetData>
  <sheetProtection/>
  <mergeCells count="9">
    <mergeCell ref="A1:K1"/>
    <mergeCell ref="A2:L2"/>
    <mergeCell ref="A4:A5"/>
    <mergeCell ref="B4:F4"/>
    <mergeCell ref="G4:G5"/>
    <mergeCell ref="H4:H5"/>
    <mergeCell ref="I4:I5"/>
    <mergeCell ref="J4:J5"/>
    <mergeCell ref="K4:K5"/>
  </mergeCells>
  <printOptions horizontalCentered="1" verticalCentered="1"/>
  <pageMargins left="0.5118110236220472" right="0.5118110236220472" top="0.5905511811023623" bottom="0" header="0.984251968503937" footer="0.15748031496062992"/>
  <pageSetup horizontalDpi="600" verticalDpi="600" orientation="landscape" paperSize="9" scale="78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B1:M23"/>
  <sheetViews>
    <sheetView showGridLines="0" zoomScalePageLayoutView="0" workbookViewId="0" topLeftCell="A19">
      <selection activeCell="C28" sqref="C28"/>
    </sheetView>
  </sheetViews>
  <sheetFormatPr defaultColWidth="9.140625" defaultRowHeight="21.75"/>
  <cols>
    <col min="2" max="2" width="46.8515625" style="0" customWidth="1"/>
    <col min="3" max="3" width="13.57421875" style="0" customWidth="1"/>
    <col min="4" max="5" width="12.421875" style="0" customWidth="1"/>
    <col min="6" max="6" width="11.421875" style="0" customWidth="1"/>
    <col min="7" max="7" width="13.140625" style="0" customWidth="1"/>
    <col min="8" max="8" width="15.7109375" style="0" customWidth="1"/>
    <col min="9" max="9" width="27.140625" style="0" customWidth="1"/>
    <col min="10" max="10" width="16.00390625" style="0" customWidth="1"/>
    <col min="11" max="11" width="16.140625" style="0" customWidth="1"/>
    <col min="14" max="14" width="13.28125" style="0" customWidth="1"/>
  </cols>
  <sheetData>
    <row r="1" spans="2:11" ht="23.25">
      <c r="B1" s="840" t="s">
        <v>0</v>
      </c>
      <c r="C1" s="840"/>
      <c r="D1" s="840"/>
      <c r="E1" s="840"/>
      <c r="F1" s="840"/>
      <c r="G1" s="840"/>
      <c r="H1" s="840"/>
      <c r="I1" s="840"/>
      <c r="J1" s="840"/>
      <c r="K1" s="840"/>
    </row>
    <row r="2" spans="2:13" ht="23.25">
      <c r="B2" s="841" t="s">
        <v>512</v>
      </c>
      <c r="C2" s="841"/>
      <c r="D2" s="841"/>
      <c r="E2" s="841"/>
      <c r="F2" s="841"/>
      <c r="G2" s="841"/>
      <c r="H2" s="841"/>
      <c r="I2" s="841"/>
      <c r="J2" s="841"/>
      <c r="K2" s="841"/>
      <c r="L2" s="94"/>
      <c r="M2" s="94"/>
    </row>
    <row r="3" spans="2:11" ht="21.75" customHeight="1"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2:11" ht="23.25" customHeight="1">
      <c r="B4" s="861" t="s">
        <v>1</v>
      </c>
      <c r="C4" s="863" t="s">
        <v>13</v>
      </c>
      <c r="D4" s="864"/>
      <c r="E4" s="864"/>
      <c r="F4" s="864"/>
      <c r="G4" s="137"/>
      <c r="H4" s="859" t="s">
        <v>14</v>
      </c>
      <c r="I4" s="861" t="s">
        <v>6</v>
      </c>
      <c r="J4" s="851" t="s">
        <v>7</v>
      </c>
      <c r="K4" s="851" t="s">
        <v>26</v>
      </c>
    </row>
    <row r="5" spans="2:11" ht="36" customHeight="1">
      <c r="B5" s="862"/>
      <c r="C5" s="47" t="s">
        <v>8</v>
      </c>
      <c r="D5" s="47" t="s">
        <v>9</v>
      </c>
      <c r="E5" s="47" t="s">
        <v>221</v>
      </c>
      <c r="F5" s="141" t="s">
        <v>10</v>
      </c>
      <c r="G5" s="222" t="s">
        <v>21</v>
      </c>
      <c r="H5" s="860"/>
      <c r="I5" s="862"/>
      <c r="J5" s="853"/>
      <c r="K5" s="853"/>
    </row>
    <row r="6" spans="2:11" ht="24">
      <c r="B6" s="31" t="s">
        <v>30</v>
      </c>
      <c r="C6" s="32"/>
      <c r="D6" s="32"/>
      <c r="E6" s="32"/>
      <c r="F6" s="32"/>
      <c r="G6" s="32"/>
      <c r="H6" s="32"/>
      <c r="I6" s="33"/>
      <c r="J6" s="33"/>
      <c r="K6" s="34"/>
    </row>
    <row r="7" spans="2:11" ht="43.5">
      <c r="B7" s="138" t="s">
        <v>460</v>
      </c>
      <c r="C7" s="105">
        <f>610330/4</f>
        <v>152582.5</v>
      </c>
      <c r="D7" s="105">
        <f>610330/4</f>
        <v>152582.5</v>
      </c>
      <c r="E7" s="105">
        <f>610330/4</f>
        <v>152582.5</v>
      </c>
      <c r="F7" s="105">
        <f>610330/4</f>
        <v>152582.5</v>
      </c>
      <c r="G7" s="140"/>
      <c r="H7" s="106">
        <f>SUM(C7:G7)</f>
        <v>610330</v>
      </c>
      <c r="I7" s="188" t="s">
        <v>427</v>
      </c>
      <c r="J7" s="139" t="s">
        <v>529</v>
      </c>
      <c r="K7" s="559"/>
    </row>
    <row r="8" spans="2:11" ht="43.5">
      <c r="B8" s="138" t="s">
        <v>527</v>
      </c>
      <c r="C8" s="591">
        <v>16860</v>
      </c>
      <c r="D8" s="591"/>
      <c r="E8" s="558"/>
      <c r="F8" s="558"/>
      <c r="G8" s="558"/>
      <c r="H8" s="106">
        <f>SUM(C8:G8)</f>
        <v>16860</v>
      </c>
      <c r="I8" s="188" t="s">
        <v>427</v>
      </c>
      <c r="J8" s="139" t="s">
        <v>528</v>
      </c>
      <c r="K8" s="559"/>
    </row>
    <row r="9" spans="2:11" ht="65.25">
      <c r="B9" s="138" t="s">
        <v>530</v>
      </c>
      <c r="C9" s="591">
        <v>34000</v>
      </c>
      <c r="D9" s="591"/>
      <c r="E9" s="558"/>
      <c r="F9" s="558"/>
      <c r="G9" s="558"/>
      <c r="H9" s="106">
        <f>SUM(C9:G9)</f>
        <v>34000</v>
      </c>
      <c r="I9" s="188" t="s">
        <v>427</v>
      </c>
      <c r="J9" s="139" t="s">
        <v>382</v>
      </c>
      <c r="K9" s="559"/>
    </row>
    <row r="10" spans="2:11" ht="43.5">
      <c r="B10" s="138" t="s">
        <v>554</v>
      </c>
      <c r="C10" s="591">
        <v>170000</v>
      </c>
      <c r="D10" s="591"/>
      <c r="E10" s="558"/>
      <c r="F10" s="558"/>
      <c r="G10" s="558"/>
      <c r="H10" s="106">
        <f>SUM(C10:G10)</f>
        <v>170000</v>
      </c>
      <c r="I10" s="188" t="s">
        <v>427</v>
      </c>
      <c r="J10" s="139" t="s">
        <v>383</v>
      </c>
      <c r="K10" s="559"/>
    </row>
    <row r="11" spans="2:11" ht="43.5">
      <c r="B11" s="138" t="s">
        <v>381</v>
      </c>
      <c r="C11" s="591">
        <v>981580</v>
      </c>
      <c r="D11" s="591"/>
      <c r="E11" s="558"/>
      <c r="F11" s="558"/>
      <c r="G11" s="558"/>
      <c r="H11" s="106">
        <f aca="true" t="shared" si="0" ref="H11:H22">SUM(C11:G11)</f>
        <v>981580</v>
      </c>
      <c r="I11" s="188" t="s">
        <v>427</v>
      </c>
      <c r="J11" s="139" t="s">
        <v>534</v>
      </c>
      <c r="K11" s="559"/>
    </row>
    <row r="12" spans="2:11" ht="43.5">
      <c r="B12" s="138" t="s">
        <v>535</v>
      </c>
      <c r="C12" s="591"/>
      <c r="D12" s="591">
        <v>75000</v>
      </c>
      <c r="E12" s="558"/>
      <c r="F12" s="558"/>
      <c r="G12" s="558"/>
      <c r="H12" s="106">
        <f t="shared" si="0"/>
        <v>75000</v>
      </c>
      <c r="I12" s="188" t="s">
        <v>427</v>
      </c>
      <c r="J12" s="139" t="s">
        <v>539</v>
      </c>
      <c r="K12" s="559"/>
    </row>
    <row r="13" spans="2:11" ht="65.25">
      <c r="B13" s="138" t="s">
        <v>540</v>
      </c>
      <c r="C13" s="591"/>
      <c r="D13" s="591">
        <v>117000</v>
      </c>
      <c r="E13" s="558"/>
      <c r="F13" s="558"/>
      <c r="G13" s="558"/>
      <c r="H13" s="106">
        <f t="shared" si="0"/>
        <v>117000</v>
      </c>
      <c r="I13" s="188" t="s">
        <v>427</v>
      </c>
      <c r="J13" s="139" t="s">
        <v>537</v>
      </c>
      <c r="K13" s="559"/>
    </row>
    <row r="14" spans="2:11" ht="65.25">
      <c r="B14" s="138" t="s">
        <v>545</v>
      </c>
      <c r="C14" s="591"/>
      <c r="D14" s="591">
        <v>16340</v>
      </c>
      <c r="E14" s="558"/>
      <c r="F14" s="558"/>
      <c r="G14" s="558"/>
      <c r="H14" s="106">
        <f t="shared" si="0"/>
        <v>16340</v>
      </c>
      <c r="I14" s="188" t="s">
        <v>427</v>
      </c>
      <c r="J14" s="139" t="s">
        <v>538</v>
      </c>
      <c r="K14" s="559"/>
    </row>
    <row r="15" spans="2:11" ht="65.25">
      <c r="B15" s="138" t="s">
        <v>542</v>
      </c>
      <c r="C15" s="591"/>
      <c r="D15" s="591">
        <v>90000</v>
      </c>
      <c r="E15" s="558"/>
      <c r="F15" s="558"/>
      <c r="G15" s="558"/>
      <c r="H15" s="106">
        <f t="shared" si="0"/>
        <v>90000</v>
      </c>
      <c r="I15" s="188" t="s">
        <v>427</v>
      </c>
      <c r="J15" s="139" t="s">
        <v>544</v>
      </c>
      <c r="K15" s="559"/>
    </row>
    <row r="16" spans="2:11" ht="43.5">
      <c r="B16" s="138" t="s">
        <v>546</v>
      </c>
      <c r="C16" s="591"/>
      <c r="D16" s="591">
        <v>77000</v>
      </c>
      <c r="E16" s="558"/>
      <c r="F16" s="558"/>
      <c r="G16" s="558"/>
      <c r="H16" s="106">
        <f t="shared" si="0"/>
        <v>77000</v>
      </c>
      <c r="I16" s="188" t="s">
        <v>427</v>
      </c>
      <c r="J16" s="139" t="s">
        <v>543</v>
      </c>
      <c r="K16" s="559"/>
    </row>
    <row r="17" spans="2:11" ht="43.5">
      <c r="B17" s="138" t="s">
        <v>547</v>
      </c>
      <c r="C17" s="591"/>
      <c r="D17" s="591">
        <v>47000</v>
      </c>
      <c r="E17" s="558"/>
      <c r="F17" s="558"/>
      <c r="G17" s="558"/>
      <c r="H17" s="106">
        <f t="shared" si="0"/>
        <v>47000</v>
      </c>
      <c r="I17" s="188" t="s">
        <v>427</v>
      </c>
      <c r="J17" s="139" t="s">
        <v>544</v>
      </c>
      <c r="K17" s="559"/>
    </row>
    <row r="18" spans="2:11" ht="43.5">
      <c r="B18" s="138" t="s">
        <v>549</v>
      </c>
      <c r="C18" s="591"/>
      <c r="D18" s="591">
        <v>56000</v>
      </c>
      <c r="E18" s="558"/>
      <c r="F18" s="558"/>
      <c r="G18" s="558"/>
      <c r="H18" s="106">
        <f t="shared" si="0"/>
        <v>56000</v>
      </c>
      <c r="I18" s="188" t="s">
        <v>427</v>
      </c>
      <c r="J18" s="139" t="s">
        <v>548</v>
      </c>
      <c r="K18" s="559"/>
    </row>
    <row r="19" spans="2:11" ht="43.5">
      <c r="B19" s="138" t="s">
        <v>550</v>
      </c>
      <c r="C19" s="591"/>
      <c r="D19" s="591">
        <v>197050</v>
      </c>
      <c r="E19" s="558"/>
      <c r="F19" s="558"/>
      <c r="G19" s="558"/>
      <c r="H19" s="106">
        <f t="shared" si="0"/>
        <v>197050</v>
      </c>
      <c r="I19" s="188" t="s">
        <v>427</v>
      </c>
      <c r="J19" s="139" t="s">
        <v>551</v>
      </c>
      <c r="K19" s="559"/>
    </row>
    <row r="20" spans="2:11" ht="43.5">
      <c r="B20" s="138" t="s">
        <v>552</v>
      </c>
      <c r="C20" s="591"/>
      <c r="D20" s="591"/>
      <c r="E20" s="558"/>
      <c r="F20" s="572">
        <v>5000</v>
      </c>
      <c r="G20" s="558"/>
      <c r="H20" s="106">
        <f t="shared" si="0"/>
        <v>5000</v>
      </c>
      <c r="I20" s="188" t="s">
        <v>427</v>
      </c>
      <c r="J20" s="139" t="s">
        <v>538</v>
      </c>
      <c r="K20" s="559"/>
    </row>
    <row r="21" spans="2:11" ht="65.25">
      <c r="B21" s="138" t="s">
        <v>553</v>
      </c>
      <c r="C21" s="591"/>
      <c r="D21" s="591"/>
      <c r="E21" s="558"/>
      <c r="F21" s="558"/>
      <c r="G21" s="572">
        <v>5960</v>
      </c>
      <c r="H21" s="106">
        <f t="shared" si="0"/>
        <v>5960</v>
      </c>
      <c r="I21" s="188" t="s">
        <v>427</v>
      </c>
      <c r="J21" s="139" t="s">
        <v>536</v>
      </c>
      <c r="K21" s="559"/>
    </row>
    <row r="22" spans="2:11" ht="24">
      <c r="B22" s="138" t="s">
        <v>541</v>
      </c>
      <c r="C22" s="558"/>
      <c r="D22" s="558"/>
      <c r="E22" s="558"/>
      <c r="F22" s="558"/>
      <c r="G22" s="558"/>
      <c r="H22" s="106">
        <f t="shared" si="0"/>
        <v>0</v>
      </c>
      <c r="I22" s="188"/>
      <c r="J22" s="139"/>
      <c r="K22" s="559"/>
    </row>
    <row r="23" spans="2:11" ht="22.5" thickBot="1">
      <c r="B23" s="19" t="s">
        <v>2</v>
      </c>
      <c r="C23" s="85">
        <f aca="true" t="shared" si="1" ref="C23:H23">SUM(C7:C22)</f>
        <v>1355022.5</v>
      </c>
      <c r="D23" s="85">
        <f t="shared" si="1"/>
        <v>827972.5</v>
      </c>
      <c r="E23" s="85">
        <f t="shared" si="1"/>
        <v>152582.5</v>
      </c>
      <c r="F23" s="85">
        <f t="shared" si="1"/>
        <v>157582.5</v>
      </c>
      <c r="G23" s="85">
        <f t="shared" si="1"/>
        <v>5960</v>
      </c>
      <c r="H23" s="85">
        <f t="shared" si="1"/>
        <v>2499120</v>
      </c>
      <c r="I23" s="107"/>
      <c r="J23" s="107"/>
      <c r="K23" s="107"/>
    </row>
    <row r="24" ht="22.5" thickTop="1"/>
  </sheetData>
  <sheetProtection/>
  <mergeCells count="8">
    <mergeCell ref="B1:K1"/>
    <mergeCell ref="H4:H5"/>
    <mergeCell ref="I4:I5"/>
    <mergeCell ref="J4:J5"/>
    <mergeCell ref="K4:K5"/>
    <mergeCell ref="B4:B5"/>
    <mergeCell ref="C4:F4"/>
    <mergeCell ref="B2:K2"/>
  </mergeCells>
  <printOptions horizontalCentered="1" verticalCentered="1"/>
  <pageMargins left="0.472440945" right="0.248031496" top="0.511811024" bottom="0.196850393700787" header="0.551181102362205" footer="0.15748031496063"/>
  <pageSetup horizontalDpi="600" verticalDpi="600" orientation="landscape" paperSize="9" scale="80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N26"/>
  <sheetViews>
    <sheetView showGridLines="0" zoomScalePageLayoutView="0" workbookViewId="0" topLeftCell="A10">
      <selection activeCell="B11" sqref="B11"/>
    </sheetView>
  </sheetViews>
  <sheetFormatPr defaultColWidth="9.140625" defaultRowHeight="21.75"/>
  <cols>
    <col min="1" max="1" width="56.00390625" style="651" customWidth="1"/>
    <col min="2" max="2" width="13.00390625" style="651" customWidth="1"/>
    <col min="3" max="3" width="13.140625" style="651" customWidth="1"/>
    <col min="4" max="4" width="13.7109375" style="651" customWidth="1"/>
    <col min="5" max="5" width="12.8515625" style="651" bestFit="1" customWidth="1"/>
    <col min="6" max="6" width="12.140625" style="651" bestFit="1" customWidth="1"/>
    <col min="7" max="7" width="14.57421875" style="651" customWidth="1"/>
    <col min="8" max="8" width="15.00390625" style="651" customWidth="1"/>
    <col min="9" max="9" width="13.140625" style="651" customWidth="1"/>
    <col min="10" max="10" width="18.140625" style="651" customWidth="1"/>
    <col min="11" max="11" width="12.8515625" style="277" customWidth="1"/>
    <col min="12" max="16384" width="9.140625" style="277" customWidth="1"/>
  </cols>
  <sheetData>
    <row r="1" spans="1:11" ht="23.25">
      <c r="A1" s="828" t="s">
        <v>0</v>
      </c>
      <c r="B1" s="828"/>
      <c r="C1" s="828"/>
      <c r="D1" s="828"/>
      <c r="E1" s="828"/>
      <c r="F1" s="828"/>
      <c r="G1" s="828"/>
      <c r="H1" s="828"/>
      <c r="I1" s="828"/>
      <c r="J1" s="828"/>
      <c r="K1" s="828"/>
    </row>
    <row r="2" spans="1:14" ht="23.25">
      <c r="A2" s="829" t="s">
        <v>512</v>
      </c>
      <c r="B2" s="828"/>
      <c r="C2" s="828"/>
      <c r="D2" s="828"/>
      <c r="E2" s="828"/>
      <c r="F2" s="828"/>
      <c r="G2" s="828"/>
      <c r="H2" s="828"/>
      <c r="I2" s="828"/>
      <c r="J2" s="828"/>
      <c r="K2" s="828"/>
      <c r="L2" s="650"/>
      <c r="M2" s="650"/>
      <c r="N2" s="650"/>
    </row>
    <row r="3" ht="21.75" customHeight="1"/>
    <row r="4" spans="1:11" ht="21.75" customHeight="1">
      <c r="A4" s="865" t="s">
        <v>1</v>
      </c>
      <c r="B4" s="867" t="s">
        <v>13</v>
      </c>
      <c r="C4" s="868"/>
      <c r="D4" s="868"/>
      <c r="E4" s="868"/>
      <c r="F4" s="652"/>
      <c r="G4" s="835" t="s">
        <v>117</v>
      </c>
      <c r="H4" s="830" t="s">
        <v>14</v>
      </c>
      <c r="I4" s="830" t="s">
        <v>6</v>
      </c>
      <c r="J4" s="830" t="s">
        <v>7</v>
      </c>
      <c r="K4" s="830" t="s">
        <v>36</v>
      </c>
    </row>
    <row r="5" spans="1:11" ht="42.75" customHeight="1">
      <c r="A5" s="866"/>
      <c r="B5" s="653" t="s">
        <v>8</v>
      </c>
      <c r="C5" s="653" t="s">
        <v>9</v>
      </c>
      <c r="D5" s="653" t="s">
        <v>236</v>
      </c>
      <c r="E5" s="653" t="s">
        <v>10</v>
      </c>
      <c r="F5" s="654" t="s">
        <v>41</v>
      </c>
      <c r="G5" s="836"/>
      <c r="H5" s="831"/>
      <c r="I5" s="831"/>
      <c r="J5" s="831"/>
      <c r="K5" s="831"/>
    </row>
    <row r="6" spans="1:11" ht="21.75">
      <c r="A6" s="655" t="s">
        <v>100</v>
      </c>
      <c r="B6" s="65"/>
      <c r="C6" s="65"/>
      <c r="D6" s="65"/>
      <c r="E6" s="65"/>
      <c r="F6" s="65"/>
      <c r="G6" s="65"/>
      <c r="H6" s="65"/>
      <c r="I6" s="656"/>
      <c r="J6" s="656"/>
      <c r="K6" s="280"/>
    </row>
    <row r="7" spans="1:11" ht="21.75">
      <c r="A7" s="657" t="s">
        <v>285</v>
      </c>
      <c r="B7" s="68"/>
      <c r="C7" s="66"/>
      <c r="D7" s="67"/>
      <c r="E7" s="67"/>
      <c r="F7" s="67"/>
      <c r="G7" s="67"/>
      <c r="H7" s="67"/>
      <c r="I7" s="658"/>
      <c r="J7" s="658"/>
      <c r="K7" s="283"/>
    </row>
    <row r="8" spans="1:11" ht="43.5">
      <c r="A8" s="659" t="s">
        <v>168</v>
      </c>
      <c r="B8" s="69"/>
      <c r="C8" s="161"/>
      <c r="D8" s="67"/>
      <c r="E8" s="67"/>
      <c r="F8" s="67"/>
      <c r="G8" s="161">
        <f>35534671.1*60/100</f>
        <v>21320802.66</v>
      </c>
      <c r="H8" s="161">
        <f>SUM(B8:G8)</f>
        <v>21320802.66</v>
      </c>
      <c r="I8" s="658" t="s">
        <v>43</v>
      </c>
      <c r="J8" s="658" t="s">
        <v>101</v>
      </c>
      <c r="K8" s="750">
        <v>0.6</v>
      </c>
    </row>
    <row r="9" spans="1:11" ht="43.5">
      <c r="A9" s="657" t="s">
        <v>286</v>
      </c>
      <c r="B9" s="69"/>
      <c r="C9" s="66"/>
      <c r="D9" s="67"/>
      <c r="E9" s="67"/>
      <c r="F9" s="67"/>
      <c r="G9" s="67">
        <v>144522</v>
      </c>
      <c r="H9" s="67">
        <f>SUM(B9:G9)</f>
        <v>144522</v>
      </c>
      <c r="I9" s="658" t="s">
        <v>43</v>
      </c>
      <c r="J9" s="658" t="s">
        <v>101</v>
      </c>
      <c r="K9" s="283"/>
    </row>
    <row r="10" spans="1:11" ht="21.75">
      <c r="A10" s="660" t="s">
        <v>410</v>
      </c>
      <c r="B10" s="69"/>
      <c r="C10" s="66"/>
      <c r="D10" s="67"/>
      <c r="E10" s="67"/>
      <c r="F10" s="67"/>
      <c r="G10" s="67"/>
      <c r="H10" s="67"/>
      <c r="I10" s="658"/>
      <c r="J10" s="658"/>
      <c r="K10" s="283"/>
    </row>
    <row r="11" spans="1:11" ht="96.75" customHeight="1">
      <c r="A11" s="661" t="s">
        <v>448</v>
      </c>
      <c r="B11" s="69">
        <v>1922836.16</v>
      </c>
      <c r="C11" s="67">
        <v>3347195.62</v>
      </c>
      <c r="D11" s="67">
        <v>1158091.13</v>
      </c>
      <c r="E11" s="67">
        <v>192368</v>
      </c>
      <c r="F11" s="67">
        <v>388856.03</v>
      </c>
      <c r="G11" s="67"/>
      <c r="H11" s="67">
        <f>SUM(B11:G11)</f>
        <v>7009346.94</v>
      </c>
      <c r="I11" s="287" t="s">
        <v>523</v>
      </c>
      <c r="J11" s="658" t="s">
        <v>228</v>
      </c>
      <c r="K11" s="658" t="s">
        <v>522</v>
      </c>
    </row>
    <row r="12" spans="1:11" ht="21.75">
      <c r="A12" s="660" t="s">
        <v>227</v>
      </c>
      <c r="B12" s="69"/>
      <c r="C12" s="66"/>
      <c r="D12" s="67"/>
      <c r="E12" s="67"/>
      <c r="F12" s="67"/>
      <c r="G12" s="67"/>
      <c r="H12" s="67"/>
      <c r="I12" s="287"/>
      <c r="J12" s="662"/>
      <c r="K12" s="283"/>
    </row>
    <row r="13" spans="1:11" ht="43.5">
      <c r="A13" s="663" t="s">
        <v>284</v>
      </c>
      <c r="B13" s="337"/>
      <c r="C13" s="337"/>
      <c r="D13" s="337"/>
      <c r="E13" s="337"/>
      <c r="F13" s="337"/>
      <c r="G13" s="337">
        <v>7998.44</v>
      </c>
      <c r="H13" s="161">
        <f>SUM(B13:G13)</f>
        <v>7998.44</v>
      </c>
      <c r="I13" s="287" t="s">
        <v>43</v>
      </c>
      <c r="J13" s="658" t="s">
        <v>101</v>
      </c>
      <c r="K13" s="590"/>
    </row>
    <row r="14" spans="1:11" ht="43.5">
      <c r="A14" s="657" t="s">
        <v>1038</v>
      </c>
      <c r="B14" s="337"/>
      <c r="C14" s="337"/>
      <c r="D14" s="337"/>
      <c r="E14" s="337"/>
      <c r="F14" s="337"/>
      <c r="G14" s="337">
        <v>1581290.25</v>
      </c>
      <c r="H14" s="67">
        <f>SUM(B14:G14)</f>
        <v>1581290.25</v>
      </c>
      <c r="I14" s="287" t="s">
        <v>43</v>
      </c>
      <c r="J14" s="658" t="s">
        <v>101</v>
      </c>
      <c r="K14" s="287"/>
    </row>
    <row r="15" spans="1:11" ht="21.75">
      <c r="A15" s="664"/>
      <c r="B15" s="335"/>
      <c r="C15" s="336"/>
      <c r="D15" s="336"/>
      <c r="E15" s="336"/>
      <c r="F15" s="336"/>
      <c r="G15" s="336"/>
      <c r="H15" s="162"/>
      <c r="I15" s="665"/>
      <c r="J15" s="658"/>
      <c r="K15" s="666"/>
    </row>
    <row r="16" spans="1:11" ht="22.5" thickBot="1">
      <c r="A16" s="667" t="s">
        <v>2</v>
      </c>
      <c r="B16" s="86">
        <f aca="true" t="shared" si="0" ref="B16:H16">SUM(B7:B15)</f>
        <v>1922836.16</v>
      </c>
      <c r="C16" s="86">
        <f t="shared" si="0"/>
        <v>3347195.62</v>
      </c>
      <c r="D16" s="86">
        <f t="shared" si="0"/>
        <v>1158091.13</v>
      </c>
      <c r="E16" s="86">
        <f t="shared" si="0"/>
        <v>192368</v>
      </c>
      <c r="F16" s="86">
        <f t="shared" si="0"/>
        <v>388856.03</v>
      </c>
      <c r="G16" s="86">
        <f t="shared" si="0"/>
        <v>23054613.35</v>
      </c>
      <c r="H16" s="86">
        <f t="shared" si="0"/>
        <v>30063960.290000003</v>
      </c>
      <c r="I16" s="668"/>
      <c r="J16" s="668"/>
      <c r="K16" s="294"/>
    </row>
    <row r="17" ht="22.5" thickTop="1">
      <c r="H17" s="669"/>
    </row>
    <row r="18" spans="1:10" ht="21.75">
      <c r="A18" s="670" t="s">
        <v>233</v>
      </c>
      <c r="E18" s="669"/>
      <c r="F18" s="669"/>
      <c r="G18" s="669"/>
      <c r="H18" s="669"/>
      <c r="J18" s="671"/>
    </row>
    <row r="19" spans="6:8" ht="21.75">
      <c r="F19" s="672"/>
      <c r="G19" s="673"/>
      <c r="H19" s="673"/>
    </row>
    <row r="20" spans="1:7" ht="21.75">
      <c r="A20" s="651" t="s">
        <v>44</v>
      </c>
      <c r="E20" s="669"/>
      <c r="F20" s="669"/>
      <c r="G20" s="669"/>
    </row>
    <row r="21" spans="6:7" ht="21.75">
      <c r="F21" s="673"/>
      <c r="G21" s="673"/>
    </row>
    <row r="22" ht="21.75">
      <c r="G22" s="673"/>
    </row>
    <row r="26" ht="21.75">
      <c r="H26" s="670"/>
    </row>
  </sheetData>
  <sheetProtection/>
  <mergeCells count="9">
    <mergeCell ref="A1:K1"/>
    <mergeCell ref="A2:K2"/>
    <mergeCell ref="A4:A5"/>
    <mergeCell ref="B4:E4"/>
    <mergeCell ref="G4:G5"/>
    <mergeCell ref="H4:H5"/>
    <mergeCell ref="I4:I5"/>
    <mergeCell ref="J4:J5"/>
    <mergeCell ref="K4:K5"/>
  </mergeCells>
  <printOptions/>
  <pageMargins left="0.590551181102362" right="0.236220472440945" top="1.53543307086614" bottom="0.236220472440945" header="0.905511811023622" footer="0.15748031496063"/>
  <pageSetup horizontalDpi="600" verticalDpi="600" orientation="landscape" paperSize="9" scale="75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K34"/>
  <sheetViews>
    <sheetView showGridLines="0" zoomScalePageLayoutView="0" workbookViewId="0" topLeftCell="A25">
      <selection activeCell="G30" sqref="G30"/>
    </sheetView>
  </sheetViews>
  <sheetFormatPr defaultColWidth="9.140625" defaultRowHeight="21.75"/>
  <cols>
    <col min="1" max="1" width="53.421875" style="0" customWidth="1"/>
    <col min="2" max="2" width="10.28125" style="0" customWidth="1"/>
    <col min="3" max="3" width="9.7109375" style="0" customWidth="1"/>
    <col min="4" max="4" width="9.140625" style="0" customWidth="1"/>
    <col min="5" max="5" width="10.00390625" style="0" customWidth="1"/>
    <col min="6" max="6" width="11.57421875" style="0" customWidth="1"/>
    <col min="7" max="7" width="14.8515625" style="0" customWidth="1"/>
    <col min="8" max="8" width="15.28125" style="0" customWidth="1"/>
    <col min="9" max="9" width="16.00390625" style="0" bestFit="1" customWidth="1"/>
    <col min="10" max="10" width="13.421875" style="0" customWidth="1"/>
    <col min="11" max="11" width="14.8515625" style="0" customWidth="1"/>
  </cols>
  <sheetData>
    <row r="1" spans="1:11" ht="23.25">
      <c r="A1" s="840" t="s">
        <v>0</v>
      </c>
      <c r="B1" s="840"/>
      <c r="C1" s="840"/>
      <c r="D1" s="840"/>
      <c r="E1" s="840"/>
      <c r="F1" s="840"/>
      <c r="G1" s="840"/>
      <c r="H1" s="840"/>
      <c r="I1" s="840"/>
      <c r="J1" s="840"/>
      <c r="K1" s="840"/>
    </row>
    <row r="2" spans="1:11" ht="23.25">
      <c r="A2" s="841" t="s">
        <v>512</v>
      </c>
      <c r="B2" s="840"/>
      <c r="C2" s="840"/>
      <c r="D2" s="840"/>
      <c r="E2" s="840"/>
      <c r="F2" s="840"/>
      <c r="G2" s="840"/>
      <c r="H2" s="840"/>
      <c r="I2" s="840"/>
      <c r="J2" s="840"/>
      <c r="K2" s="840"/>
    </row>
    <row r="3" spans="1:11" ht="23.25">
      <c r="A3" s="3"/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1" ht="21.75">
      <c r="A4" s="869" t="s">
        <v>1</v>
      </c>
      <c r="B4" s="845" t="s">
        <v>13</v>
      </c>
      <c r="C4" s="846"/>
      <c r="D4" s="846"/>
      <c r="E4" s="846"/>
      <c r="F4" s="847"/>
      <c r="G4" s="848" t="s">
        <v>117</v>
      </c>
      <c r="H4" s="848" t="s">
        <v>14</v>
      </c>
      <c r="I4" s="842" t="s">
        <v>6</v>
      </c>
      <c r="J4" s="857" t="s">
        <v>7</v>
      </c>
      <c r="K4" s="857" t="s">
        <v>36</v>
      </c>
    </row>
    <row r="5" spans="1:11" ht="39.75" customHeight="1">
      <c r="A5" s="844"/>
      <c r="B5" s="23" t="s">
        <v>8</v>
      </c>
      <c r="C5" s="23" t="s">
        <v>9</v>
      </c>
      <c r="D5" s="23" t="s">
        <v>221</v>
      </c>
      <c r="E5" s="23" t="s">
        <v>10</v>
      </c>
      <c r="F5" s="93" t="s">
        <v>41</v>
      </c>
      <c r="G5" s="856"/>
      <c r="H5" s="856"/>
      <c r="I5" s="844"/>
      <c r="J5" s="858"/>
      <c r="K5" s="858"/>
    </row>
    <row r="6" spans="1:11" ht="21.75">
      <c r="A6" s="7" t="s">
        <v>39</v>
      </c>
      <c r="B6" s="8"/>
      <c r="C6" s="8"/>
      <c r="D6" s="8"/>
      <c r="E6" s="8"/>
      <c r="F6" s="8"/>
      <c r="G6" s="8"/>
      <c r="H6" s="8"/>
      <c r="I6" s="9"/>
      <c r="J6" s="9"/>
      <c r="K6" s="10"/>
    </row>
    <row r="7" spans="1:11" ht="24.75" customHeight="1">
      <c r="A7" s="114" t="s">
        <v>79</v>
      </c>
      <c r="B7" s="12"/>
      <c r="C7" s="12"/>
      <c r="D7" s="12"/>
      <c r="E7" s="12"/>
      <c r="F7" s="12"/>
      <c r="G7" s="12"/>
      <c r="H7" s="12"/>
      <c r="I7" s="13"/>
      <c r="J7" s="13"/>
      <c r="K7" s="14"/>
    </row>
    <row r="8" spans="1:11" ht="43.5">
      <c r="A8" s="75" t="s">
        <v>78</v>
      </c>
      <c r="B8" s="25"/>
      <c r="C8" s="17"/>
      <c r="D8" s="17"/>
      <c r="E8" s="26"/>
      <c r="F8" s="17"/>
      <c r="G8" s="17">
        <v>14354257.03</v>
      </c>
      <c r="H8" s="17">
        <f>SUM(B8:G8)</f>
        <v>14354257.03</v>
      </c>
      <c r="I8" s="15" t="s">
        <v>22</v>
      </c>
      <c r="J8" s="76" t="s">
        <v>11</v>
      </c>
      <c r="K8" s="16" t="s">
        <v>12</v>
      </c>
    </row>
    <row r="9" spans="1:11" ht="21.75">
      <c r="A9" s="114" t="s">
        <v>390</v>
      </c>
      <c r="B9" s="25"/>
      <c r="C9" s="17"/>
      <c r="D9" s="17"/>
      <c r="E9" s="26"/>
      <c r="F9" s="17"/>
      <c r="G9" s="17"/>
      <c r="H9" s="17"/>
      <c r="I9" s="15"/>
      <c r="J9" s="76"/>
      <c r="K9" s="16"/>
    </row>
    <row r="10" spans="1:11" ht="21.75">
      <c r="A10" s="73" t="s">
        <v>175</v>
      </c>
      <c r="B10" s="25"/>
      <c r="C10" s="17"/>
      <c r="D10" s="17"/>
      <c r="E10" s="26"/>
      <c r="F10" s="17"/>
      <c r="G10" s="17">
        <v>11970000</v>
      </c>
      <c r="H10" s="17">
        <f>SUM(B10:G10)</f>
        <v>11970000</v>
      </c>
      <c r="I10" s="15" t="s">
        <v>22</v>
      </c>
      <c r="J10" s="76" t="s">
        <v>11</v>
      </c>
      <c r="K10" s="16" t="s">
        <v>12</v>
      </c>
    </row>
    <row r="11" spans="1:11" ht="21.75" customHeight="1">
      <c r="A11" s="116" t="s">
        <v>386</v>
      </c>
      <c r="B11" s="25"/>
      <c r="C11" s="17"/>
      <c r="D11" s="17"/>
      <c r="E11" s="26"/>
      <c r="F11" s="26"/>
      <c r="G11" s="26"/>
      <c r="H11" s="17"/>
      <c r="I11" s="15"/>
      <c r="J11" s="76"/>
      <c r="K11" s="16"/>
    </row>
    <row r="12" spans="1:11" ht="21.75">
      <c r="A12" s="136" t="s">
        <v>387</v>
      </c>
      <c r="B12" s="15"/>
      <c r="C12" s="15"/>
      <c r="D12" s="15"/>
      <c r="E12" s="15"/>
      <c r="F12" s="77"/>
      <c r="G12" s="77">
        <v>9070</v>
      </c>
      <c r="H12" s="17">
        <f>SUM(B12:G12)</f>
        <v>9070</v>
      </c>
      <c r="I12" s="15" t="s">
        <v>22</v>
      </c>
      <c r="J12" s="76" t="s">
        <v>11</v>
      </c>
      <c r="K12" s="16" t="s">
        <v>12</v>
      </c>
    </row>
    <row r="13" spans="1:11" ht="21.75">
      <c r="A13" s="136" t="s">
        <v>388</v>
      </c>
      <c r="B13" s="15"/>
      <c r="C13" s="15"/>
      <c r="D13" s="15"/>
      <c r="E13" s="15"/>
      <c r="F13" s="77"/>
      <c r="G13" s="77">
        <v>3630</v>
      </c>
      <c r="H13" s="17">
        <f>SUM(B13:G13)</f>
        <v>3630</v>
      </c>
      <c r="I13" s="15" t="s">
        <v>22</v>
      </c>
      <c r="J13" s="76" t="s">
        <v>11</v>
      </c>
      <c r="K13" s="16" t="s">
        <v>12</v>
      </c>
    </row>
    <row r="14" spans="1:11" ht="21.75">
      <c r="A14" s="136" t="s">
        <v>389</v>
      </c>
      <c r="B14" s="15"/>
      <c r="C14" s="15"/>
      <c r="D14" s="15"/>
      <c r="E14" s="15"/>
      <c r="F14" s="77"/>
      <c r="G14" s="77">
        <v>15541.5</v>
      </c>
      <c r="H14" s="17">
        <f>SUM(B14:G14)</f>
        <v>15541.5</v>
      </c>
      <c r="I14" s="15" t="s">
        <v>22</v>
      </c>
      <c r="J14" s="76" t="s">
        <v>11</v>
      </c>
      <c r="K14" s="16" t="s">
        <v>12</v>
      </c>
    </row>
    <row r="15" spans="1:11" ht="21.75">
      <c r="A15" s="226" t="s">
        <v>40</v>
      </c>
      <c r="B15" s="15"/>
      <c r="C15" s="15"/>
      <c r="D15" s="15"/>
      <c r="E15" s="15"/>
      <c r="F15" s="77"/>
      <c r="G15" s="77"/>
      <c r="H15" s="17"/>
      <c r="I15" s="15"/>
      <c r="J15" s="76"/>
      <c r="K15" s="16"/>
    </row>
    <row r="16" spans="1:11" ht="65.25">
      <c r="A16" s="136" t="s">
        <v>234</v>
      </c>
      <c r="B16" s="18"/>
      <c r="C16" s="18"/>
      <c r="D16" s="18"/>
      <c r="E16" s="18"/>
      <c r="F16" s="133"/>
      <c r="G16" s="133">
        <v>494196.68</v>
      </c>
      <c r="H16" s="17">
        <f>SUM(B16:G16)</f>
        <v>494196.68</v>
      </c>
      <c r="I16" s="15" t="s">
        <v>22</v>
      </c>
      <c r="J16" s="76" t="s">
        <v>11</v>
      </c>
      <c r="K16" s="16" t="s">
        <v>12</v>
      </c>
    </row>
    <row r="17" spans="1:11" ht="43.5">
      <c r="A17" s="136" t="s">
        <v>235</v>
      </c>
      <c r="B17" s="18"/>
      <c r="C17" s="18"/>
      <c r="D17" s="18"/>
      <c r="E17" s="18"/>
      <c r="F17" s="133"/>
      <c r="G17" s="133">
        <v>80082.02</v>
      </c>
      <c r="H17" s="17">
        <f>SUM(B17:G17)</f>
        <v>80082.02</v>
      </c>
      <c r="I17" s="15" t="s">
        <v>22</v>
      </c>
      <c r="J17" s="76" t="s">
        <v>11</v>
      </c>
      <c r="K17" s="16" t="s">
        <v>12</v>
      </c>
    </row>
    <row r="18" spans="1:11" ht="43.5">
      <c r="A18" s="136" t="s">
        <v>154</v>
      </c>
      <c r="B18" s="15"/>
      <c r="C18" s="15"/>
      <c r="D18" s="15"/>
      <c r="E18" s="15"/>
      <c r="F18" s="77"/>
      <c r="G18" s="77">
        <f>7403565.82+22151</f>
        <v>7425716.82</v>
      </c>
      <c r="H18" s="17">
        <f>SUM(B18:G18)</f>
        <v>7425716.82</v>
      </c>
      <c r="I18" s="139" t="s">
        <v>46</v>
      </c>
      <c r="J18" s="16" t="s">
        <v>11</v>
      </c>
      <c r="K18" s="16" t="s">
        <v>12</v>
      </c>
    </row>
    <row r="19" spans="1:11" ht="21.75">
      <c r="A19" s="227" t="s">
        <v>172</v>
      </c>
      <c r="B19" s="78"/>
      <c r="C19" s="78"/>
      <c r="D19" s="78"/>
      <c r="E19" s="78"/>
      <c r="F19" s="78"/>
      <c r="G19" s="79"/>
      <c r="H19" s="17"/>
      <c r="I19" s="78"/>
      <c r="J19" s="109"/>
      <c r="K19" s="109"/>
    </row>
    <row r="20" spans="1:11" ht="43.5">
      <c r="A20" s="136" t="s">
        <v>176</v>
      </c>
      <c r="B20" s="201"/>
      <c r="C20" s="201"/>
      <c r="D20" s="201"/>
      <c r="E20" s="201"/>
      <c r="F20" s="200"/>
      <c r="G20" s="29">
        <v>3289520</v>
      </c>
      <c r="H20" s="17">
        <f>SUM(B20:G20)</f>
        <v>3289520</v>
      </c>
      <c r="I20" s="112" t="s">
        <v>173</v>
      </c>
      <c r="J20" s="16" t="s">
        <v>11</v>
      </c>
      <c r="K20" s="16" t="s">
        <v>12</v>
      </c>
    </row>
    <row r="21" spans="1:11" ht="43.5">
      <c r="A21" s="136" t="s">
        <v>174</v>
      </c>
      <c r="B21" s="201"/>
      <c r="C21" s="201"/>
      <c r="D21" s="201"/>
      <c r="E21" s="201"/>
      <c r="F21" s="200"/>
      <c r="G21" s="29">
        <v>1402410.2</v>
      </c>
      <c r="H21" s="17">
        <f>SUM(B21:G21)</f>
        <v>1402410.2</v>
      </c>
      <c r="I21" s="112" t="s">
        <v>173</v>
      </c>
      <c r="J21" s="16" t="s">
        <v>11</v>
      </c>
      <c r="K21" s="16" t="s">
        <v>12</v>
      </c>
    </row>
    <row r="22" spans="1:11" ht="21.75">
      <c r="A22" s="227" t="s">
        <v>298</v>
      </c>
      <c r="B22" s="18"/>
      <c r="C22" s="18"/>
      <c r="D22" s="18"/>
      <c r="E22" s="18"/>
      <c r="F22" s="18"/>
      <c r="G22" s="344"/>
      <c r="H22" s="17"/>
      <c r="I22" s="112"/>
      <c r="J22" s="16"/>
      <c r="K22" s="16"/>
    </row>
    <row r="23" spans="1:11" ht="43.5">
      <c r="A23" s="136" t="s">
        <v>299</v>
      </c>
      <c r="B23" s="15"/>
      <c r="C23" s="15"/>
      <c r="D23" s="15"/>
      <c r="E23" s="15"/>
      <c r="F23" s="15"/>
      <c r="G23" s="27">
        <v>6212975.68</v>
      </c>
      <c r="H23" s="17">
        <f aca="true" t="shared" si="0" ref="H23:H29">SUM(B23:G23)</f>
        <v>6212975.68</v>
      </c>
      <c r="I23" s="112" t="s">
        <v>43</v>
      </c>
      <c r="J23" s="16" t="s">
        <v>11</v>
      </c>
      <c r="K23" s="16" t="s">
        <v>12</v>
      </c>
    </row>
    <row r="24" spans="1:11" ht="65.25">
      <c r="A24" s="136" t="s">
        <v>465</v>
      </c>
      <c r="B24" s="15"/>
      <c r="C24" s="15"/>
      <c r="D24" s="15"/>
      <c r="E24" s="15"/>
      <c r="F24" s="15"/>
      <c r="G24" s="27">
        <v>2213112</v>
      </c>
      <c r="H24" s="17">
        <f t="shared" si="0"/>
        <v>2213112</v>
      </c>
      <c r="I24" s="112" t="s">
        <v>43</v>
      </c>
      <c r="J24" s="16" t="s">
        <v>11</v>
      </c>
      <c r="K24" s="16" t="s">
        <v>12</v>
      </c>
    </row>
    <row r="25" spans="1:11" ht="65.25">
      <c r="A25" s="136" t="s">
        <v>466</v>
      </c>
      <c r="B25" s="15"/>
      <c r="C25" s="15"/>
      <c r="D25" s="15"/>
      <c r="E25" s="15"/>
      <c r="F25" s="15"/>
      <c r="G25" s="27">
        <v>98057.5</v>
      </c>
      <c r="H25" s="17">
        <f t="shared" si="0"/>
        <v>98057.5</v>
      </c>
      <c r="I25" s="112" t="s">
        <v>43</v>
      </c>
      <c r="J25" s="16" t="s">
        <v>11</v>
      </c>
      <c r="K25" s="16" t="s">
        <v>12</v>
      </c>
    </row>
    <row r="26" spans="1:11" ht="43.5">
      <c r="A26" s="136" t="s">
        <v>467</v>
      </c>
      <c r="B26" s="15"/>
      <c r="C26" s="15"/>
      <c r="D26" s="15"/>
      <c r="E26" s="15"/>
      <c r="F26" s="15"/>
      <c r="G26" s="27">
        <v>63123</v>
      </c>
      <c r="H26" s="17">
        <f t="shared" si="0"/>
        <v>63123</v>
      </c>
      <c r="I26" s="112" t="s">
        <v>43</v>
      </c>
      <c r="J26" s="16" t="s">
        <v>11</v>
      </c>
      <c r="K26" s="16" t="s">
        <v>12</v>
      </c>
    </row>
    <row r="27" spans="1:11" ht="65.25">
      <c r="A27" s="136" t="s">
        <v>300</v>
      </c>
      <c r="B27" s="15"/>
      <c r="C27" s="15"/>
      <c r="D27" s="15"/>
      <c r="E27" s="15"/>
      <c r="F27" s="15"/>
      <c r="G27" s="27">
        <v>274816.99</v>
      </c>
      <c r="H27" s="17">
        <f t="shared" si="0"/>
        <v>274816.99</v>
      </c>
      <c r="I27" s="112" t="s">
        <v>43</v>
      </c>
      <c r="J27" s="16" t="s">
        <v>11</v>
      </c>
      <c r="K27" s="16" t="s">
        <v>12</v>
      </c>
    </row>
    <row r="28" spans="1:11" ht="43.5">
      <c r="A28" s="136" t="s">
        <v>469</v>
      </c>
      <c r="B28" s="15"/>
      <c r="C28" s="15"/>
      <c r="D28" s="15"/>
      <c r="E28" s="15"/>
      <c r="F28" s="15"/>
      <c r="G28" s="27">
        <v>515720.52</v>
      </c>
      <c r="H28" s="17">
        <f t="shared" si="0"/>
        <v>515720.52</v>
      </c>
      <c r="I28" s="112" t="s">
        <v>43</v>
      </c>
      <c r="J28" s="16" t="s">
        <v>11</v>
      </c>
      <c r="K28" s="16" t="s">
        <v>12</v>
      </c>
    </row>
    <row r="29" spans="1:11" ht="65.25">
      <c r="A29" s="136" t="s">
        <v>468</v>
      </c>
      <c r="B29" s="15"/>
      <c r="C29" s="15"/>
      <c r="D29" s="15"/>
      <c r="E29" s="15"/>
      <c r="F29" s="15"/>
      <c r="G29" s="27"/>
      <c r="H29" s="17">
        <f t="shared" si="0"/>
        <v>0</v>
      </c>
      <c r="I29" s="112" t="s">
        <v>43</v>
      </c>
      <c r="J29" s="16" t="s">
        <v>11</v>
      </c>
      <c r="K29" s="16" t="s">
        <v>12</v>
      </c>
    </row>
    <row r="30" spans="1:11" ht="22.5" thickBot="1">
      <c r="A30" s="19" t="s">
        <v>2</v>
      </c>
      <c r="B30" s="85">
        <f aca="true" t="shared" si="1" ref="B30:H30">SUM(B8:B29)</f>
        <v>0</v>
      </c>
      <c r="C30" s="85">
        <f t="shared" si="1"/>
        <v>0</v>
      </c>
      <c r="D30" s="85">
        <f t="shared" si="1"/>
        <v>0</v>
      </c>
      <c r="E30" s="85">
        <f t="shared" si="1"/>
        <v>0</v>
      </c>
      <c r="F30" s="85">
        <f t="shared" si="1"/>
        <v>0</v>
      </c>
      <c r="G30" s="85">
        <f t="shared" si="1"/>
        <v>48422229.940000005</v>
      </c>
      <c r="H30" s="20">
        <f t="shared" si="1"/>
        <v>48422229.940000005</v>
      </c>
      <c r="I30" s="21"/>
      <c r="J30" s="21"/>
      <c r="K30" s="21"/>
    </row>
    <row r="31" ht="22.5" thickTop="1"/>
    <row r="32" spans="6:10" ht="21.75">
      <c r="F32" s="1"/>
      <c r="H32" s="202"/>
      <c r="J32" s="22"/>
    </row>
    <row r="34" ht="21.75">
      <c r="A34" t="s">
        <v>233</v>
      </c>
    </row>
  </sheetData>
  <sheetProtection/>
  <mergeCells count="9">
    <mergeCell ref="A1:K1"/>
    <mergeCell ref="A2:K2"/>
    <mergeCell ref="H4:H5"/>
    <mergeCell ref="I4:I5"/>
    <mergeCell ref="J4:J5"/>
    <mergeCell ref="K4:K5"/>
    <mergeCell ref="A4:A5"/>
    <mergeCell ref="G4:G5"/>
    <mergeCell ref="B4:F4"/>
  </mergeCells>
  <printOptions/>
  <pageMargins left="0.590551181102362" right="0.393700787401575" top="1.22047244094488" bottom="0.236220472440945" header="0.433070866141732" footer="0.15748031496063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1:L21"/>
  <sheetViews>
    <sheetView showGridLines="0" zoomScalePageLayoutView="0" workbookViewId="0" topLeftCell="A12">
      <selection activeCell="E20" sqref="E20"/>
    </sheetView>
  </sheetViews>
  <sheetFormatPr defaultColWidth="9.140625" defaultRowHeight="21.75"/>
  <cols>
    <col min="1" max="1" width="51.8515625" style="0" customWidth="1"/>
    <col min="2" max="2" width="13.8515625" style="0" customWidth="1"/>
    <col min="3" max="3" width="13.00390625" style="45" customWidth="1"/>
    <col min="4" max="4" width="14.28125" style="0" customWidth="1"/>
    <col min="5" max="5" width="14.421875" style="0" customWidth="1"/>
    <col min="6" max="6" width="9.00390625" style="0" customWidth="1"/>
    <col min="7" max="7" width="0.2890625" style="0" hidden="1" customWidth="1"/>
    <col min="8" max="8" width="15.00390625" style="45" customWidth="1"/>
    <col min="9" max="9" width="13.7109375" style="45" customWidth="1"/>
    <col min="10" max="10" width="10.28125" style="0" customWidth="1"/>
    <col min="11" max="11" width="13.7109375" style="0" customWidth="1"/>
    <col min="12" max="12" width="11.8515625" style="0" customWidth="1"/>
  </cols>
  <sheetData>
    <row r="1" spans="1:12" ht="23.25">
      <c r="A1" s="840" t="s">
        <v>0</v>
      </c>
      <c r="B1" s="840"/>
      <c r="C1" s="840"/>
      <c r="D1" s="840"/>
      <c r="E1" s="840"/>
      <c r="F1" s="840"/>
      <c r="G1" s="840"/>
      <c r="H1" s="840"/>
      <c r="I1" s="840"/>
      <c r="J1" s="840"/>
      <c r="K1" s="840"/>
      <c r="L1" s="840"/>
    </row>
    <row r="2" spans="1:12" ht="23.25">
      <c r="A2" s="841" t="s">
        <v>512</v>
      </c>
      <c r="B2" s="841"/>
      <c r="C2" s="841"/>
      <c r="D2" s="841"/>
      <c r="E2" s="841"/>
      <c r="F2" s="841"/>
      <c r="G2" s="841"/>
      <c r="H2" s="841"/>
      <c r="I2" s="841"/>
      <c r="J2" s="841"/>
      <c r="K2" s="841"/>
      <c r="L2" s="841"/>
    </row>
    <row r="3" spans="1:12" ht="23.25">
      <c r="A3" s="3"/>
      <c r="B3" s="3"/>
      <c r="C3" s="38"/>
      <c r="D3" s="3"/>
      <c r="E3" s="3"/>
      <c r="F3" s="3"/>
      <c r="G3" s="3"/>
      <c r="H3" s="38"/>
      <c r="I3" s="38"/>
      <c r="J3" s="3"/>
      <c r="K3" s="3"/>
      <c r="L3" s="3"/>
    </row>
    <row r="4" spans="1:12" ht="21.75" customHeight="1">
      <c r="A4" s="874" t="s">
        <v>1</v>
      </c>
      <c r="B4" s="845" t="s">
        <v>13</v>
      </c>
      <c r="C4" s="846"/>
      <c r="D4" s="846"/>
      <c r="E4" s="846"/>
      <c r="F4" s="846"/>
      <c r="G4" s="846"/>
      <c r="H4" s="848" t="s">
        <v>80</v>
      </c>
      <c r="I4" s="870" t="s">
        <v>14</v>
      </c>
      <c r="J4" s="842" t="s">
        <v>6</v>
      </c>
      <c r="K4" s="872" t="s">
        <v>7</v>
      </c>
      <c r="L4" s="857" t="s">
        <v>36</v>
      </c>
    </row>
    <row r="5" spans="1:12" ht="44.25" customHeight="1">
      <c r="A5" s="816"/>
      <c r="B5" s="23" t="s">
        <v>8</v>
      </c>
      <c r="C5" s="23" t="s">
        <v>9</v>
      </c>
      <c r="D5" s="23" t="s">
        <v>236</v>
      </c>
      <c r="E5" s="23" t="s">
        <v>10</v>
      </c>
      <c r="F5" s="23" t="s">
        <v>23</v>
      </c>
      <c r="G5" s="93" t="s">
        <v>41</v>
      </c>
      <c r="H5" s="856"/>
      <c r="I5" s="871"/>
      <c r="J5" s="844"/>
      <c r="K5" s="873"/>
      <c r="L5" s="858"/>
    </row>
    <row r="6" spans="1:12" ht="21.75">
      <c r="A6" s="100" t="s">
        <v>24</v>
      </c>
      <c r="B6" s="101"/>
      <c r="C6" s="101"/>
      <c r="D6" s="101"/>
      <c r="E6" s="101"/>
      <c r="F6" s="101"/>
      <c r="G6" s="101"/>
      <c r="H6" s="101"/>
      <c r="I6" s="101"/>
      <c r="J6" s="465"/>
      <c r="K6" s="511"/>
      <c r="L6" s="453"/>
    </row>
    <row r="7" spans="1:12" ht="21.75">
      <c r="A7" s="114" t="s">
        <v>25</v>
      </c>
      <c r="B7" s="466"/>
      <c r="C7" s="466"/>
      <c r="D7" s="466"/>
      <c r="E7" s="466"/>
      <c r="F7" s="466"/>
      <c r="G7" s="466"/>
      <c r="H7" s="466"/>
      <c r="I7" s="466"/>
      <c r="J7" s="467"/>
      <c r="K7" s="512"/>
      <c r="L7" s="454"/>
    </row>
    <row r="8" spans="1:12" ht="65.25">
      <c r="A8" s="468" t="s">
        <v>461</v>
      </c>
      <c r="B8" s="121">
        <v>5641320</v>
      </c>
      <c r="C8" s="121">
        <v>4038600</v>
      </c>
      <c r="D8" s="121">
        <v>10727500</v>
      </c>
      <c r="E8" s="121">
        <v>4386580</v>
      </c>
      <c r="F8" s="121"/>
      <c r="G8" s="469"/>
      <c r="H8" s="470"/>
      <c r="I8" s="471">
        <f>SUM(B8:H8)</f>
        <v>24794000</v>
      </c>
      <c r="J8" s="159" t="s">
        <v>116</v>
      </c>
      <c r="K8" s="482" t="s">
        <v>228</v>
      </c>
      <c r="L8" s="454"/>
    </row>
    <row r="9" spans="1:12" ht="21.75">
      <c r="A9" s="473" t="s">
        <v>15</v>
      </c>
      <c r="B9" s="474"/>
      <c r="C9" s="474"/>
      <c r="D9" s="474"/>
      <c r="E9" s="474"/>
      <c r="F9" s="474"/>
      <c r="G9" s="475"/>
      <c r="H9" s="470"/>
      <c r="I9" s="476"/>
      <c r="J9" s="126"/>
      <c r="K9" s="483"/>
      <c r="L9" s="455"/>
    </row>
    <row r="10" spans="1:12" ht="87">
      <c r="A10" s="126" t="s">
        <v>462</v>
      </c>
      <c r="B10" s="469"/>
      <c r="C10" s="472"/>
      <c r="D10" s="469"/>
      <c r="E10" s="469"/>
      <c r="F10" s="469"/>
      <c r="G10" s="469"/>
      <c r="H10" s="477">
        <v>1885200</v>
      </c>
      <c r="I10" s="471">
        <f>SUM(B10:H10)</f>
        <v>1885200</v>
      </c>
      <c r="J10" s="159" t="s">
        <v>116</v>
      </c>
      <c r="K10" s="571" t="s">
        <v>489</v>
      </c>
      <c r="L10" s="484"/>
    </row>
    <row r="11" spans="1:12" ht="87">
      <c r="A11" s="468" t="s">
        <v>463</v>
      </c>
      <c r="B11" s="469"/>
      <c r="C11" s="472"/>
      <c r="D11" s="121"/>
      <c r="E11" s="469"/>
      <c r="F11" s="469"/>
      <c r="G11" s="469"/>
      <c r="H11" s="470">
        <v>614800</v>
      </c>
      <c r="I11" s="471">
        <f>SUM(B11:H11)</f>
        <v>614800</v>
      </c>
      <c r="J11" s="159" t="s">
        <v>116</v>
      </c>
      <c r="K11" s="513" t="s">
        <v>489</v>
      </c>
      <c r="L11" s="516"/>
    </row>
    <row r="12" spans="1:12" ht="21.75">
      <c r="A12" s="114" t="s">
        <v>1045</v>
      </c>
      <c r="B12" s="475"/>
      <c r="C12" s="478"/>
      <c r="D12" s="474"/>
      <c r="E12" s="475"/>
      <c r="F12" s="475"/>
      <c r="G12" s="475"/>
      <c r="H12" s="479"/>
      <c r="I12" s="471"/>
      <c r="J12" s="480"/>
      <c r="K12" s="483"/>
      <c r="L12" s="517"/>
    </row>
    <row r="13" spans="1:12" ht="65.25">
      <c r="A13" s="468" t="s">
        <v>464</v>
      </c>
      <c r="B13" s="469"/>
      <c r="C13" s="472"/>
      <c r="D13" s="121"/>
      <c r="E13" s="469"/>
      <c r="F13" s="469"/>
      <c r="G13" s="469"/>
      <c r="H13" s="470">
        <v>40000</v>
      </c>
      <c r="I13" s="471">
        <f>SUM(B13:H13)</f>
        <v>40000</v>
      </c>
      <c r="J13" s="126" t="s">
        <v>307</v>
      </c>
      <c r="K13" s="518" t="s">
        <v>490</v>
      </c>
      <c r="L13" s="517"/>
    </row>
    <row r="14" spans="1:12" ht="43.5">
      <c r="A14" s="468" t="s">
        <v>575</v>
      </c>
      <c r="B14" s="164"/>
      <c r="C14" s="165"/>
      <c r="D14" s="167"/>
      <c r="E14" s="164"/>
      <c r="F14" s="164"/>
      <c r="G14" s="164"/>
      <c r="H14" s="166">
        <v>59290.14</v>
      </c>
      <c r="I14" s="471">
        <f>SUM(B14:H14)</f>
        <v>59290.14</v>
      </c>
      <c r="J14" s="126" t="s">
        <v>307</v>
      </c>
      <c r="K14" s="518" t="s">
        <v>490</v>
      </c>
      <c r="L14" s="15"/>
    </row>
    <row r="15" spans="1:12" ht="21.75">
      <c r="A15" s="304"/>
      <c r="B15" s="305"/>
      <c r="C15" s="305"/>
      <c r="D15" s="305"/>
      <c r="E15" s="305"/>
      <c r="F15" s="305"/>
      <c r="G15" s="306"/>
      <c r="H15" s="307"/>
      <c r="I15" s="308"/>
      <c r="J15" s="309"/>
      <c r="K15" s="514"/>
      <c r="L15" s="310"/>
    </row>
    <row r="16" spans="1:12" ht="22.5" thickBot="1">
      <c r="A16" s="19" t="s">
        <v>2</v>
      </c>
      <c r="B16" s="20">
        <f aca="true" t="shared" si="0" ref="B16:I16">SUM(B8:B15)</f>
        <v>5641320</v>
      </c>
      <c r="C16" s="20">
        <f t="shared" si="0"/>
        <v>4038600</v>
      </c>
      <c r="D16" s="20">
        <f t="shared" si="0"/>
        <v>10727500</v>
      </c>
      <c r="E16" s="20">
        <f t="shared" si="0"/>
        <v>4386580</v>
      </c>
      <c r="F16" s="20">
        <f t="shared" si="0"/>
        <v>0</v>
      </c>
      <c r="G16" s="20">
        <f t="shared" si="0"/>
        <v>0</v>
      </c>
      <c r="H16" s="150">
        <f t="shared" si="0"/>
        <v>2599290.14</v>
      </c>
      <c r="I16" s="150">
        <f t="shared" si="0"/>
        <v>27393290.14</v>
      </c>
      <c r="J16" s="21"/>
      <c r="K16" s="515"/>
      <c r="L16" s="21"/>
    </row>
    <row r="17" spans="1:12" ht="22.5" thickTop="1">
      <c r="A17" s="36"/>
      <c r="B17" s="43"/>
      <c r="C17" s="44"/>
      <c r="D17" s="36"/>
      <c r="E17" s="36"/>
      <c r="F17" s="36"/>
      <c r="G17" s="36"/>
      <c r="H17" s="44"/>
      <c r="I17" s="44"/>
      <c r="J17" s="36"/>
      <c r="K17" s="36"/>
      <c r="L17" s="36"/>
    </row>
    <row r="18" spans="6:9" ht="21.75">
      <c r="F18" s="1"/>
      <c r="I18" s="364"/>
    </row>
    <row r="19" spans="6:9" ht="21.75">
      <c r="F19" s="1"/>
      <c r="G19" s="1">
        <f>SUM(C16:F16)</f>
        <v>19152680</v>
      </c>
      <c r="H19" s="1"/>
      <c r="I19" s="364"/>
    </row>
    <row r="20" spans="3:5" ht="21.75">
      <c r="C20" s="364"/>
      <c r="E20" s="30"/>
    </row>
    <row r="21" ht="21.75">
      <c r="C21" s="345"/>
    </row>
  </sheetData>
  <sheetProtection/>
  <mergeCells count="9">
    <mergeCell ref="A2:L2"/>
    <mergeCell ref="A1:L1"/>
    <mergeCell ref="I4:I5"/>
    <mergeCell ref="J4:J5"/>
    <mergeCell ref="K4:K5"/>
    <mergeCell ref="L4:L5"/>
    <mergeCell ref="A4:A5"/>
    <mergeCell ref="B4:G4"/>
    <mergeCell ref="H4:H5"/>
  </mergeCells>
  <printOptions horizontalCentered="1" verticalCentered="1"/>
  <pageMargins left="0.5511811023622047" right="0.15748031496062992" top="0.2755905511811024" bottom="0" header="1.299212598425197" footer="0.15748031496062992"/>
  <pageSetup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M33"/>
  <sheetViews>
    <sheetView showGridLines="0" zoomScalePageLayoutView="0" workbookViewId="0" topLeftCell="A13">
      <selection activeCell="A20" sqref="A20"/>
    </sheetView>
  </sheetViews>
  <sheetFormatPr defaultColWidth="9.140625" defaultRowHeight="21.75"/>
  <cols>
    <col min="1" max="1" width="41.140625" style="0" customWidth="1"/>
    <col min="2" max="2" width="10.28125" style="0" customWidth="1"/>
    <col min="3" max="3" width="10.28125" style="0" bestFit="1" customWidth="1"/>
    <col min="4" max="4" width="11.28125" style="0" customWidth="1"/>
    <col min="5" max="5" width="11.28125" style="0" bestFit="1" customWidth="1"/>
    <col min="6" max="6" width="12.8515625" style="0" customWidth="1"/>
    <col min="7" max="7" width="15.140625" style="0" customWidth="1"/>
    <col min="8" max="8" width="12.8515625" style="0" customWidth="1"/>
    <col min="9" max="9" width="11.57421875" style="0" customWidth="1"/>
    <col min="10" max="10" width="12.421875" style="0" customWidth="1"/>
    <col min="11" max="11" width="12.140625" style="0" customWidth="1"/>
    <col min="13" max="13" width="11.00390625" style="0" bestFit="1" customWidth="1"/>
    <col min="14" max="14" width="13.28125" style="0" customWidth="1"/>
  </cols>
  <sheetData>
    <row r="1" spans="1:11" ht="23.25">
      <c r="A1" s="840" t="s">
        <v>0</v>
      </c>
      <c r="B1" s="840"/>
      <c r="C1" s="840"/>
      <c r="D1" s="840"/>
      <c r="E1" s="840"/>
      <c r="F1" s="840"/>
      <c r="G1" s="840"/>
      <c r="H1" s="840"/>
      <c r="I1" s="840"/>
      <c r="J1" s="840"/>
      <c r="K1" s="840"/>
    </row>
    <row r="2" spans="1:11" ht="23.25">
      <c r="A2" s="841" t="s">
        <v>512</v>
      </c>
      <c r="B2" s="840"/>
      <c r="C2" s="840"/>
      <c r="D2" s="840"/>
      <c r="E2" s="840"/>
      <c r="F2" s="840"/>
      <c r="G2" s="840"/>
      <c r="H2" s="840"/>
      <c r="I2" s="840"/>
      <c r="J2" s="840"/>
      <c r="K2" s="840"/>
    </row>
    <row r="3" ht="15.75" customHeight="1"/>
    <row r="4" spans="1:11" ht="21.75">
      <c r="A4" s="842" t="s">
        <v>1</v>
      </c>
      <c r="B4" s="845" t="s">
        <v>13</v>
      </c>
      <c r="C4" s="846"/>
      <c r="D4" s="846"/>
      <c r="E4" s="846"/>
      <c r="F4" s="134"/>
      <c r="G4" s="848" t="s">
        <v>117</v>
      </c>
      <c r="H4" s="848" t="s">
        <v>14</v>
      </c>
      <c r="I4" s="842" t="s">
        <v>6</v>
      </c>
      <c r="J4" s="857" t="s">
        <v>7</v>
      </c>
      <c r="K4" s="857" t="s">
        <v>36</v>
      </c>
    </row>
    <row r="5" spans="1:11" ht="48" customHeight="1">
      <c r="A5" s="844"/>
      <c r="B5" s="23" t="s">
        <v>8</v>
      </c>
      <c r="C5" s="23" t="s">
        <v>9</v>
      </c>
      <c r="D5" s="23" t="s">
        <v>221</v>
      </c>
      <c r="E5" s="23" t="s">
        <v>10</v>
      </c>
      <c r="F5" s="135" t="s">
        <v>41</v>
      </c>
      <c r="G5" s="856"/>
      <c r="H5" s="856"/>
      <c r="I5" s="844"/>
      <c r="J5" s="858"/>
      <c r="K5" s="858"/>
    </row>
    <row r="6" spans="1:11" ht="21.75">
      <c r="A6" s="7" t="s">
        <v>232</v>
      </c>
      <c r="B6" s="8"/>
      <c r="C6" s="8"/>
      <c r="D6" s="8"/>
      <c r="E6" s="8"/>
      <c r="F6" s="8"/>
      <c r="G6" s="8"/>
      <c r="H6" s="8"/>
      <c r="I6" s="9"/>
      <c r="J6" s="9"/>
      <c r="K6" s="10"/>
    </row>
    <row r="7" spans="1:11" ht="21.75">
      <c r="A7" s="24" t="s">
        <v>288</v>
      </c>
      <c r="B7" s="12"/>
      <c r="C7" s="12"/>
      <c r="D7" s="12"/>
      <c r="E7" s="12"/>
      <c r="F7" s="12"/>
      <c r="G7" s="12"/>
      <c r="H7" s="12"/>
      <c r="I7" s="13"/>
      <c r="J7" s="13"/>
      <c r="K7" s="14"/>
    </row>
    <row r="8" spans="1:11" ht="87">
      <c r="A8" s="228" t="s">
        <v>993</v>
      </c>
      <c r="B8" s="12"/>
      <c r="C8" s="12"/>
      <c r="D8" s="12"/>
      <c r="E8" s="12"/>
      <c r="F8" s="12"/>
      <c r="G8" s="40">
        <v>11077</v>
      </c>
      <c r="H8" s="40">
        <f>SUM(B8:G8)</f>
        <v>11077</v>
      </c>
      <c r="I8" s="163" t="s">
        <v>43</v>
      </c>
      <c r="J8" s="573" t="s">
        <v>411</v>
      </c>
      <c r="K8" s="14"/>
    </row>
    <row r="9" spans="1:11" ht="43.5">
      <c r="A9" s="228" t="s">
        <v>594</v>
      </c>
      <c r="B9" s="12"/>
      <c r="C9" s="12"/>
      <c r="D9" s="12"/>
      <c r="E9" s="12"/>
      <c r="F9" s="12"/>
      <c r="G9" s="40">
        <v>234208</v>
      </c>
      <c r="H9" s="40">
        <f>SUM(B9:G9)</f>
        <v>234208</v>
      </c>
      <c r="I9" s="163" t="s">
        <v>43</v>
      </c>
      <c r="J9" s="156" t="s">
        <v>411</v>
      </c>
      <c r="K9" s="14"/>
    </row>
    <row r="10" spans="1:11" ht="87">
      <c r="A10" s="228" t="s">
        <v>595</v>
      </c>
      <c r="B10" s="12"/>
      <c r="C10" s="12"/>
      <c r="D10" s="12"/>
      <c r="E10" s="12"/>
      <c r="F10" s="12"/>
      <c r="G10" s="451">
        <v>16508</v>
      </c>
      <c r="H10" s="40">
        <f>SUM(B10:G10)</f>
        <v>16508</v>
      </c>
      <c r="I10" s="163" t="s">
        <v>43</v>
      </c>
      <c r="J10" s="156" t="s">
        <v>411</v>
      </c>
      <c r="K10" s="14"/>
    </row>
    <row r="11" spans="1:11" ht="21.75">
      <c r="A11" s="24" t="s">
        <v>600</v>
      </c>
      <c r="B11" s="12"/>
      <c r="C11" s="12"/>
      <c r="D11" s="12"/>
      <c r="E11" s="12"/>
      <c r="F11" s="12"/>
      <c r="G11" s="12"/>
      <c r="H11" s="12"/>
      <c r="I11" s="13"/>
      <c r="J11" s="13"/>
      <c r="K11" s="14"/>
    </row>
    <row r="12" spans="1:11" ht="65.25">
      <c r="A12" s="228" t="s">
        <v>473</v>
      </c>
      <c r="B12" s="57"/>
      <c r="C12" s="57"/>
      <c r="D12" s="40"/>
      <c r="E12" s="40"/>
      <c r="F12" s="40"/>
      <c r="G12" s="40">
        <v>320423.7</v>
      </c>
      <c r="H12" s="40">
        <f>SUM(B12:G12)</f>
        <v>320423.7</v>
      </c>
      <c r="I12" s="132" t="s">
        <v>187</v>
      </c>
      <c r="J12" s="311" t="s">
        <v>289</v>
      </c>
      <c r="K12" s="276"/>
    </row>
    <row r="13" spans="1:11" ht="46.5">
      <c r="A13" s="228" t="s">
        <v>377</v>
      </c>
      <c r="B13" s="12"/>
      <c r="C13" s="12"/>
      <c r="D13" s="301"/>
      <c r="E13" s="301"/>
      <c r="F13" s="301"/>
      <c r="G13" s="312">
        <v>18571.15</v>
      </c>
      <c r="H13" s="40">
        <f>SUM(B13:G13)</f>
        <v>18571.15</v>
      </c>
      <c r="I13" s="132" t="s">
        <v>187</v>
      </c>
      <c r="J13" s="259" t="s">
        <v>147</v>
      </c>
      <c r="K13" s="160"/>
    </row>
    <row r="14" spans="1:13" ht="21.75">
      <c r="A14" s="228"/>
      <c r="B14" s="143"/>
      <c r="C14" s="143"/>
      <c r="D14" s="143"/>
      <c r="E14" s="143"/>
      <c r="F14" s="143"/>
      <c r="G14" s="144"/>
      <c r="H14" s="204"/>
      <c r="I14" s="128"/>
      <c r="J14" s="259"/>
      <c r="K14" s="160"/>
      <c r="M14" s="30"/>
    </row>
    <row r="15" spans="1:11" ht="21.75">
      <c r="A15" s="228"/>
      <c r="B15" s="70"/>
      <c r="C15" s="17"/>
      <c r="D15" s="17"/>
      <c r="E15" s="17"/>
      <c r="F15" s="17"/>
      <c r="G15" s="104"/>
      <c r="H15" s="17"/>
      <c r="I15" s="15"/>
      <c r="J15" s="15"/>
      <c r="K15" s="16"/>
    </row>
    <row r="16" spans="1:11" ht="24.75" customHeight="1">
      <c r="A16" s="41"/>
      <c r="B16" s="70"/>
      <c r="C16" s="17"/>
      <c r="D16" s="17"/>
      <c r="E16" s="26"/>
      <c r="F16" s="26"/>
      <c r="G16" s="26"/>
      <c r="H16" s="40"/>
      <c r="I16" s="15"/>
      <c r="J16" s="58"/>
      <c r="K16" s="16"/>
    </row>
    <row r="17" spans="1:11" ht="22.5" thickBot="1">
      <c r="A17" s="19" t="s">
        <v>2</v>
      </c>
      <c r="B17" s="86">
        <f aca="true" t="shared" si="0" ref="B17:H17">SUM(B5:B16)</f>
        <v>0</v>
      </c>
      <c r="C17" s="86">
        <f t="shared" si="0"/>
        <v>0</v>
      </c>
      <c r="D17" s="86">
        <f t="shared" si="0"/>
        <v>0</v>
      </c>
      <c r="E17" s="86">
        <f t="shared" si="0"/>
        <v>0</v>
      </c>
      <c r="F17" s="86">
        <f t="shared" si="0"/>
        <v>0</v>
      </c>
      <c r="G17" s="86">
        <f t="shared" si="0"/>
        <v>600787.85</v>
      </c>
      <c r="H17" s="86">
        <f t="shared" si="0"/>
        <v>600787.85</v>
      </c>
      <c r="I17" s="21"/>
      <c r="J17" s="21"/>
      <c r="K17" s="21"/>
    </row>
    <row r="18" ht="22.5" thickTop="1"/>
    <row r="19" ht="21.75">
      <c r="C19" s="2"/>
    </row>
    <row r="20" ht="21.75">
      <c r="C20" s="2"/>
    </row>
    <row r="21" ht="21.75">
      <c r="C21" s="2"/>
    </row>
    <row r="22" ht="21.75">
      <c r="C22" s="2"/>
    </row>
    <row r="33" ht="21.75">
      <c r="K33" s="71"/>
    </row>
  </sheetData>
  <sheetProtection/>
  <mergeCells count="9">
    <mergeCell ref="A1:K1"/>
    <mergeCell ref="A2:K2"/>
    <mergeCell ref="A4:A5"/>
    <mergeCell ref="B4:E4"/>
    <mergeCell ref="G4:G5"/>
    <mergeCell ref="H4:H5"/>
    <mergeCell ref="I4:I5"/>
    <mergeCell ref="J4:J5"/>
    <mergeCell ref="K4:K5"/>
  </mergeCells>
  <printOptions horizontalCentered="1" verticalCentered="1"/>
  <pageMargins left="1.06299212598425" right="0.748031496062992" top="0.826771653543307" bottom="0.708661417322835" header="0.669291338582677" footer="0.15748031496063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M33"/>
  <sheetViews>
    <sheetView showGridLines="0" zoomScalePageLayoutView="0" workbookViewId="0" topLeftCell="A10">
      <selection activeCell="G12" sqref="G12"/>
    </sheetView>
  </sheetViews>
  <sheetFormatPr defaultColWidth="9.140625" defaultRowHeight="21.75"/>
  <cols>
    <col min="1" max="1" width="50.421875" style="0" customWidth="1"/>
    <col min="2" max="2" width="11.140625" style="0" customWidth="1"/>
    <col min="3" max="3" width="10.8515625" style="0" customWidth="1"/>
    <col min="4" max="5" width="12.140625" style="0" customWidth="1"/>
    <col min="6" max="6" width="12.28125" style="0" customWidth="1"/>
    <col min="7" max="7" width="15.140625" style="0" customWidth="1"/>
    <col min="8" max="8" width="12.8515625" style="0" customWidth="1"/>
    <col min="9" max="9" width="12.7109375" style="0" customWidth="1"/>
    <col min="10" max="10" width="13.00390625" style="0" customWidth="1"/>
    <col min="11" max="11" width="12.140625" style="0" customWidth="1"/>
    <col min="13" max="13" width="11.00390625" style="0" bestFit="1" customWidth="1"/>
    <col min="14" max="14" width="13.28125" style="0" customWidth="1"/>
  </cols>
  <sheetData>
    <row r="1" spans="1:11" ht="23.25">
      <c r="A1" s="840" t="s">
        <v>0</v>
      </c>
      <c r="B1" s="840"/>
      <c r="C1" s="840"/>
      <c r="D1" s="840"/>
      <c r="E1" s="840"/>
      <c r="F1" s="840"/>
      <c r="G1" s="840"/>
      <c r="H1" s="840"/>
      <c r="I1" s="840"/>
      <c r="J1" s="840"/>
      <c r="K1" s="840"/>
    </row>
    <row r="2" spans="1:11" ht="23.25">
      <c r="A2" s="841" t="s">
        <v>512</v>
      </c>
      <c r="B2" s="840"/>
      <c r="C2" s="840"/>
      <c r="D2" s="840"/>
      <c r="E2" s="840"/>
      <c r="F2" s="840"/>
      <c r="G2" s="840"/>
      <c r="H2" s="840"/>
      <c r="I2" s="840"/>
      <c r="J2" s="840"/>
      <c r="K2" s="840"/>
    </row>
    <row r="3" ht="15.75" customHeight="1"/>
    <row r="4" spans="1:11" ht="21.75">
      <c r="A4" s="842" t="s">
        <v>1</v>
      </c>
      <c r="B4" s="845" t="s">
        <v>13</v>
      </c>
      <c r="C4" s="846"/>
      <c r="D4" s="846"/>
      <c r="E4" s="846"/>
      <c r="F4" s="134"/>
      <c r="G4" s="848" t="s">
        <v>117</v>
      </c>
      <c r="H4" s="848" t="s">
        <v>14</v>
      </c>
      <c r="I4" s="842" t="s">
        <v>6</v>
      </c>
      <c r="J4" s="857" t="s">
        <v>7</v>
      </c>
      <c r="K4" s="857" t="s">
        <v>36</v>
      </c>
    </row>
    <row r="5" spans="1:11" ht="48" customHeight="1">
      <c r="A5" s="844"/>
      <c r="B5" s="23" t="s">
        <v>8</v>
      </c>
      <c r="C5" s="23" t="s">
        <v>9</v>
      </c>
      <c r="D5" s="23" t="s">
        <v>221</v>
      </c>
      <c r="E5" s="23" t="s">
        <v>10</v>
      </c>
      <c r="F5" s="135" t="s">
        <v>41</v>
      </c>
      <c r="G5" s="856"/>
      <c r="H5" s="856"/>
      <c r="I5" s="844"/>
      <c r="J5" s="858"/>
      <c r="K5" s="858"/>
    </row>
    <row r="6" spans="1:11" ht="21.75">
      <c r="A6" s="7" t="s">
        <v>407</v>
      </c>
      <c r="B6" s="8"/>
      <c r="C6" s="8"/>
      <c r="D6" s="8"/>
      <c r="E6" s="8"/>
      <c r="F6" s="8"/>
      <c r="G6" s="8"/>
      <c r="H6" s="8"/>
      <c r="I6" s="9"/>
      <c r="J6" s="9"/>
      <c r="K6" s="10"/>
    </row>
    <row r="7" spans="1:11" ht="21.75">
      <c r="A7" s="24" t="s">
        <v>576</v>
      </c>
      <c r="B7" s="12"/>
      <c r="C7" s="12"/>
      <c r="D7" s="12"/>
      <c r="E7" s="12"/>
      <c r="F7" s="12"/>
      <c r="G7" s="12"/>
      <c r="H7" s="12"/>
      <c r="I7" s="13"/>
      <c r="J7" s="13"/>
      <c r="K7" s="14"/>
    </row>
    <row r="8" spans="1:11" ht="93.75" customHeight="1">
      <c r="A8" s="228" t="s">
        <v>577</v>
      </c>
      <c r="B8" s="40">
        <v>30107</v>
      </c>
      <c r="C8" s="40">
        <v>30107</v>
      </c>
      <c r="D8" s="40">
        <v>30107</v>
      </c>
      <c r="E8" s="40">
        <v>30107</v>
      </c>
      <c r="F8" s="40">
        <f>30107*5</f>
        <v>150535</v>
      </c>
      <c r="G8" s="40"/>
      <c r="H8" s="40">
        <f>SUM(B8:G8)</f>
        <v>270963</v>
      </c>
      <c r="I8" s="132" t="s">
        <v>326</v>
      </c>
      <c r="J8" s="138" t="s">
        <v>578</v>
      </c>
      <c r="K8" s="276"/>
    </row>
    <row r="9" spans="1:11" ht="21.75">
      <c r="A9" s="24" t="s">
        <v>579</v>
      </c>
      <c r="B9" s="57"/>
      <c r="C9" s="57"/>
      <c r="D9" s="40"/>
      <c r="E9" s="40"/>
      <c r="F9" s="40"/>
      <c r="G9" s="40"/>
      <c r="H9" s="40"/>
      <c r="I9" s="132"/>
      <c r="J9" s="138"/>
      <c r="K9" s="276"/>
    </row>
    <row r="10" spans="1:11" ht="87">
      <c r="A10" s="228" t="s">
        <v>580</v>
      </c>
      <c r="B10" s="40"/>
      <c r="C10" s="12"/>
      <c r="D10" s="301"/>
      <c r="E10" s="301"/>
      <c r="F10" s="301"/>
      <c r="G10" s="312">
        <v>8000000</v>
      </c>
      <c r="H10" s="40">
        <f>SUM(B10:G10)</f>
        <v>8000000</v>
      </c>
      <c r="I10" s="132" t="s">
        <v>326</v>
      </c>
      <c r="J10" s="138" t="s">
        <v>101</v>
      </c>
      <c r="K10" s="160"/>
    </row>
    <row r="11" spans="1:11" ht="21.75">
      <c r="A11" s="24" t="s">
        <v>581</v>
      </c>
      <c r="B11" s="40"/>
      <c r="C11" s="12"/>
      <c r="D11" s="301"/>
      <c r="E11" s="301"/>
      <c r="F11" s="301"/>
      <c r="G11" s="312"/>
      <c r="H11" s="40"/>
      <c r="I11" s="132"/>
      <c r="J11" s="138"/>
      <c r="K11" s="160"/>
    </row>
    <row r="12" spans="1:13" ht="54" customHeight="1">
      <c r="A12" s="228" t="s">
        <v>409</v>
      </c>
      <c r="B12" s="143"/>
      <c r="C12" s="143"/>
      <c r="D12" s="143"/>
      <c r="E12" s="143"/>
      <c r="F12" s="143"/>
      <c r="G12" s="143">
        <v>640200</v>
      </c>
      <c r="H12" s="40">
        <f>SUM(B12:G12)</f>
        <v>640200</v>
      </c>
      <c r="I12" s="132" t="s">
        <v>326</v>
      </c>
      <c r="J12" s="259" t="s">
        <v>180</v>
      </c>
      <c r="K12" s="160"/>
      <c r="M12" s="30"/>
    </row>
    <row r="13" spans="1:11" ht="65.25">
      <c r="A13" s="228" t="s">
        <v>582</v>
      </c>
      <c r="B13" s="70">
        <f>52250/10</f>
        <v>5225</v>
      </c>
      <c r="C13" s="70">
        <f>52250/10</f>
        <v>5225</v>
      </c>
      <c r="D13" s="70">
        <f>52250/10</f>
        <v>5225</v>
      </c>
      <c r="E13" s="70">
        <f>52250/10</f>
        <v>5225</v>
      </c>
      <c r="F13" s="17">
        <v>31350</v>
      </c>
      <c r="G13" s="104"/>
      <c r="H13" s="40">
        <f>SUM(B13:G13)</f>
        <v>52250</v>
      </c>
      <c r="I13" s="132" t="s">
        <v>326</v>
      </c>
      <c r="J13" s="112" t="s">
        <v>583</v>
      </c>
      <c r="K13" s="16"/>
    </row>
    <row r="14" spans="1:11" ht="24.75" customHeight="1">
      <c r="A14" s="41"/>
      <c r="B14" s="70"/>
      <c r="C14" s="17"/>
      <c r="D14" s="17"/>
      <c r="E14" s="26"/>
      <c r="F14" s="603"/>
      <c r="G14" s="26"/>
      <c r="H14" s="40"/>
      <c r="I14" s="15"/>
      <c r="J14" s="58"/>
      <c r="K14" s="16"/>
    </row>
    <row r="15" spans="1:11" ht="22.5" thickBot="1">
      <c r="A15" s="19" t="s">
        <v>2</v>
      </c>
      <c r="B15" s="86">
        <f aca="true" t="shared" si="0" ref="B15:H15">SUM(B8:B14)</f>
        <v>35332</v>
      </c>
      <c r="C15" s="86">
        <f t="shared" si="0"/>
        <v>35332</v>
      </c>
      <c r="D15" s="86">
        <f t="shared" si="0"/>
        <v>35332</v>
      </c>
      <c r="E15" s="86">
        <f t="shared" si="0"/>
        <v>35332</v>
      </c>
      <c r="F15" s="86">
        <f t="shared" si="0"/>
        <v>181885</v>
      </c>
      <c r="G15" s="86">
        <f t="shared" si="0"/>
        <v>8640200</v>
      </c>
      <c r="H15" s="86">
        <f t="shared" si="0"/>
        <v>8963413</v>
      </c>
      <c r="I15" s="21"/>
      <c r="J15" s="21"/>
      <c r="K15" s="21"/>
    </row>
    <row r="16" ht="22.5" thickTop="1"/>
    <row r="17" spans="6:10" ht="21.75">
      <c r="F17" s="30"/>
      <c r="G17" s="1"/>
      <c r="J17" s="22"/>
    </row>
    <row r="18" spans="3:7" ht="21.75">
      <c r="C18" s="2"/>
      <c r="D18" s="1"/>
      <c r="E18" s="1"/>
      <c r="F18" s="1"/>
      <c r="G18" s="1"/>
    </row>
    <row r="19" ht="21.75">
      <c r="C19" s="2"/>
    </row>
    <row r="20" ht="21.75">
      <c r="C20" s="2"/>
    </row>
    <row r="21" ht="21.75">
      <c r="C21" s="2"/>
    </row>
    <row r="22" ht="21.75">
      <c r="C22" s="2"/>
    </row>
    <row r="33" ht="21.75">
      <c r="K33" s="71"/>
    </row>
  </sheetData>
  <sheetProtection/>
  <mergeCells count="9">
    <mergeCell ref="A1:K1"/>
    <mergeCell ref="A2:K2"/>
    <mergeCell ref="A4:A5"/>
    <mergeCell ref="B4:E4"/>
    <mergeCell ref="G4:G5"/>
    <mergeCell ref="H4:H5"/>
    <mergeCell ref="I4:I5"/>
    <mergeCell ref="J4:J5"/>
    <mergeCell ref="K4:K5"/>
  </mergeCells>
  <printOptions horizontalCentered="1" verticalCentered="1"/>
  <pageMargins left="0.47244094488189" right="0.354330708661417" top="0.62992125984252" bottom="0.511811023622047" header="0.669291338582677" footer="0.15748031496063"/>
  <pageSetup horizontalDpi="600" verticalDpi="600" orientation="landscape" paperSize="9" scale="85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K79"/>
  <sheetViews>
    <sheetView showGridLines="0" zoomScalePageLayoutView="0" workbookViewId="0" topLeftCell="A31">
      <selection activeCell="F13" sqref="F13"/>
    </sheetView>
  </sheetViews>
  <sheetFormatPr defaultColWidth="9.140625" defaultRowHeight="21.75"/>
  <cols>
    <col min="1" max="1" width="58.421875" style="0" customWidth="1"/>
    <col min="2" max="2" width="13.00390625" style="0" customWidth="1"/>
    <col min="3" max="3" width="11.421875" style="0" customWidth="1"/>
    <col min="4" max="4" width="8.421875" style="0" customWidth="1"/>
    <col min="5" max="5" width="9.00390625" style="0" customWidth="1"/>
    <col min="6" max="6" width="12.28125" style="0" customWidth="1"/>
    <col min="7" max="7" width="16.421875" style="0" customWidth="1"/>
    <col min="8" max="8" width="14.28125" style="0" customWidth="1"/>
    <col min="9" max="9" width="17.421875" style="0" customWidth="1"/>
    <col min="10" max="10" width="14.57421875" style="0" customWidth="1"/>
    <col min="11" max="11" width="12.28125" style="0" customWidth="1"/>
  </cols>
  <sheetData>
    <row r="1" spans="1:11" ht="23.25">
      <c r="A1" s="840" t="s">
        <v>0</v>
      </c>
      <c r="B1" s="840"/>
      <c r="C1" s="840"/>
      <c r="D1" s="840"/>
      <c r="E1" s="840"/>
      <c r="F1" s="840"/>
      <c r="G1" s="840"/>
      <c r="H1" s="840"/>
      <c r="I1" s="840"/>
      <c r="J1" s="840"/>
      <c r="K1" s="840"/>
    </row>
    <row r="2" spans="1:11" ht="23.25">
      <c r="A2" s="841" t="s">
        <v>513</v>
      </c>
      <c r="B2" s="840"/>
      <c r="C2" s="840"/>
      <c r="D2" s="840"/>
      <c r="E2" s="840"/>
      <c r="F2" s="840"/>
      <c r="G2" s="840"/>
      <c r="H2" s="840"/>
      <c r="I2" s="840"/>
      <c r="J2" s="840"/>
      <c r="K2" s="840"/>
    </row>
    <row r="3" ht="21.75" customHeight="1"/>
    <row r="4" spans="1:11" ht="30" customHeight="1">
      <c r="A4" s="842" t="s">
        <v>1</v>
      </c>
      <c r="B4" s="845" t="s">
        <v>13</v>
      </c>
      <c r="C4" s="846"/>
      <c r="D4" s="846"/>
      <c r="E4" s="846"/>
      <c r="F4" s="847"/>
      <c r="G4" s="848" t="s">
        <v>117</v>
      </c>
      <c r="H4" s="857" t="s">
        <v>4</v>
      </c>
      <c r="I4" s="842" t="s">
        <v>6</v>
      </c>
      <c r="J4" s="857" t="s">
        <v>7</v>
      </c>
      <c r="K4" s="857" t="s">
        <v>36</v>
      </c>
    </row>
    <row r="5" spans="1:11" ht="42">
      <c r="A5" s="844"/>
      <c r="B5" s="23" t="s">
        <v>8</v>
      </c>
      <c r="C5" s="23" t="s">
        <v>9</v>
      </c>
      <c r="D5" s="23" t="s">
        <v>236</v>
      </c>
      <c r="E5" s="23" t="s">
        <v>10</v>
      </c>
      <c r="F5" s="135" t="s">
        <v>41</v>
      </c>
      <c r="G5" s="856"/>
      <c r="H5" s="858"/>
      <c r="I5" s="844"/>
      <c r="J5" s="858"/>
      <c r="K5" s="858"/>
    </row>
    <row r="6" spans="1:11" ht="21.75">
      <c r="A6" s="7" t="s">
        <v>35</v>
      </c>
      <c r="B6" s="8"/>
      <c r="C6" s="8"/>
      <c r="D6" s="8"/>
      <c r="E6" s="8"/>
      <c r="F6" s="56"/>
      <c r="G6" s="8"/>
      <c r="H6" s="8"/>
      <c r="I6" s="9"/>
      <c r="J6" s="9"/>
      <c r="K6" s="10"/>
    </row>
    <row r="7" spans="1:11" ht="21.75">
      <c r="A7" s="127" t="s">
        <v>292</v>
      </c>
      <c r="B7" s="207"/>
      <c r="C7" s="207"/>
      <c r="D7" s="207"/>
      <c r="E7" s="207"/>
      <c r="F7" s="208"/>
      <c r="G7" s="209"/>
      <c r="H7" s="209"/>
      <c r="I7" s="139"/>
      <c r="J7" s="206"/>
      <c r="K7" s="15"/>
    </row>
    <row r="8" spans="1:11" ht="108.75">
      <c r="A8" s="139" t="s">
        <v>293</v>
      </c>
      <c r="B8" s="207"/>
      <c r="C8" s="207"/>
      <c r="D8" s="207"/>
      <c r="E8" s="207"/>
      <c r="F8" s="208"/>
      <c r="G8" s="209">
        <v>774596.71</v>
      </c>
      <c r="H8" s="209">
        <f>SUM(B8:G8)</f>
        <v>774596.71</v>
      </c>
      <c r="I8" s="219" t="s">
        <v>158</v>
      </c>
      <c r="J8" s="210" t="s">
        <v>101</v>
      </c>
      <c r="K8" s="15"/>
    </row>
    <row r="9" spans="1:11" ht="21.75">
      <c r="A9" s="127" t="s">
        <v>348</v>
      </c>
      <c r="B9" s="207"/>
      <c r="C9" s="207"/>
      <c r="D9" s="207"/>
      <c r="E9" s="207"/>
      <c r="F9" s="208"/>
      <c r="G9" s="209"/>
      <c r="H9" s="209"/>
      <c r="I9" s="130"/>
      <c r="J9" s="210"/>
      <c r="K9" s="18"/>
    </row>
    <row r="10" spans="1:11" ht="152.25">
      <c r="A10" s="601" t="s">
        <v>705</v>
      </c>
      <c r="B10" s="314">
        <v>1978988</v>
      </c>
      <c r="C10" s="400"/>
      <c r="D10" s="400"/>
      <c r="E10" s="400"/>
      <c r="F10" s="399"/>
      <c r="G10" s="314"/>
      <c r="H10" s="314">
        <f>SUM(B10:G10)</f>
        <v>1978988</v>
      </c>
      <c r="I10" s="315" t="s">
        <v>291</v>
      </c>
      <c r="J10" s="602" t="s">
        <v>228</v>
      </c>
      <c r="K10" s="18"/>
    </row>
    <row r="11" spans="1:11" ht="108.75">
      <c r="A11" s="156" t="s">
        <v>716</v>
      </c>
      <c r="B11" s="142"/>
      <c r="C11" s="143">
        <v>700678</v>
      </c>
      <c r="D11" s="144"/>
      <c r="E11" s="144"/>
      <c r="F11" s="143"/>
      <c r="G11" s="144"/>
      <c r="H11" s="314">
        <f>SUM(B11:G11)</f>
        <v>700678</v>
      </c>
      <c r="I11" s="315" t="s">
        <v>291</v>
      </c>
      <c r="J11" s="573" t="s">
        <v>55</v>
      </c>
      <c r="K11" s="585"/>
    </row>
    <row r="12" spans="1:11" ht="21.75">
      <c r="A12" s="127" t="s">
        <v>706</v>
      </c>
      <c r="B12" s="209"/>
      <c r="C12" s="207"/>
      <c r="D12" s="207"/>
      <c r="E12" s="207"/>
      <c r="F12" s="208"/>
      <c r="G12" s="209"/>
      <c r="H12" s="209"/>
      <c r="I12" s="130"/>
      <c r="J12" s="210"/>
      <c r="K12" s="14"/>
    </row>
    <row r="13" spans="1:11" ht="43.5">
      <c r="A13" s="139" t="s">
        <v>707</v>
      </c>
      <c r="B13" s="209"/>
      <c r="C13" s="207"/>
      <c r="D13" s="207"/>
      <c r="E13" s="207"/>
      <c r="F13" s="209">
        <v>80600</v>
      </c>
      <c r="G13" s="209"/>
      <c r="H13" s="209">
        <f>SUM(B13:G13)</f>
        <v>80600</v>
      </c>
      <c r="I13" s="219" t="s">
        <v>158</v>
      </c>
      <c r="J13" s="573" t="s">
        <v>55</v>
      </c>
      <c r="K13" s="14"/>
    </row>
    <row r="14" spans="1:11" ht="21.75">
      <c r="A14" s="127" t="s">
        <v>169</v>
      </c>
      <c r="B14" s="207"/>
      <c r="C14" s="207"/>
      <c r="D14" s="207"/>
      <c r="E14" s="207"/>
      <c r="F14" s="208"/>
      <c r="G14" s="209"/>
      <c r="H14" s="209"/>
      <c r="I14" s="122"/>
      <c r="J14" s="210"/>
      <c r="K14" s="18"/>
    </row>
    <row r="15" spans="1:11" ht="43.5">
      <c r="A15" s="129" t="s">
        <v>451</v>
      </c>
      <c r="B15" s="207"/>
      <c r="C15" s="207"/>
      <c r="D15" s="207"/>
      <c r="E15" s="207"/>
      <c r="F15" s="208"/>
      <c r="G15" s="209">
        <v>31593246.85</v>
      </c>
      <c r="H15" s="209">
        <f>SUM(B15:G15)</f>
        <v>31593246.85</v>
      </c>
      <c r="I15" s="346" t="s">
        <v>43</v>
      </c>
      <c r="J15" s="210" t="s">
        <v>101</v>
      </c>
      <c r="K15" s="15"/>
    </row>
    <row r="16" spans="1:11" ht="21.75">
      <c r="A16" s="131" t="s">
        <v>136</v>
      </c>
      <c r="B16" s="12"/>
      <c r="C16" s="12"/>
      <c r="D16" s="12"/>
      <c r="E16" s="12"/>
      <c r="F16" s="57"/>
      <c r="G16" s="12"/>
      <c r="H16" s="209"/>
      <c r="I16" s="346"/>
      <c r="J16" s="210"/>
      <c r="K16" s="14"/>
    </row>
    <row r="17" spans="1:11" ht="43.5">
      <c r="A17" s="139" t="s">
        <v>293</v>
      </c>
      <c r="B17" s="57"/>
      <c r="C17" s="12"/>
      <c r="D17" s="12"/>
      <c r="E17" s="12"/>
      <c r="F17" s="57"/>
      <c r="G17" s="40">
        <f>1466375.25+339745.12</f>
        <v>1806120.37</v>
      </c>
      <c r="H17" s="209">
        <f>SUM(B17:G17)</f>
        <v>1806120.37</v>
      </c>
      <c r="I17" s="346" t="s">
        <v>43</v>
      </c>
      <c r="J17" s="210" t="s">
        <v>101</v>
      </c>
      <c r="K17" s="14"/>
    </row>
    <row r="18" spans="1:11" ht="21.75">
      <c r="A18" s="129" t="s">
        <v>276</v>
      </c>
      <c r="B18" s="12"/>
      <c r="C18" s="12"/>
      <c r="D18" s="12"/>
      <c r="E18" s="12"/>
      <c r="F18" s="57"/>
      <c r="G18" s="347">
        <f>475549.2</f>
        <v>475549.2</v>
      </c>
      <c r="H18" s="57">
        <f>SUM(B18:G18)</f>
        <v>475549.2</v>
      </c>
      <c r="I18" s="346" t="s">
        <v>43</v>
      </c>
      <c r="J18" s="210" t="s">
        <v>101</v>
      </c>
      <c r="K18" s="78"/>
    </row>
    <row r="19" spans="1:11" ht="43.5">
      <c r="A19" s="129" t="s">
        <v>349</v>
      </c>
      <c r="B19" s="12"/>
      <c r="C19" s="12"/>
      <c r="D19" s="12"/>
      <c r="E19" s="12"/>
      <c r="F19" s="57"/>
      <c r="G19" s="143">
        <v>3073892.58</v>
      </c>
      <c r="H19" s="40">
        <f>SUM(B19:G19)</f>
        <v>3073892.58</v>
      </c>
      <c r="I19" s="346" t="s">
        <v>43</v>
      </c>
      <c r="J19" s="210" t="s">
        <v>101</v>
      </c>
      <c r="K19" s="15"/>
    </row>
    <row r="20" spans="1:11" ht="21.75">
      <c r="A20" s="234" t="s">
        <v>717</v>
      </c>
      <c r="B20" s="12"/>
      <c r="C20" s="12"/>
      <c r="D20" s="12"/>
      <c r="E20" s="12"/>
      <c r="F20" s="57"/>
      <c r="G20" s="12"/>
      <c r="H20" s="40"/>
      <c r="I20" s="130"/>
      <c r="J20" s="13"/>
      <c r="K20" s="14"/>
    </row>
    <row r="21" spans="1:11" ht="65.25">
      <c r="A21" s="129" t="s">
        <v>718</v>
      </c>
      <c r="B21" s="12"/>
      <c r="C21" s="12"/>
      <c r="D21" s="12"/>
      <c r="E21" s="12"/>
      <c r="F21" s="57"/>
      <c r="G21" s="40">
        <v>1301600</v>
      </c>
      <c r="H21" s="40">
        <f>SUM(B21:G21)</f>
        <v>1301600</v>
      </c>
      <c r="I21" s="130" t="s">
        <v>719</v>
      </c>
      <c r="J21" s="13"/>
      <c r="K21" s="14"/>
    </row>
    <row r="22" spans="1:11" ht="21.75">
      <c r="A22" s="129" t="s">
        <v>720</v>
      </c>
      <c r="B22" s="12"/>
      <c r="C22" s="12"/>
      <c r="D22" s="12"/>
      <c r="E22" s="12"/>
      <c r="F22" s="57"/>
      <c r="G22" s="57">
        <v>43265.69</v>
      </c>
      <c r="H22" s="40">
        <f>SUM(B22:G22)</f>
        <v>43265.69</v>
      </c>
      <c r="I22" s="130" t="s">
        <v>719</v>
      </c>
      <c r="J22" s="13"/>
      <c r="K22" s="14"/>
    </row>
    <row r="23" spans="1:11" ht="21.75">
      <c r="A23" s="129" t="s">
        <v>721</v>
      </c>
      <c r="B23" s="12"/>
      <c r="C23" s="12"/>
      <c r="D23" s="12"/>
      <c r="E23" s="12"/>
      <c r="F23" s="57"/>
      <c r="G23" s="57">
        <v>21335.85</v>
      </c>
      <c r="H23" s="40">
        <f>SUM(B23:G23)</f>
        <v>21335.85</v>
      </c>
      <c r="I23" s="130" t="s">
        <v>719</v>
      </c>
      <c r="J23" s="13"/>
      <c r="K23" s="14"/>
    </row>
    <row r="24" spans="1:11" ht="21.75">
      <c r="A24" s="129" t="s">
        <v>724</v>
      </c>
      <c r="B24" s="12"/>
      <c r="C24" s="12"/>
      <c r="D24" s="12"/>
      <c r="E24" s="12"/>
      <c r="F24" s="57"/>
      <c r="G24" s="57">
        <v>17494.71</v>
      </c>
      <c r="H24" s="40">
        <f>SUM(B24:G24)</f>
        <v>17494.71</v>
      </c>
      <c r="I24" s="130" t="s">
        <v>719</v>
      </c>
      <c r="J24" s="13"/>
      <c r="K24" s="14"/>
    </row>
    <row r="25" spans="1:11" ht="21.75">
      <c r="A25" s="129" t="s">
        <v>722</v>
      </c>
      <c r="B25" s="12"/>
      <c r="C25" s="12"/>
      <c r="D25" s="12"/>
      <c r="E25" s="12"/>
      <c r="F25" s="57"/>
      <c r="G25" s="57">
        <v>843504.75</v>
      </c>
      <c r="H25" s="40">
        <f>SUM(B25:G25)</f>
        <v>843504.75</v>
      </c>
      <c r="I25" s="130" t="s">
        <v>723</v>
      </c>
      <c r="J25" s="635"/>
      <c r="K25" s="14"/>
    </row>
    <row r="26" spans="1:11" ht="21.75">
      <c r="A26" s="127" t="s">
        <v>399</v>
      </c>
      <c r="B26" s="12"/>
      <c r="C26" s="12"/>
      <c r="D26" s="12"/>
      <c r="E26" s="12"/>
      <c r="F26" s="57"/>
      <c r="G26" s="57"/>
      <c r="H26" s="12"/>
      <c r="I26" s="13"/>
      <c r="J26" s="13"/>
      <c r="K26" s="14"/>
    </row>
    <row r="27" spans="1:11" ht="43.5">
      <c r="A27" s="129" t="s">
        <v>725</v>
      </c>
      <c r="B27" s="12"/>
      <c r="C27" s="12"/>
      <c r="D27" s="12"/>
      <c r="E27" s="12"/>
      <c r="F27" s="40"/>
      <c r="G27" s="57">
        <v>135879.35</v>
      </c>
      <c r="H27" s="40">
        <f>SUM(B27:G27)</f>
        <v>135879.35</v>
      </c>
      <c r="I27" s="444" t="s">
        <v>158</v>
      </c>
      <c r="J27" s="132" t="s">
        <v>180</v>
      </c>
      <c r="K27" s="14"/>
    </row>
    <row r="28" spans="1:11" ht="43.5">
      <c r="A28" s="129" t="s">
        <v>726</v>
      </c>
      <c r="B28" s="12"/>
      <c r="C28" s="12"/>
      <c r="D28" s="12"/>
      <c r="E28" s="12"/>
      <c r="F28" s="57"/>
      <c r="G28" s="40">
        <v>235702.65</v>
      </c>
      <c r="H28" s="40">
        <f>SUM(B28:G28)</f>
        <v>235702.65</v>
      </c>
      <c r="I28" s="219" t="s">
        <v>158</v>
      </c>
      <c r="J28" s="132" t="s">
        <v>180</v>
      </c>
      <c r="K28" s="14"/>
    </row>
    <row r="29" spans="1:11" ht="21.75">
      <c r="A29" s="127" t="s">
        <v>727</v>
      </c>
      <c r="B29" s="12"/>
      <c r="C29" s="12"/>
      <c r="D29" s="12"/>
      <c r="E29" s="12"/>
      <c r="F29" s="57"/>
      <c r="G29" s="57"/>
      <c r="H29" s="57"/>
      <c r="I29" s="130"/>
      <c r="J29" s="132"/>
      <c r="K29" s="14"/>
    </row>
    <row r="30" spans="1:11" ht="43.5">
      <c r="A30" s="129" t="s">
        <v>728</v>
      </c>
      <c r="B30" s="12"/>
      <c r="C30" s="12"/>
      <c r="D30" s="12"/>
      <c r="E30" s="12"/>
      <c r="F30" s="57"/>
      <c r="G30" s="40">
        <v>3876879.4</v>
      </c>
      <c r="H30" s="40">
        <f>SUM(B30:G30)</f>
        <v>3876879.4</v>
      </c>
      <c r="I30" s="130" t="s">
        <v>290</v>
      </c>
      <c r="J30" s="132" t="s">
        <v>1027</v>
      </c>
      <c r="K30" s="14"/>
    </row>
    <row r="31" spans="1:11" ht="43.5">
      <c r="A31" s="129" t="s">
        <v>729</v>
      </c>
      <c r="B31" s="12"/>
      <c r="C31" s="12"/>
      <c r="D31" s="12"/>
      <c r="E31" s="12"/>
      <c r="F31" s="57"/>
      <c r="G31" s="40">
        <v>775440</v>
      </c>
      <c r="H31" s="40">
        <f>SUM(B31:G31)</f>
        <v>775440</v>
      </c>
      <c r="I31" s="130" t="s">
        <v>290</v>
      </c>
      <c r="J31" s="132" t="s">
        <v>1027</v>
      </c>
      <c r="K31" s="14"/>
    </row>
    <row r="32" spans="1:11" ht="21.75">
      <c r="A32" s="127" t="s">
        <v>400</v>
      </c>
      <c r="B32" s="207"/>
      <c r="C32" s="223"/>
      <c r="D32" s="207"/>
      <c r="E32" s="207"/>
      <c r="F32" s="208"/>
      <c r="G32" s="209"/>
      <c r="H32" s="443"/>
      <c r="I32" s="444"/>
      <c r="J32" s="132" t="s">
        <v>1027</v>
      </c>
      <c r="K32" s="15"/>
    </row>
    <row r="33" spans="1:11" ht="43.5">
      <c r="A33" s="452" t="s">
        <v>401</v>
      </c>
      <c r="B33" s="207"/>
      <c r="C33" s="223"/>
      <c r="D33" s="207"/>
      <c r="E33" s="207"/>
      <c r="F33" s="208"/>
      <c r="G33" s="209">
        <v>3949761.76</v>
      </c>
      <c r="H33" s="443">
        <f>SUM(B33:G33)</f>
        <v>3949761.76</v>
      </c>
      <c r="I33" s="444" t="s">
        <v>158</v>
      </c>
      <c r="J33" s="132" t="s">
        <v>1027</v>
      </c>
      <c r="K33" s="15"/>
    </row>
    <row r="34" spans="1:11" ht="43.5">
      <c r="A34" s="139" t="s">
        <v>402</v>
      </c>
      <c r="B34" s="207"/>
      <c r="C34" s="223"/>
      <c r="D34" s="207"/>
      <c r="E34" s="207"/>
      <c r="F34" s="208"/>
      <c r="G34" s="209">
        <v>566058.89</v>
      </c>
      <c r="H34" s="209">
        <f>SUM(B34:G34)</f>
        <v>566058.89</v>
      </c>
      <c r="I34" s="219" t="s">
        <v>158</v>
      </c>
      <c r="J34" s="132" t="s">
        <v>1027</v>
      </c>
      <c r="K34" s="636"/>
    </row>
    <row r="35" spans="1:11" ht="21.75">
      <c r="A35" s="127" t="s">
        <v>171</v>
      </c>
      <c r="B35" s="12"/>
      <c r="C35" s="12"/>
      <c r="D35" s="12"/>
      <c r="E35" s="12"/>
      <c r="F35" s="57"/>
      <c r="G35" s="57"/>
      <c r="H35" s="57"/>
      <c r="I35" s="130"/>
      <c r="J35" s="349"/>
      <c r="K35" s="15"/>
    </row>
    <row r="36" spans="1:11" ht="43.5">
      <c r="A36" s="129" t="s">
        <v>454</v>
      </c>
      <c r="B36" s="12"/>
      <c r="C36" s="12"/>
      <c r="D36" s="12"/>
      <c r="E36" s="12"/>
      <c r="F36" s="57"/>
      <c r="G36" s="40">
        <v>1337640</v>
      </c>
      <c r="H36" s="40">
        <f>SUM(B36:G36)</f>
        <v>1337640</v>
      </c>
      <c r="I36" s="130" t="s">
        <v>43</v>
      </c>
      <c r="J36" s="349" t="s">
        <v>101</v>
      </c>
      <c r="K36" s="15"/>
    </row>
    <row r="37" spans="1:11" ht="21.75">
      <c r="A37" s="129" t="s">
        <v>453</v>
      </c>
      <c r="B37" s="12"/>
      <c r="C37" s="12"/>
      <c r="D37" s="12"/>
      <c r="E37" s="12"/>
      <c r="F37" s="57"/>
      <c r="G37" s="57">
        <v>118962.78</v>
      </c>
      <c r="H37" s="57">
        <f>SUM(B37:G37)</f>
        <v>118962.78</v>
      </c>
      <c r="I37" s="130" t="s">
        <v>43</v>
      </c>
      <c r="J37" s="349" t="s">
        <v>101</v>
      </c>
      <c r="K37" s="15"/>
    </row>
    <row r="38" spans="1:11" ht="40.5" customHeight="1">
      <c r="A38" s="129" t="s">
        <v>452</v>
      </c>
      <c r="B38" s="12"/>
      <c r="C38" s="12"/>
      <c r="D38" s="12"/>
      <c r="E38" s="12"/>
      <c r="F38" s="57"/>
      <c r="G38" s="40">
        <v>493138.39</v>
      </c>
      <c r="H38" s="40">
        <f>SUM(B38:G38)</f>
        <v>493138.39</v>
      </c>
      <c r="I38" s="130" t="s">
        <v>43</v>
      </c>
      <c r="J38" s="210" t="s">
        <v>101</v>
      </c>
      <c r="K38" s="15"/>
    </row>
    <row r="39" spans="1:11" ht="22.5" thickBot="1">
      <c r="A39" s="123" t="s">
        <v>2</v>
      </c>
      <c r="B39" s="59">
        <f aca="true" t="shared" si="0" ref="B39:H39">SUM(B8:B38)</f>
        <v>1978988</v>
      </c>
      <c r="C39" s="59">
        <f t="shared" si="0"/>
        <v>700678</v>
      </c>
      <c r="D39" s="59">
        <f t="shared" si="0"/>
        <v>0</v>
      </c>
      <c r="E39" s="59">
        <f t="shared" si="0"/>
        <v>0</v>
      </c>
      <c r="F39" s="59">
        <f t="shared" si="0"/>
        <v>80600</v>
      </c>
      <c r="G39" s="59">
        <f t="shared" si="0"/>
        <v>51440069.93</v>
      </c>
      <c r="H39" s="59">
        <f t="shared" si="0"/>
        <v>54200335.93</v>
      </c>
      <c r="I39" s="21"/>
      <c r="J39" s="21"/>
      <c r="K39" s="21"/>
    </row>
    <row r="40" spans="1:11" ht="22.5" thickTop="1">
      <c r="A40" s="60"/>
      <c r="B40" s="61"/>
      <c r="C40" s="36"/>
      <c r="D40" s="36"/>
      <c r="E40" s="36"/>
      <c r="F40" s="36"/>
      <c r="G40" s="36"/>
      <c r="H40" s="36"/>
      <c r="I40" s="36"/>
      <c r="J40" s="36"/>
      <c r="K40" s="36"/>
    </row>
    <row r="41" spans="6:8" ht="21.75">
      <c r="F41" s="458"/>
      <c r="G41" s="30"/>
      <c r="H41" s="30"/>
    </row>
    <row r="42" spans="6:7" ht="21.75">
      <c r="F42" s="1"/>
      <c r="G42" s="30"/>
    </row>
    <row r="43" ht="21.75">
      <c r="H43" s="1"/>
    </row>
    <row r="45" ht="21.75">
      <c r="F45" s="30"/>
    </row>
    <row r="53" ht="21.75">
      <c r="I53" s="99"/>
    </row>
    <row r="54" ht="21.75">
      <c r="I54" s="99"/>
    </row>
    <row r="55" ht="21.75">
      <c r="I55" s="99"/>
    </row>
    <row r="56" ht="21.75">
      <c r="I56" s="99"/>
    </row>
    <row r="57" ht="21.75">
      <c r="I57" s="99"/>
    </row>
    <row r="58" ht="21.75">
      <c r="I58" s="99"/>
    </row>
    <row r="59" ht="21.75">
      <c r="I59" s="99"/>
    </row>
    <row r="60" ht="21.75">
      <c r="I60" s="99"/>
    </row>
    <row r="61" ht="21.75">
      <c r="I61" s="99"/>
    </row>
    <row r="62" ht="21.75">
      <c r="I62" s="99"/>
    </row>
    <row r="63" ht="21.75">
      <c r="I63" s="99"/>
    </row>
    <row r="64" ht="21.75">
      <c r="I64" s="99"/>
    </row>
    <row r="65" ht="21.75">
      <c r="I65" s="99"/>
    </row>
    <row r="66" ht="21.75">
      <c r="I66" s="99"/>
    </row>
    <row r="67" ht="21.75">
      <c r="I67" s="99"/>
    </row>
    <row r="68" ht="21.75">
      <c r="I68" s="99"/>
    </row>
    <row r="69" ht="21.75">
      <c r="I69" s="99"/>
    </row>
    <row r="70" ht="21.75">
      <c r="I70" s="99"/>
    </row>
    <row r="71" ht="21.75">
      <c r="I71" s="99"/>
    </row>
    <row r="73" ht="21.75">
      <c r="I73" s="1"/>
    </row>
    <row r="75" ht="21.75">
      <c r="I75" s="99"/>
    </row>
    <row r="77" ht="21.75">
      <c r="I77" s="30"/>
    </row>
    <row r="79" ht="21.75">
      <c r="G79">
        <v>0</v>
      </c>
    </row>
  </sheetData>
  <sheetProtection/>
  <mergeCells count="9">
    <mergeCell ref="A1:K1"/>
    <mergeCell ref="H4:H5"/>
    <mergeCell ref="I4:I5"/>
    <mergeCell ref="J4:J5"/>
    <mergeCell ref="K4:K5"/>
    <mergeCell ref="A4:A5"/>
    <mergeCell ref="B4:F4"/>
    <mergeCell ref="G4:G5"/>
    <mergeCell ref="A2:K2"/>
  </mergeCells>
  <printOptions horizontalCentered="1"/>
  <pageMargins left="0.354330708661417" right="0.261811024" top="0.78740157480315" bottom="0.196850393700787" header="0.984251968503937" footer="0.15748031496063"/>
  <pageSetup horizontalDpi="600" verticalDpi="600" orientation="landscape" paperSize="9" scale="70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5"/>
  </sheetPr>
  <dimension ref="A1:O27"/>
  <sheetViews>
    <sheetView showGridLines="0" zoomScalePageLayoutView="0" workbookViewId="0" topLeftCell="A1">
      <pane xSplit="1" ySplit="5" topLeftCell="B15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G12" sqref="G12"/>
    </sheetView>
  </sheetViews>
  <sheetFormatPr defaultColWidth="9.140625" defaultRowHeight="21.75"/>
  <cols>
    <col min="1" max="1" width="55.7109375" style="0" customWidth="1"/>
    <col min="2" max="2" width="14.57421875" style="0" bestFit="1" customWidth="1"/>
    <col min="3" max="3" width="10.28125" style="0" customWidth="1"/>
    <col min="4" max="4" width="14.57421875" style="0" bestFit="1" customWidth="1"/>
    <col min="5" max="5" width="9.28125" style="0" customWidth="1"/>
    <col min="6" max="6" width="13.57421875" style="0" customWidth="1"/>
    <col min="7" max="7" width="14.140625" style="0" customWidth="1"/>
    <col min="8" max="8" width="15.00390625" style="0" customWidth="1"/>
    <col min="9" max="9" width="12.421875" style="0" customWidth="1"/>
    <col min="10" max="10" width="12.00390625" style="0" customWidth="1"/>
    <col min="11" max="11" width="17.57421875" style="0" customWidth="1"/>
  </cols>
  <sheetData>
    <row r="1" spans="1:11" ht="23.25">
      <c r="A1" s="840" t="s">
        <v>0</v>
      </c>
      <c r="B1" s="840"/>
      <c r="C1" s="840"/>
      <c r="D1" s="840"/>
      <c r="E1" s="840"/>
      <c r="F1" s="840"/>
      <c r="G1" s="840"/>
      <c r="H1" s="840"/>
      <c r="I1" s="840"/>
      <c r="J1" s="840"/>
      <c r="K1" s="840"/>
    </row>
    <row r="2" spans="1:15" ht="24">
      <c r="A2" s="841" t="s">
        <v>512</v>
      </c>
      <c r="B2" s="840"/>
      <c r="C2" s="840"/>
      <c r="D2" s="840"/>
      <c r="E2" s="840"/>
      <c r="F2" s="840"/>
      <c r="G2" s="840"/>
      <c r="H2" s="840"/>
      <c r="I2" s="840"/>
      <c r="J2" s="840"/>
      <c r="K2" s="840"/>
      <c r="L2" s="62"/>
      <c r="M2" s="62"/>
      <c r="N2" s="62"/>
      <c r="O2" s="62"/>
    </row>
    <row r="3" spans="2:11" ht="21.75" customHeight="1"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21.75" customHeight="1">
      <c r="A4" s="842" t="s">
        <v>1</v>
      </c>
      <c r="B4" s="845" t="s">
        <v>13</v>
      </c>
      <c r="C4" s="846"/>
      <c r="D4" s="846"/>
      <c r="E4" s="846"/>
      <c r="F4" s="268"/>
      <c r="G4" s="848" t="s">
        <v>117</v>
      </c>
      <c r="H4" s="848" t="s">
        <v>14</v>
      </c>
      <c r="I4" s="842" t="s">
        <v>6</v>
      </c>
      <c r="J4" s="857" t="s">
        <v>7</v>
      </c>
      <c r="K4" s="857" t="s">
        <v>36</v>
      </c>
    </row>
    <row r="5" spans="1:11" ht="42" customHeight="1">
      <c r="A5" s="844"/>
      <c r="B5" s="23" t="s">
        <v>8</v>
      </c>
      <c r="C5" s="23" t="s">
        <v>9</v>
      </c>
      <c r="D5" s="23" t="s">
        <v>236</v>
      </c>
      <c r="E5" s="23" t="s">
        <v>10</v>
      </c>
      <c r="F5" s="313" t="s">
        <v>41</v>
      </c>
      <c r="G5" s="856"/>
      <c r="H5" s="856"/>
      <c r="I5" s="844"/>
      <c r="J5" s="858"/>
      <c r="K5" s="858"/>
    </row>
    <row r="6" spans="1:11" ht="21.75">
      <c r="A6" s="7" t="s">
        <v>131</v>
      </c>
      <c r="B6" s="56"/>
      <c r="C6" s="56"/>
      <c r="D6" s="56"/>
      <c r="E6" s="56"/>
      <c r="F6" s="56"/>
      <c r="G6" s="56"/>
      <c r="H6" s="56"/>
      <c r="I6" s="9"/>
      <c r="J6" s="9"/>
      <c r="K6" s="10"/>
    </row>
    <row r="7" spans="1:11" ht="21.75">
      <c r="A7" s="127" t="s">
        <v>152</v>
      </c>
      <c r="B7" s="57"/>
      <c r="C7" s="57"/>
      <c r="D7" s="57"/>
      <c r="E7" s="57"/>
      <c r="F7" s="57"/>
      <c r="G7" s="57"/>
      <c r="H7" s="57"/>
      <c r="I7" s="13"/>
      <c r="J7" s="13"/>
      <c r="K7" s="14"/>
    </row>
    <row r="8" spans="1:11" ht="65.25">
      <c r="A8" s="139" t="s">
        <v>710</v>
      </c>
      <c r="B8" s="402">
        <v>171359185</v>
      </c>
      <c r="C8" s="63"/>
      <c r="D8" s="63"/>
      <c r="E8" s="63"/>
      <c r="F8" s="63"/>
      <c r="G8" s="63"/>
      <c r="H8" s="29">
        <f>SUM(B8:G8)</f>
        <v>171359185</v>
      </c>
      <c r="I8" s="346" t="s">
        <v>272</v>
      </c>
      <c r="J8" s="573" t="s">
        <v>153</v>
      </c>
      <c r="K8" s="149" t="s">
        <v>344</v>
      </c>
    </row>
    <row r="9" spans="1:11" ht="65.25">
      <c r="A9" s="139" t="s">
        <v>711</v>
      </c>
      <c r="B9" s="29"/>
      <c r="C9" s="29"/>
      <c r="D9" s="403">
        <v>632356916</v>
      </c>
      <c r="E9" s="29"/>
      <c r="F9" s="29"/>
      <c r="G9" s="29"/>
      <c r="H9" s="29">
        <f>SUM(B9:G9)</f>
        <v>632356916</v>
      </c>
      <c r="I9" s="346" t="s">
        <v>272</v>
      </c>
      <c r="J9" s="573" t="s">
        <v>153</v>
      </c>
      <c r="K9" s="149" t="s">
        <v>345</v>
      </c>
    </row>
    <row r="10" spans="1:11" ht="21.75">
      <c r="A10" s="127" t="s">
        <v>596</v>
      </c>
      <c r="B10" s="29"/>
      <c r="C10" s="29"/>
      <c r="D10" s="403"/>
      <c r="E10" s="29"/>
      <c r="F10" s="29"/>
      <c r="G10" s="29"/>
      <c r="H10" s="29"/>
      <c r="I10" s="384"/>
      <c r="J10" s="163"/>
      <c r="K10" s="385"/>
    </row>
    <row r="11" spans="1:11" ht="21.75">
      <c r="A11" s="139" t="s">
        <v>597</v>
      </c>
      <c r="B11" s="29"/>
      <c r="C11" s="29"/>
      <c r="D11" s="403"/>
      <c r="E11" s="29"/>
      <c r="F11" s="29"/>
      <c r="G11" s="147">
        <v>4696901.48</v>
      </c>
      <c r="H11" s="147">
        <f aca="true" t="shared" si="0" ref="H11:H16">SUM(B11:G11)</f>
        <v>4696901.48</v>
      </c>
      <c r="I11" s="384" t="s">
        <v>598</v>
      </c>
      <c r="J11" s="163" t="s">
        <v>411</v>
      </c>
      <c r="K11" s="385"/>
    </row>
    <row r="12" spans="1:11" ht="21.75">
      <c r="A12" s="139" t="s">
        <v>713</v>
      </c>
      <c r="B12" s="29"/>
      <c r="C12" s="29"/>
      <c r="D12" s="403"/>
      <c r="E12" s="29"/>
      <c r="F12" s="29"/>
      <c r="G12" s="147">
        <v>205545.83</v>
      </c>
      <c r="H12" s="147">
        <f t="shared" si="0"/>
        <v>205545.83</v>
      </c>
      <c r="I12" s="384" t="s">
        <v>598</v>
      </c>
      <c r="J12" s="163" t="s">
        <v>411</v>
      </c>
      <c r="K12" s="385"/>
    </row>
    <row r="13" spans="1:11" ht="43.5">
      <c r="A13" s="139" t="s">
        <v>599</v>
      </c>
      <c r="B13" s="29"/>
      <c r="C13" s="29"/>
      <c r="D13" s="403"/>
      <c r="E13" s="29"/>
      <c r="F13" s="29"/>
      <c r="G13" s="147">
        <v>523439.07</v>
      </c>
      <c r="H13" s="147">
        <f t="shared" si="0"/>
        <v>523439.07</v>
      </c>
      <c r="I13" s="346" t="s">
        <v>598</v>
      </c>
      <c r="J13" s="163" t="s">
        <v>411</v>
      </c>
      <c r="K13" s="385"/>
    </row>
    <row r="14" spans="1:11" ht="43.5">
      <c r="A14" s="156" t="s">
        <v>708</v>
      </c>
      <c r="B14" s="147"/>
      <c r="C14" s="147"/>
      <c r="D14" s="272"/>
      <c r="E14" s="147"/>
      <c r="F14" s="147">
        <v>40589</v>
      </c>
      <c r="G14" s="147"/>
      <c r="H14" s="147">
        <f t="shared" si="0"/>
        <v>40589</v>
      </c>
      <c r="I14" s="346" t="s">
        <v>598</v>
      </c>
      <c r="J14" s="163" t="s">
        <v>412</v>
      </c>
      <c r="K14" s="580" t="s">
        <v>709</v>
      </c>
    </row>
    <row r="15" spans="1:11" ht="44.25" customHeight="1">
      <c r="A15" s="156" t="s">
        <v>714</v>
      </c>
      <c r="B15" s="147"/>
      <c r="C15" s="147"/>
      <c r="D15" s="272"/>
      <c r="E15" s="147"/>
      <c r="F15" s="147">
        <v>34847</v>
      </c>
      <c r="G15" s="147"/>
      <c r="H15" s="147">
        <f t="shared" si="0"/>
        <v>34847</v>
      </c>
      <c r="I15" s="346" t="s">
        <v>598</v>
      </c>
      <c r="J15" s="163" t="s">
        <v>412</v>
      </c>
      <c r="K15" s="580" t="s">
        <v>709</v>
      </c>
    </row>
    <row r="16" spans="1:11" ht="43.5">
      <c r="A16" s="156" t="s">
        <v>715</v>
      </c>
      <c r="B16" s="147"/>
      <c r="C16" s="147"/>
      <c r="D16" s="272"/>
      <c r="E16" s="147"/>
      <c r="F16" s="147">
        <v>98855</v>
      </c>
      <c r="G16" s="147"/>
      <c r="H16" s="147">
        <f t="shared" si="0"/>
        <v>98855</v>
      </c>
      <c r="I16" s="346" t="s">
        <v>598</v>
      </c>
      <c r="J16" s="163" t="s">
        <v>412</v>
      </c>
      <c r="K16" s="580" t="s">
        <v>709</v>
      </c>
    </row>
    <row r="17" spans="1:11" ht="21.75">
      <c r="A17" s="139"/>
      <c r="B17" s="29"/>
      <c r="C17" s="29"/>
      <c r="D17" s="403"/>
      <c r="E17" s="29"/>
      <c r="F17" s="29"/>
      <c r="G17" s="29"/>
      <c r="H17" s="29"/>
      <c r="I17" s="574"/>
      <c r="J17" s="163"/>
      <c r="K17" s="163"/>
    </row>
    <row r="18" spans="1:11" ht="22.5" thickBot="1">
      <c r="A18" s="19" t="s">
        <v>2</v>
      </c>
      <c r="B18" s="59">
        <f aca="true" t="shared" si="1" ref="B18:H18">SUM(B8:B17)</f>
        <v>171359185</v>
      </c>
      <c r="C18" s="59">
        <f t="shared" si="1"/>
        <v>0</v>
      </c>
      <c r="D18" s="59">
        <f t="shared" si="1"/>
        <v>632356916</v>
      </c>
      <c r="E18" s="59">
        <f t="shared" si="1"/>
        <v>0</v>
      </c>
      <c r="F18" s="59">
        <f t="shared" si="1"/>
        <v>174291</v>
      </c>
      <c r="G18" s="59">
        <f t="shared" si="1"/>
        <v>5425886.380000001</v>
      </c>
      <c r="H18" s="59">
        <f t="shared" si="1"/>
        <v>809316278.3800001</v>
      </c>
      <c r="I18" s="21"/>
      <c r="J18" s="21"/>
      <c r="K18" s="21"/>
    </row>
    <row r="19" spans="1:11" ht="22.5" thickTop="1">
      <c r="A19" s="36"/>
      <c r="B19" s="43"/>
      <c r="C19" s="36"/>
      <c r="D19" s="36"/>
      <c r="E19" s="36"/>
      <c r="F19" s="36"/>
      <c r="G19" s="36"/>
      <c r="H19" s="36"/>
      <c r="I19" s="36"/>
      <c r="J19" s="36"/>
      <c r="K19" s="36"/>
    </row>
    <row r="20" spans="1:10" ht="21.75">
      <c r="A20" s="37"/>
      <c r="G20" s="30"/>
      <c r="J20" s="55"/>
    </row>
    <row r="21" spans="6:7" ht="21.75">
      <c r="F21" s="30"/>
      <c r="G21" s="30"/>
    </row>
    <row r="22" spans="6:9" ht="21.75">
      <c r="F22" s="30"/>
      <c r="G22" s="30"/>
      <c r="H22" s="30"/>
      <c r="I22" s="30"/>
    </row>
    <row r="27" spans="1:11" ht="43.5">
      <c r="A27" s="578" t="s">
        <v>686</v>
      </c>
      <c r="B27" s="579"/>
      <c r="C27" s="579"/>
      <c r="D27" s="579"/>
      <c r="E27" s="579"/>
      <c r="F27" s="579">
        <v>130000</v>
      </c>
      <c r="G27" s="582"/>
      <c r="H27" s="582">
        <f>SUM(B27:G27)</f>
        <v>130000</v>
      </c>
      <c r="I27" s="583" t="s">
        <v>687</v>
      </c>
      <c r="J27" s="584" t="s">
        <v>55</v>
      </c>
      <c r="K27" s="163"/>
    </row>
  </sheetData>
  <sheetProtection/>
  <mergeCells count="9">
    <mergeCell ref="A1:K1"/>
    <mergeCell ref="H4:H5"/>
    <mergeCell ref="I4:I5"/>
    <mergeCell ref="J4:J5"/>
    <mergeCell ref="K4:K5"/>
    <mergeCell ref="A4:A5"/>
    <mergeCell ref="A2:K2"/>
    <mergeCell ref="B4:E4"/>
    <mergeCell ref="G4:G5"/>
  </mergeCells>
  <printOptions horizontalCentered="1" verticalCentered="1"/>
  <pageMargins left="0.183070866" right="0" top="0.708661417322835" bottom="0.748031496062992" header="0.78740157480315" footer="0.15748031496063"/>
  <pageSetup horizontalDpi="600" verticalDpi="6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O28"/>
  <sheetViews>
    <sheetView showGridLines="0" zoomScalePageLayoutView="0" workbookViewId="0" topLeftCell="A1">
      <pane xSplit="1" ySplit="5" topLeftCell="B24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E25" sqref="E25"/>
    </sheetView>
  </sheetViews>
  <sheetFormatPr defaultColWidth="9.140625" defaultRowHeight="21.75"/>
  <cols>
    <col min="1" max="1" width="50.00390625" style="0" customWidth="1"/>
    <col min="2" max="2" width="14.00390625" style="0" bestFit="1" customWidth="1"/>
    <col min="3" max="3" width="13.140625" style="0" customWidth="1"/>
    <col min="4" max="4" width="13.57421875" style="0" customWidth="1"/>
    <col min="5" max="5" width="11.7109375" style="0" customWidth="1"/>
    <col min="6" max="6" width="14.28125" style="0" customWidth="1"/>
    <col min="7" max="7" width="14.140625" style="0" customWidth="1"/>
    <col min="8" max="8" width="15.00390625" style="0" customWidth="1"/>
    <col min="9" max="9" width="17.8515625" style="0" customWidth="1"/>
    <col min="10" max="10" width="12.00390625" style="0" customWidth="1"/>
    <col min="11" max="11" width="15.28125" style="0" customWidth="1"/>
  </cols>
  <sheetData>
    <row r="1" spans="1:11" ht="23.25">
      <c r="A1" s="840" t="s">
        <v>0</v>
      </c>
      <c r="B1" s="840"/>
      <c r="C1" s="840"/>
      <c r="D1" s="840"/>
      <c r="E1" s="840"/>
      <c r="F1" s="840"/>
      <c r="G1" s="840"/>
      <c r="H1" s="840"/>
      <c r="I1" s="840"/>
      <c r="J1" s="840"/>
      <c r="K1" s="840"/>
    </row>
    <row r="2" spans="1:15" ht="24">
      <c r="A2" s="841" t="s">
        <v>512</v>
      </c>
      <c r="B2" s="840"/>
      <c r="C2" s="840"/>
      <c r="D2" s="840"/>
      <c r="E2" s="840"/>
      <c r="F2" s="840"/>
      <c r="G2" s="840"/>
      <c r="H2" s="840"/>
      <c r="I2" s="840"/>
      <c r="J2" s="840"/>
      <c r="K2" s="840"/>
      <c r="L2" s="62"/>
      <c r="M2" s="62"/>
      <c r="N2" s="62"/>
      <c r="O2" s="62"/>
    </row>
    <row r="3" spans="2:11" ht="21.75" customHeight="1"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21.75" customHeight="1">
      <c r="A4" s="842" t="s">
        <v>1</v>
      </c>
      <c r="B4" s="845" t="s">
        <v>13</v>
      </c>
      <c r="C4" s="846"/>
      <c r="D4" s="846"/>
      <c r="E4" s="846"/>
      <c r="F4" s="268"/>
      <c r="G4" s="848" t="s">
        <v>117</v>
      </c>
      <c r="H4" s="848" t="s">
        <v>14</v>
      </c>
      <c r="I4" s="842" t="s">
        <v>6</v>
      </c>
      <c r="J4" s="857" t="s">
        <v>7</v>
      </c>
      <c r="K4" s="857" t="s">
        <v>36</v>
      </c>
    </row>
    <row r="5" spans="1:11" ht="42" customHeight="1">
      <c r="A5" s="844"/>
      <c r="B5" s="23" t="s">
        <v>8</v>
      </c>
      <c r="C5" s="23" t="s">
        <v>9</v>
      </c>
      <c r="D5" s="23" t="s">
        <v>236</v>
      </c>
      <c r="E5" s="23" t="s">
        <v>10</v>
      </c>
      <c r="F5" s="97" t="s">
        <v>41</v>
      </c>
      <c r="G5" s="856"/>
      <c r="H5" s="856"/>
      <c r="I5" s="844"/>
      <c r="J5" s="858"/>
      <c r="K5" s="858"/>
    </row>
    <row r="6" spans="1:11" ht="21.75">
      <c r="A6" s="7" t="s">
        <v>294</v>
      </c>
      <c r="B6" s="56"/>
      <c r="C6" s="56"/>
      <c r="D6" s="56"/>
      <c r="E6" s="56"/>
      <c r="F6" s="56"/>
      <c r="G6" s="56"/>
      <c r="H6" s="56"/>
      <c r="I6" s="9"/>
      <c r="J6" s="9"/>
      <c r="K6" s="10"/>
    </row>
    <row r="7" spans="1:11" ht="21.75">
      <c r="A7" s="127" t="s">
        <v>296</v>
      </c>
      <c r="B7" s="57"/>
      <c r="C7" s="57"/>
      <c r="D7" s="57"/>
      <c r="E7" s="57"/>
      <c r="F7" s="57"/>
      <c r="G7" s="57"/>
      <c r="H7" s="57"/>
      <c r="I7" s="13"/>
      <c r="J7" s="13"/>
      <c r="K7" s="14"/>
    </row>
    <row r="8" spans="1:11" ht="43.5">
      <c r="A8" s="139" t="s">
        <v>584</v>
      </c>
      <c r="B8" s="57"/>
      <c r="C8" s="40"/>
      <c r="D8" s="40"/>
      <c r="E8" s="40"/>
      <c r="F8" s="40"/>
      <c r="G8" s="40">
        <v>3395280</v>
      </c>
      <c r="H8" s="40">
        <f>SUM(B8:G8)</f>
        <v>3395280</v>
      </c>
      <c r="I8" s="316" t="s">
        <v>297</v>
      </c>
      <c r="J8" s="349" t="s">
        <v>170</v>
      </c>
      <c r="K8" s="14"/>
    </row>
    <row r="9" spans="1:11" ht="87">
      <c r="A9" s="139" t="s">
        <v>447</v>
      </c>
      <c r="B9" s="29"/>
      <c r="C9" s="64"/>
      <c r="D9" s="64"/>
      <c r="E9" s="64"/>
      <c r="F9" s="64"/>
      <c r="G9" s="64">
        <f>159916.5</f>
        <v>159916.5</v>
      </c>
      <c r="H9" s="29">
        <f>SUM(B9:G9)</f>
        <v>159916.5</v>
      </c>
      <c r="I9" s="39" t="s">
        <v>43</v>
      </c>
      <c r="J9" s="349" t="s">
        <v>101</v>
      </c>
      <c r="K9" s="350"/>
    </row>
    <row r="10" spans="1:11" ht="21.75">
      <c r="A10" s="274" t="s">
        <v>231</v>
      </c>
      <c r="B10" s="340"/>
      <c r="C10" s="341"/>
      <c r="D10" s="341"/>
      <c r="E10" s="341"/>
      <c r="F10" s="341"/>
      <c r="G10" s="341"/>
      <c r="H10" s="29"/>
      <c r="I10" s="329"/>
      <c r="J10" s="342"/>
      <c r="K10" s="343"/>
    </row>
    <row r="11" spans="1:11" ht="65.25">
      <c r="A11" s="139" t="s">
        <v>419</v>
      </c>
      <c r="B11" s="29"/>
      <c r="C11" s="64"/>
      <c r="D11" s="64"/>
      <c r="E11" s="64"/>
      <c r="F11" s="64"/>
      <c r="G11" s="64">
        <v>1166980</v>
      </c>
      <c r="H11" s="29">
        <f>SUM(B11:G11)</f>
        <v>1166980</v>
      </c>
      <c r="I11" s="139" t="s">
        <v>420</v>
      </c>
      <c r="J11" s="349" t="s">
        <v>101</v>
      </c>
      <c r="K11" s="350"/>
    </row>
    <row r="12" spans="1:11" ht="87">
      <c r="A12" s="139" t="s">
        <v>421</v>
      </c>
      <c r="B12" s="29"/>
      <c r="C12" s="64"/>
      <c r="D12" s="64"/>
      <c r="E12" s="64"/>
      <c r="F12" s="64"/>
      <c r="G12" s="64">
        <f>2069296.32</f>
        <v>2069296.32</v>
      </c>
      <c r="H12" s="29">
        <f>SUM(B12:G12)</f>
        <v>2069296.32</v>
      </c>
      <c r="I12" s="139" t="s">
        <v>420</v>
      </c>
      <c r="J12" s="349" t="s">
        <v>101</v>
      </c>
      <c r="K12" s="350"/>
    </row>
    <row r="13" spans="1:11" ht="21.75">
      <c r="A13" s="274" t="s">
        <v>422</v>
      </c>
      <c r="B13" s="29"/>
      <c r="C13" s="64"/>
      <c r="D13" s="64"/>
      <c r="E13" s="64"/>
      <c r="F13" s="64"/>
      <c r="G13" s="64"/>
      <c r="H13" s="29"/>
      <c r="I13" s="139"/>
      <c r="J13" s="349"/>
      <c r="K13" s="350"/>
    </row>
    <row r="14" spans="1:11" ht="43.5">
      <c r="A14" s="139" t="s">
        <v>423</v>
      </c>
      <c r="B14" s="29"/>
      <c r="C14" s="64"/>
      <c r="D14" s="64"/>
      <c r="E14" s="64"/>
      <c r="F14" s="64"/>
      <c r="G14" s="184">
        <f>18000*34.75</f>
        <v>625500</v>
      </c>
      <c r="H14" s="147">
        <f>SUM(B14:G14)</f>
        <v>625500</v>
      </c>
      <c r="I14" s="139" t="s">
        <v>420</v>
      </c>
      <c r="J14" s="349" t="s">
        <v>170</v>
      </c>
      <c r="K14" s="350"/>
    </row>
    <row r="15" spans="1:11" ht="21.75">
      <c r="A15" s="156" t="s">
        <v>424</v>
      </c>
      <c r="B15" s="147"/>
      <c r="C15" s="184"/>
      <c r="D15" s="184"/>
      <c r="E15" s="184"/>
      <c r="F15" s="184"/>
      <c r="G15" s="184"/>
      <c r="H15" s="147">
        <f>SUM(B15:G15)</f>
        <v>0</v>
      </c>
      <c r="I15" s="156" t="s">
        <v>32</v>
      </c>
      <c r="J15" s="216" t="s">
        <v>446</v>
      </c>
      <c r="K15" s="350"/>
    </row>
    <row r="16" spans="1:11" ht="65.25">
      <c r="A16" s="139" t="s">
        <v>425</v>
      </c>
      <c r="B16" s="29"/>
      <c r="C16" s="64"/>
      <c r="D16" s="64"/>
      <c r="E16" s="64"/>
      <c r="F16" s="64"/>
      <c r="G16" s="184">
        <v>46500</v>
      </c>
      <c r="H16" s="147">
        <f>SUM(B16:G16)</f>
        <v>46500</v>
      </c>
      <c r="I16" s="139" t="s">
        <v>420</v>
      </c>
      <c r="J16" s="349" t="s">
        <v>170</v>
      </c>
      <c r="K16" s="350"/>
    </row>
    <row r="17" spans="1:11" ht="43.5">
      <c r="A17" s="139" t="s">
        <v>585</v>
      </c>
      <c r="B17" s="29"/>
      <c r="C17" s="64"/>
      <c r="D17" s="64"/>
      <c r="E17" s="64"/>
      <c r="F17" s="64"/>
      <c r="G17" s="184">
        <f>2500*39.65</f>
        <v>99125</v>
      </c>
      <c r="H17" s="147">
        <f>SUM(B17:G17)</f>
        <v>99125</v>
      </c>
      <c r="I17" s="139" t="s">
        <v>420</v>
      </c>
      <c r="J17" s="349" t="s">
        <v>170</v>
      </c>
      <c r="K17" s="350"/>
    </row>
    <row r="18" spans="1:11" ht="43.5">
      <c r="A18" s="139" t="s">
        <v>586</v>
      </c>
      <c r="B18" s="29"/>
      <c r="C18" s="64"/>
      <c r="D18" s="64"/>
      <c r="E18" s="64"/>
      <c r="F18" s="64"/>
      <c r="G18" s="64">
        <f>1000*31.009</f>
        <v>31009</v>
      </c>
      <c r="H18" s="29">
        <f>SUM(B18:G18)</f>
        <v>31009</v>
      </c>
      <c r="I18" s="139" t="s">
        <v>420</v>
      </c>
      <c r="J18" s="349" t="s">
        <v>101</v>
      </c>
      <c r="K18" s="350"/>
    </row>
    <row r="19" spans="1:11" ht="21.75">
      <c r="A19" s="274" t="s">
        <v>587</v>
      </c>
      <c r="B19" s="29"/>
      <c r="C19" s="64"/>
      <c r="D19" s="64"/>
      <c r="E19" s="64"/>
      <c r="F19" s="64"/>
      <c r="G19" s="64"/>
      <c r="H19" s="29"/>
      <c r="I19" s="139"/>
      <c r="J19" s="349"/>
      <c r="K19" s="350"/>
    </row>
    <row r="20" spans="1:11" ht="65.25">
      <c r="A20" s="139" t="s">
        <v>588</v>
      </c>
      <c r="B20" s="29">
        <f>29800</f>
        <v>29800</v>
      </c>
      <c r="C20" s="64">
        <f>31570+20090</f>
        <v>51660</v>
      </c>
      <c r="D20" s="64">
        <f>33440+30312</f>
        <v>63752</v>
      </c>
      <c r="E20" s="64">
        <f>33310+19570</f>
        <v>52880</v>
      </c>
      <c r="F20" s="64">
        <v>32017</v>
      </c>
      <c r="G20" s="64"/>
      <c r="H20" s="29">
        <f>SUM(B20:G20)</f>
        <v>230109</v>
      </c>
      <c r="I20" s="139" t="s">
        <v>420</v>
      </c>
      <c r="J20" s="349" t="s">
        <v>437</v>
      </c>
      <c r="K20" s="350"/>
    </row>
    <row r="21" spans="1:11" ht="65.25">
      <c r="A21" s="139" t="s">
        <v>590</v>
      </c>
      <c r="B21" s="29"/>
      <c r="C21" s="64">
        <v>16486</v>
      </c>
      <c r="D21" s="64">
        <v>23669</v>
      </c>
      <c r="E21" s="64">
        <v>15845</v>
      </c>
      <c r="F21" s="64">
        <f>34042+23594+19721+27582</f>
        <v>104939</v>
      </c>
      <c r="G21" s="64"/>
      <c r="H21" s="29">
        <f>SUM(B21:G21)</f>
        <v>160939</v>
      </c>
      <c r="I21" s="139" t="s">
        <v>420</v>
      </c>
      <c r="J21" s="349" t="s">
        <v>591</v>
      </c>
      <c r="K21" s="350" t="s">
        <v>589</v>
      </c>
    </row>
    <row r="22" spans="1:11" ht="65.25">
      <c r="A22" s="139" t="s">
        <v>592</v>
      </c>
      <c r="B22" s="29"/>
      <c r="C22" s="64"/>
      <c r="D22" s="64"/>
      <c r="E22" s="64"/>
      <c r="F22" s="64"/>
      <c r="G22" s="64">
        <v>21691.4</v>
      </c>
      <c r="H22" s="29">
        <f>SUM(B22:G22)</f>
        <v>21691.4</v>
      </c>
      <c r="I22" s="139" t="s">
        <v>420</v>
      </c>
      <c r="J22" s="349" t="s">
        <v>101</v>
      </c>
      <c r="K22" s="350"/>
    </row>
    <row r="23" spans="1:11" ht="65.25">
      <c r="A23" s="139" t="s">
        <v>593</v>
      </c>
      <c r="B23" s="29"/>
      <c r="C23" s="64"/>
      <c r="D23" s="64"/>
      <c r="E23" s="64"/>
      <c r="F23" s="64"/>
      <c r="G23" s="64">
        <v>326006.17</v>
      </c>
      <c r="H23" s="29">
        <f>SUM(B23:G23)</f>
        <v>326006.17</v>
      </c>
      <c r="I23" s="139" t="s">
        <v>420</v>
      </c>
      <c r="J23" s="349" t="s">
        <v>101</v>
      </c>
      <c r="K23" s="350"/>
    </row>
    <row r="24" spans="1:11" ht="21.75">
      <c r="A24" s="235"/>
      <c r="B24" s="340"/>
      <c r="C24" s="341"/>
      <c r="D24" s="341"/>
      <c r="E24" s="341"/>
      <c r="F24" s="341"/>
      <c r="G24" s="341"/>
      <c r="H24" s="29"/>
      <c r="I24" s="139"/>
      <c r="J24" s="342"/>
      <c r="K24" s="343"/>
    </row>
    <row r="25" spans="1:11" ht="22.5" thickBot="1">
      <c r="A25" s="19" t="s">
        <v>2</v>
      </c>
      <c r="B25" s="59">
        <f aca="true" t="shared" si="0" ref="B25:H25">SUM(B7:B24)</f>
        <v>29800</v>
      </c>
      <c r="C25" s="59">
        <f t="shared" si="0"/>
        <v>68146</v>
      </c>
      <c r="D25" s="59">
        <f t="shared" si="0"/>
        <v>87421</v>
      </c>
      <c r="E25" s="59">
        <f t="shared" si="0"/>
        <v>68725</v>
      </c>
      <c r="F25" s="59">
        <f t="shared" si="0"/>
        <v>136956</v>
      </c>
      <c r="G25" s="59">
        <f t="shared" si="0"/>
        <v>7941304.390000001</v>
      </c>
      <c r="H25" s="59">
        <f t="shared" si="0"/>
        <v>8332352.390000001</v>
      </c>
      <c r="I25" s="21"/>
      <c r="J25" s="21"/>
      <c r="K25" s="21"/>
    </row>
    <row r="26" spans="1:11" ht="22.5" thickTop="1">
      <c r="A26" s="36"/>
      <c r="B26" s="43"/>
      <c r="C26" s="36"/>
      <c r="D26" s="36"/>
      <c r="E26" s="36"/>
      <c r="F26" s="36"/>
      <c r="G26" s="36"/>
      <c r="H26" s="36"/>
      <c r="I26" s="36"/>
      <c r="J26" s="36"/>
      <c r="K26" s="36"/>
    </row>
    <row r="27" spans="1:10" ht="21.75">
      <c r="A27" s="37"/>
      <c r="F27" s="30"/>
      <c r="G27" s="30"/>
      <c r="J27" s="55"/>
    </row>
    <row r="28" spans="1:10" ht="21.75">
      <c r="A28" s="37"/>
      <c r="G28" s="30"/>
      <c r="J28" s="55"/>
    </row>
  </sheetData>
  <sheetProtection/>
  <mergeCells count="9">
    <mergeCell ref="A1:K1"/>
    <mergeCell ref="A2:K2"/>
    <mergeCell ref="A4:A5"/>
    <mergeCell ref="B4:E4"/>
    <mergeCell ref="G4:G5"/>
    <mergeCell ref="H4:H5"/>
    <mergeCell ref="I4:I5"/>
    <mergeCell ref="J4:J5"/>
    <mergeCell ref="K4:K5"/>
  </mergeCells>
  <printOptions/>
  <pageMargins left="0.433070866141732" right="0" top="0.852362205" bottom="0.590551181102362" header="0.78740157480315" footer="0.15748031496063"/>
  <pageSetup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84"/>
  <sheetViews>
    <sheetView zoomScalePageLayoutView="0" workbookViewId="0" topLeftCell="A1">
      <pane xSplit="1" ySplit="5" topLeftCell="B8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:IV3"/>
    </sheetView>
  </sheetViews>
  <sheetFormatPr defaultColWidth="9.140625" defaultRowHeight="21.75"/>
  <cols>
    <col min="1" max="1" width="41.57421875" style="88" customWidth="1"/>
    <col min="2" max="2" width="17.140625" style="87" customWidth="1"/>
    <col min="3" max="3" width="16.7109375" style="87" customWidth="1"/>
    <col min="4" max="4" width="16.8515625" style="87" customWidth="1"/>
    <col min="5" max="5" width="17.140625" style="87" customWidth="1"/>
    <col min="6" max="6" width="15.140625" style="87" customWidth="1"/>
    <col min="7" max="8" width="16.8515625" style="87" customWidth="1"/>
    <col min="9" max="9" width="30.28125" style="87" customWidth="1"/>
    <col min="10" max="16384" width="9.140625" style="87" customWidth="1"/>
  </cols>
  <sheetData>
    <row r="1" spans="1:9" ht="21">
      <c r="A1" s="813" t="s">
        <v>83</v>
      </c>
      <c r="B1" s="813"/>
      <c r="C1" s="813"/>
      <c r="D1" s="813"/>
      <c r="E1" s="813"/>
      <c r="F1" s="813"/>
      <c r="G1" s="813"/>
      <c r="H1" s="813"/>
      <c r="I1" s="813"/>
    </row>
    <row r="2" spans="1:9" ht="26.25" customHeight="1">
      <c r="A2" s="814" t="s">
        <v>511</v>
      </c>
      <c r="B2" s="814"/>
      <c r="C2" s="814"/>
      <c r="D2" s="814"/>
      <c r="E2" s="814"/>
      <c r="F2" s="814"/>
      <c r="G2" s="814"/>
      <c r="H2" s="814"/>
      <c r="I2" s="814"/>
    </row>
    <row r="3" spans="1:9" ht="12.75" customHeight="1">
      <c r="A3" s="373"/>
      <c r="B3" s="30"/>
      <c r="C3" s="30"/>
      <c r="D3" s="30"/>
      <c r="E3" s="374"/>
      <c r="F3" s="374"/>
      <c r="G3" s="375"/>
      <c r="H3" s="753"/>
      <c r="I3" s="377"/>
    </row>
    <row r="4" spans="1:9" ht="23.25" customHeight="1">
      <c r="A4" s="815" t="s">
        <v>84</v>
      </c>
      <c r="B4" s="817" t="s">
        <v>85</v>
      </c>
      <c r="C4" s="818"/>
      <c r="D4" s="818"/>
      <c r="E4" s="818"/>
      <c r="F4" s="818"/>
      <c r="G4" s="819"/>
      <c r="H4" s="820" t="s">
        <v>374</v>
      </c>
      <c r="I4" s="815" t="s">
        <v>86</v>
      </c>
    </row>
    <row r="5" spans="1:9" ht="21" customHeight="1">
      <c r="A5" s="816"/>
      <c r="B5" s="378" t="s">
        <v>87</v>
      </c>
      <c r="C5" s="378" t="s">
        <v>88</v>
      </c>
      <c r="D5" s="379" t="s">
        <v>89</v>
      </c>
      <c r="E5" s="380" t="s">
        <v>90</v>
      </c>
      <c r="F5" s="381" t="s">
        <v>91</v>
      </c>
      <c r="G5" s="381" t="s">
        <v>493</v>
      </c>
      <c r="H5" s="821"/>
      <c r="I5" s="821"/>
    </row>
    <row r="6" spans="1:9" ht="21" customHeight="1">
      <c r="A6" s="762" t="s">
        <v>81</v>
      </c>
      <c r="B6" s="179"/>
      <c r="C6" s="180"/>
      <c r="D6" s="187"/>
      <c r="E6" s="179"/>
      <c r="F6" s="179"/>
      <c r="G6" s="178"/>
      <c r="H6" s="179"/>
      <c r="I6" s="323"/>
    </row>
    <row r="7" spans="1:9" ht="21" customHeight="1">
      <c r="A7" s="188" t="s">
        <v>270</v>
      </c>
      <c r="B7" s="179"/>
      <c r="C7" s="180"/>
      <c r="D7" s="181"/>
      <c r="E7" s="179"/>
      <c r="F7" s="179"/>
      <c r="G7" s="178">
        <v>1662699320</v>
      </c>
      <c r="H7" s="179">
        <f>SUM(B7:G7)</f>
        <v>1662699320</v>
      </c>
      <c r="I7" s="425" t="s">
        <v>494</v>
      </c>
    </row>
    <row r="8" spans="1:9" ht="47.25" customHeight="1">
      <c r="A8" s="153" t="s">
        <v>271</v>
      </c>
      <c r="B8" s="180"/>
      <c r="C8" s="179"/>
      <c r="D8" s="179"/>
      <c r="E8" s="179"/>
      <c r="F8" s="179"/>
      <c r="G8" s="184"/>
      <c r="H8" s="184"/>
      <c r="I8" s="181"/>
    </row>
    <row r="9" spans="1:9" ht="28.5" customHeight="1">
      <c r="A9" s="806" t="s">
        <v>272</v>
      </c>
      <c r="B9" s="187">
        <v>6490186</v>
      </c>
      <c r="C9" s="264">
        <v>676993173.22</v>
      </c>
      <c r="D9" s="179"/>
      <c r="E9" s="179"/>
      <c r="F9" s="179"/>
      <c r="G9" s="179"/>
      <c r="H9" s="179">
        <f>SUM(B9:G9)</f>
        <v>683483359.22</v>
      </c>
      <c r="I9" s="324" t="s">
        <v>487</v>
      </c>
    </row>
    <row r="10" spans="1:9" ht="22.5" customHeight="1">
      <c r="A10" s="807"/>
      <c r="B10" s="187">
        <v>8971153.850000001</v>
      </c>
      <c r="C10" s="604">
        <v>123400144.08000001</v>
      </c>
      <c r="D10" s="272">
        <v>13965824.84</v>
      </c>
      <c r="E10" s="184"/>
      <c r="F10" s="179"/>
      <c r="G10" s="179">
        <v>202949.84000000003</v>
      </c>
      <c r="H10" s="179">
        <f aca="true" t="shared" si="0" ref="H10:H72">SUM(B10:G10)</f>
        <v>146540072.61</v>
      </c>
      <c r="I10" s="404" t="s">
        <v>279</v>
      </c>
    </row>
    <row r="11" spans="1:9" ht="22.5" customHeight="1">
      <c r="A11" s="346" t="s">
        <v>143</v>
      </c>
      <c r="B11" s="147">
        <v>183943.56</v>
      </c>
      <c r="C11" s="147">
        <v>183943.56</v>
      </c>
      <c r="D11" s="147">
        <v>183943.56</v>
      </c>
      <c r="E11" s="147">
        <v>91971.82</v>
      </c>
      <c r="F11" s="147"/>
      <c r="G11" s="147">
        <v>91971.82</v>
      </c>
      <c r="H11" s="179">
        <f t="shared" si="0"/>
        <v>735774.3200000001</v>
      </c>
      <c r="I11" s="404" t="s">
        <v>279</v>
      </c>
    </row>
    <row r="12" spans="1:9" ht="21.75">
      <c r="A12" s="152" t="s">
        <v>63</v>
      </c>
      <c r="B12" s="437"/>
      <c r="C12" s="437"/>
      <c r="D12" s="437"/>
      <c r="E12" s="437"/>
      <c r="F12" s="322"/>
      <c r="G12" s="322"/>
      <c r="H12" s="500"/>
      <c r="I12" s="181"/>
    </row>
    <row r="13" spans="1:9" ht="21.75">
      <c r="A13" s="521" t="s">
        <v>93</v>
      </c>
      <c r="B13" s="179">
        <v>220000</v>
      </c>
      <c r="C13" s="179"/>
      <c r="D13" s="179"/>
      <c r="E13" s="179"/>
      <c r="F13" s="179"/>
      <c r="G13" s="179"/>
      <c r="H13" s="179">
        <f t="shared" si="0"/>
        <v>220000</v>
      </c>
      <c r="I13" s="425" t="s">
        <v>494</v>
      </c>
    </row>
    <row r="14" spans="1:9" ht="21.75">
      <c r="A14" s="804" t="s">
        <v>128</v>
      </c>
      <c r="B14" s="179">
        <v>8480000</v>
      </c>
      <c r="C14" s="502"/>
      <c r="D14" s="502"/>
      <c r="E14" s="502"/>
      <c r="F14" s="502"/>
      <c r="G14" s="410"/>
      <c r="H14" s="179">
        <f t="shared" si="0"/>
        <v>8480000</v>
      </c>
      <c r="I14" s="182" t="s">
        <v>150</v>
      </c>
    </row>
    <row r="15" spans="1:9" ht="21.75">
      <c r="A15" s="805"/>
      <c r="B15" s="502"/>
      <c r="C15" s="502"/>
      <c r="D15" s="502"/>
      <c r="E15" s="502"/>
      <c r="F15" s="502"/>
      <c r="G15" s="411">
        <v>2704496</v>
      </c>
      <c r="H15" s="179">
        <f t="shared" si="0"/>
        <v>2704496</v>
      </c>
      <c r="I15" s="425" t="s">
        <v>494</v>
      </c>
    </row>
    <row r="16" spans="1:9" ht="42">
      <c r="A16" s="760" t="s">
        <v>974</v>
      </c>
      <c r="B16" s="183"/>
      <c r="C16" s="183"/>
      <c r="D16" s="412"/>
      <c r="E16" s="412"/>
      <c r="F16" s="413"/>
      <c r="G16" s="183"/>
      <c r="H16" s="179"/>
      <c r="I16" s="181"/>
    </row>
    <row r="17" spans="1:9" ht="21.75">
      <c r="A17" s="216" t="s">
        <v>94</v>
      </c>
      <c r="B17" s="264">
        <v>254700</v>
      </c>
      <c r="C17" s="264"/>
      <c r="D17" s="264"/>
      <c r="E17" s="264"/>
      <c r="F17" s="412"/>
      <c r="G17" s="264">
        <v>338000</v>
      </c>
      <c r="H17" s="179">
        <f t="shared" si="0"/>
        <v>592700</v>
      </c>
      <c r="I17" s="182" t="s">
        <v>495</v>
      </c>
    </row>
    <row r="18" spans="1:9" ht="21.75">
      <c r="A18" s="259" t="s">
        <v>1000</v>
      </c>
      <c r="B18" s="793">
        <v>6369949.16</v>
      </c>
      <c r="C18" s="264">
        <v>1426229.1666666667</v>
      </c>
      <c r="D18" s="264">
        <v>2980574.1666666665</v>
      </c>
      <c r="E18" s="264">
        <v>3742839.1666666665</v>
      </c>
      <c r="F18" s="264">
        <v>508939.1666666667</v>
      </c>
      <c r="G18" s="264">
        <v>10211739.17</v>
      </c>
      <c r="H18" s="179">
        <f t="shared" si="0"/>
        <v>25240269.996666666</v>
      </c>
      <c r="I18" s="182" t="s">
        <v>495</v>
      </c>
    </row>
    <row r="19" spans="1:9" ht="21.75">
      <c r="A19" s="521" t="s">
        <v>93</v>
      </c>
      <c r="B19" s="184">
        <v>12075222.22</v>
      </c>
      <c r="C19" s="179">
        <v>3370002.222222222</v>
      </c>
      <c r="D19" s="179">
        <v>2850424.622222222</v>
      </c>
      <c r="E19" s="179">
        <v>522722.22</v>
      </c>
      <c r="F19" s="179">
        <v>1367617.224</v>
      </c>
      <c r="G19" s="179">
        <v>5766856.88</v>
      </c>
      <c r="H19" s="179">
        <f t="shared" si="0"/>
        <v>25952845.388444442</v>
      </c>
      <c r="I19" s="182" t="s">
        <v>495</v>
      </c>
    </row>
    <row r="20" spans="1:9" ht="21.75">
      <c r="A20" s="521" t="s">
        <v>998</v>
      </c>
      <c r="B20" s="406">
        <v>279400</v>
      </c>
      <c r="C20" s="180">
        <v>833120</v>
      </c>
      <c r="D20" s="180">
        <v>215616</v>
      </c>
      <c r="E20" s="180">
        <v>290000</v>
      </c>
      <c r="F20" s="180"/>
      <c r="G20" s="179">
        <v>4265000</v>
      </c>
      <c r="H20" s="179">
        <f t="shared" si="0"/>
        <v>5883136</v>
      </c>
      <c r="I20" s="182" t="s">
        <v>495</v>
      </c>
    </row>
    <row r="21" spans="1:9" ht="21.75">
      <c r="A21" s="755" t="s">
        <v>997</v>
      </c>
      <c r="B21" s="406">
        <v>2883900</v>
      </c>
      <c r="C21" s="180">
        <v>250000</v>
      </c>
      <c r="D21" s="180">
        <v>944800</v>
      </c>
      <c r="E21" s="180">
        <v>200000</v>
      </c>
      <c r="F21" s="180">
        <v>87545</v>
      </c>
      <c r="G21" s="179">
        <v>1637550</v>
      </c>
      <c r="H21" s="179">
        <f t="shared" si="0"/>
        <v>6003795</v>
      </c>
      <c r="I21" s="182" t="s">
        <v>495</v>
      </c>
    </row>
    <row r="22" spans="1:9" ht="21.75">
      <c r="A22" s="522" t="s">
        <v>102</v>
      </c>
      <c r="B22" s="406">
        <v>10949900</v>
      </c>
      <c r="C22" s="180">
        <v>165000</v>
      </c>
      <c r="D22" s="180">
        <v>1727210</v>
      </c>
      <c r="E22" s="180">
        <v>1423600</v>
      </c>
      <c r="F22" s="180">
        <v>847500</v>
      </c>
      <c r="G22" s="179">
        <v>7936300</v>
      </c>
      <c r="H22" s="179">
        <f t="shared" si="0"/>
        <v>23049510</v>
      </c>
      <c r="I22" s="182" t="s">
        <v>151</v>
      </c>
    </row>
    <row r="23" spans="1:9" ht="21.75">
      <c r="A23" s="423" t="s">
        <v>324</v>
      </c>
      <c r="B23" s="155">
        <v>5743559.25</v>
      </c>
      <c r="C23" s="155">
        <v>1548050.6333333729</v>
      </c>
      <c r="D23" s="155">
        <v>2135842.6333332537</v>
      </c>
      <c r="E23" s="155">
        <v>1366681.6433333373</v>
      </c>
      <c r="F23" s="155">
        <v>1469590.62</v>
      </c>
      <c r="G23" s="184">
        <v>7528546.23</v>
      </c>
      <c r="H23" s="179">
        <f t="shared" si="0"/>
        <v>19792271.009999964</v>
      </c>
      <c r="I23" s="182" t="s">
        <v>495</v>
      </c>
    </row>
    <row r="24" spans="1:9" ht="21.75">
      <c r="A24" s="188" t="s">
        <v>143</v>
      </c>
      <c r="B24" s="262">
        <v>504700</v>
      </c>
      <c r="C24" s="262">
        <v>425074.5</v>
      </c>
      <c r="D24" s="262">
        <v>1052945</v>
      </c>
      <c r="E24" s="262"/>
      <c r="F24" s="262">
        <v>453000</v>
      </c>
      <c r="G24" s="184"/>
      <c r="H24" s="179">
        <f t="shared" si="0"/>
        <v>2435719.5</v>
      </c>
      <c r="I24" s="182" t="s">
        <v>495</v>
      </c>
    </row>
    <row r="25" spans="1:9" ht="21" customHeight="1">
      <c r="A25" s="810" t="s">
        <v>128</v>
      </c>
      <c r="B25" s="327">
        <v>24603963.33</v>
      </c>
      <c r="C25" s="327">
        <v>4940735</v>
      </c>
      <c r="D25" s="327">
        <v>6124953.34</v>
      </c>
      <c r="E25" s="327">
        <v>3202148.33</v>
      </c>
      <c r="F25" s="327">
        <v>1004290</v>
      </c>
      <c r="G25" s="499">
        <v>16935688</v>
      </c>
      <c r="H25" s="179">
        <f t="shared" si="0"/>
        <v>56811778</v>
      </c>
      <c r="I25" s="182" t="s">
        <v>495</v>
      </c>
    </row>
    <row r="26" spans="1:9" ht="21" customHeight="1">
      <c r="A26" s="805"/>
      <c r="B26" s="184"/>
      <c r="C26" s="184"/>
      <c r="D26" s="184"/>
      <c r="E26" s="184"/>
      <c r="F26" s="184"/>
      <c r="G26" s="406">
        <v>3839475.39</v>
      </c>
      <c r="H26" s="179">
        <f t="shared" si="0"/>
        <v>3839475.39</v>
      </c>
      <c r="I26" s="323" t="s">
        <v>496</v>
      </c>
    </row>
    <row r="27" spans="1:9" ht="20.25" customHeight="1">
      <c r="A27" s="761" t="s">
        <v>311</v>
      </c>
      <c r="B27" s="503"/>
      <c r="C27" s="503"/>
      <c r="D27" s="503"/>
      <c r="E27" s="503"/>
      <c r="F27" s="504"/>
      <c r="G27" s="503"/>
      <c r="H27" s="501"/>
      <c r="I27" s="181"/>
    </row>
    <row r="28" spans="1:9" ht="20.25" customHeight="1">
      <c r="A28" s="414" t="s">
        <v>1007</v>
      </c>
      <c r="B28" s="503"/>
      <c r="C28" s="499">
        <v>690000</v>
      </c>
      <c r="D28" s="503"/>
      <c r="E28" s="503"/>
      <c r="F28" s="504"/>
      <c r="G28" s="503"/>
      <c r="H28" s="179">
        <f t="shared" si="0"/>
        <v>690000</v>
      </c>
      <c r="I28" s="182" t="s">
        <v>150</v>
      </c>
    </row>
    <row r="29" spans="1:9" ht="21.75">
      <c r="A29" s="414" t="s">
        <v>128</v>
      </c>
      <c r="B29" s="181"/>
      <c r="C29" s="179"/>
      <c r="D29" s="179"/>
      <c r="E29" s="179"/>
      <c r="F29" s="497"/>
      <c r="G29" s="497">
        <v>22631797.72</v>
      </c>
      <c r="H29" s="179">
        <f t="shared" si="0"/>
        <v>22631797.72</v>
      </c>
      <c r="I29" s="323" t="s">
        <v>496</v>
      </c>
    </row>
    <row r="30" spans="1:9" ht="21" customHeight="1">
      <c r="A30" s="186" t="s">
        <v>64</v>
      </c>
      <c r="B30" s="322"/>
      <c r="C30" s="322"/>
      <c r="D30" s="322"/>
      <c r="E30" s="322"/>
      <c r="F30" s="496"/>
      <c r="G30" s="488"/>
      <c r="H30" s="179"/>
      <c r="I30" s="487"/>
    </row>
    <row r="31" spans="1:9" ht="21" customHeight="1">
      <c r="A31" s="414" t="s">
        <v>128</v>
      </c>
      <c r="B31" s="181"/>
      <c r="C31" s="179"/>
      <c r="D31" s="181"/>
      <c r="E31" s="181"/>
      <c r="F31" s="415"/>
      <c r="G31" s="415">
        <v>48422229.94</v>
      </c>
      <c r="H31" s="179">
        <f t="shared" si="0"/>
        <v>48422229.94</v>
      </c>
      <c r="I31" s="323" t="s">
        <v>496</v>
      </c>
    </row>
    <row r="32" spans="1:9" ht="21.75">
      <c r="A32" s="186" t="s">
        <v>67</v>
      </c>
      <c r="B32" s="181"/>
      <c r="C32" s="181"/>
      <c r="D32" s="181"/>
      <c r="E32" s="181"/>
      <c r="F32" s="181"/>
      <c r="G32" s="409"/>
      <c r="H32" s="179"/>
      <c r="I32" s="323"/>
    </row>
    <row r="33" spans="1:9" ht="21.75">
      <c r="A33" s="597" t="s">
        <v>980</v>
      </c>
      <c r="B33" s="179">
        <v>10727500</v>
      </c>
      <c r="C33" s="179">
        <v>4038600</v>
      </c>
      <c r="D33" s="179">
        <v>5641320</v>
      </c>
      <c r="E33" s="179">
        <v>4386580</v>
      </c>
      <c r="F33" s="179"/>
      <c r="G33" s="181"/>
      <c r="H33" s="179">
        <f t="shared" si="0"/>
        <v>24794000</v>
      </c>
      <c r="I33" s="182" t="s">
        <v>979</v>
      </c>
    </row>
    <row r="34" spans="1:9" ht="21.75">
      <c r="A34" s="414" t="s">
        <v>128</v>
      </c>
      <c r="B34" s="179"/>
      <c r="C34" s="179"/>
      <c r="D34" s="179"/>
      <c r="E34" s="179"/>
      <c r="F34" s="179"/>
      <c r="G34" s="179">
        <v>2599290.14</v>
      </c>
      <c r="H34" s="179">
        <f t="shared" si="0"/>
        <v>2599290.14</v>
      </c>
      <c r="I34" s="323" t="s">
        <v>496</v>
      </c>
    </row>
    <row r="35" spans="1:9" ht="21.75">
      <c r="A35" s="186" t="s">
        <v>95</v>
      </c>
      <c r="B35" s="181"/>
      <c r="C35" s="181"/>
      <c r="D35" s="181"/>
      <c r="E35" s="181"/>
      <c r="F35" s="181"/>
      <c r="G35" s="179"/>
      <c r="H35" s="179"/>
      <c r="I35" s="182"/>
    </row>
    <row r="36" spans="1:9" ht="21" customHeight="1">
      <c r="A36" s="346" t="s">
        <v>132</v>
      </c>
      <c r="B36" s="179">
        <v>1978988</v>
      </c>
      <c r="C36" s="179">
        <v>700678</v>
      </c>
      <c r="D36" s="181"/>
      <c r="E36" s="181"/>
      <c r="F36" s="181"/>
      <c r="G36" s="184"/>
      <c r="H36" s="179">
        <f t="shared" si="0"/>
        <v>2679666</v>
      </c>
      <c r="I36" s="323" t="s">
        <v>225</v>
      </c>
    </row>
    <row r="37" spans="1:9" ht="21" customHeight="1">
      <c r="A37" s="811" t="s">
        <v>478</v>
      </c>
      <c r="B37" s="179"/>
      <c r="C37" s="179"/>
      <c r="D37" s="181"/>
      <c r="E37" s="181"/>
      <c r="F37" s="417"/>
      <c r="G37" s="184">
        <v>80600</v>
      </c>
      <c r="H37" s="179">
        <f t="shared" si="0"/>
        <v>80600</v>
      </c>
      <c r="I37" s="182" t="s">
        <v>497</v>
      </c>
    </row>
    <row r="38" spans="1:9" ht="21" customHeight="1">
      <c r="A38" s="812"/>
      <c r="B38" s="179"/>
      <c r="C38" s="179"/>
      <c r="D38" s="181"/>
      <c r="E38" s="181"/>
      <c r="F38" s="181"/>
      <c r="G38" s="184">
        <v>5661999.36</v>
      </c>
      <c r="H38" s="179">
        <f t="shared" si="0"/>
        <v>5661999.36</v>
      </c>
      <c r="I38" s="323" t="s">
        <v>496</v>
      </c>
    </row>
    <row r="39" spans="1:9" ht="21" customHeight="1">
      <c r="A39" s="346" t="s">
        <v>481</v>
      </c>
      <c r="B39" s="179"/>
      <c r="C39" s="179"/>
      <c r="D39" s="181"/>
      <c r="E39" s="181"/>
      <c r="F39" s="181"/>
      <c r="G39" s="179">
        <v>4652319.4</v>
      </c>
      <c r="H39" s="179">
        <f t="shared" si="0"/>
        <v>4652319.4</v>
      </c>
      <c r="I39" s="323" t="s">
        <v>496</v>
      </c>
    </row>
    <row r="40" spans="1:9" ht="21" customHeight="1">
      <c r="A40" s="346" t="s">
        <v>981</v>
      </c>
      <c r="B40" s="179"/>
      <c r="C40" s="179"/>
      <c r="D40" s="181"/>
      <c r="E40" s="181"/>
      <c r="F40" s="181"/>
      <c r="G40" s="179">
        <v>2227201</v>
      </c>
      <c r="H40" s="179">
        <f t="shared" si="0"/>
        <v>2227201</v>
      </c>
      <c r="I40" s="323" t="s">
        <v>496</v>
      </c>
    </row>
    <row r="41" spans="1:9" ht="20.25" customHeight="1">
      <c r="A41" s="498" t="s">
        <v>160</v>
      </c>
      <c r="B41" s="181"/>
      <c r="C41" s="179"/>
      <c r="D41" s="179"/>
      <c r="E41" s="179"/>
      <c r="F41" s="179"/>
      <c r="G41" s="184">
        <v>38898550.17</v>
      </c>
      <c r="H41" s="179">
        <f t="shared" si="0"/>
        <v>38898550.17</v>
      </c>
      <c r="I41" s="323" t="s">
        <v>496</v>
      </c>
    </row>
    <row r="42" spans="1:9" ht="21" customHeight="1">
      <c r="A42" s="186" t="s">
        <v>70</v>
      </c>
      <c r="B42" s="180"/>
      <c r="C42" s="180"/>
      <c r="D42" s="180"/>
      <c r="E42" s="180"/>
      <c r="F42" s="180"/>
      <c r="G42" s="184"/>
      <c r="H42" s="179"/>
      <c r="I42" s="323"/>
    </row>
    <row r="43" spans="1:9" ht="21" customHeight="1">
      <c r="A43" s="188" t="s">
        <v>96</v>
      </c>
      <c r="B43" s="184">
        <v>1355022.5</v>
      </c>
      <c r="C43" s="184">
        <v>827972.5</v>
      </c>
      <c r="D43" s="184">
        <v>152582.5</v>
      </c>
      <c r="E43" s="184">
        <v>157582.5</v>
      </c>
      <c r="F43" s="756"/>
      <c r="G43" s="184">
        <v>5960</v>
      </c>
      <c r="H43" s="179">
        <f t="shared" si="0"/>
        <v>2499120</v>
      </c>
      <c r="I43" s="182" t="s">
        <v>477</v>
      </c>
    </row>
    <row r="44" spans="1:9" ht="21" customHeight="1">
      <c r="A44" s="186" t="s">
        <v>71</v>
      </c>
      <c r="B44" s="178"/>
      <c r="C44" s="178"/>
      <c r="D44" s="178"/>
      <c r="E44" s="178"/>
      <c r="F44" s="596"/>
      <c r="G44" s="269"/>
      <c r="H44" s="179"/>
      <c r="I44" s="182"/>
    </row>
    <row r="45" spans="1:9" ht="21" customHeight="1">
      <c r="A45" s="259" t="s">
        <v>1000</v>
      </c>
      <c r="B45" s="178"/>
      <c r="C45" s="178"/>
      <c r="D45" s="178">
        <v>20274.75</v>
      </c>
      <c r="E45" s="178"/>
      <c r="F45" s="596"/>
      <c r="G45" s="269"/>
      <c r="H45" s="179">
        <f t="shared" si="0"/>
        <v>20274.75</v>
      </c>
      <c r="I45" s="182" t="s">
        <v>477</v>
      </c>
    </row>
    <row r="46" spans="1:9" ht="20.25" customHeight="1">
      <c r="A46" s="414" t="s">
        <v>160</v>
      </c>
      <c r="B46" s="179"/>
      <c r="C46" s="179"/>
      <c r="D46" s="179"/>
      <c r="E46" s="179"/>
      <c r="F46" s="181"/>
      <c r="G46" s="184">
        <v>76610969.6165</v>
      </c>
      <c r="H46" s="179">
        <f t="shared" si="0"/>
        <v>76610969.6165</v>
      </c>
      <c r="I46" s="323" t="s">
        <v>496</v>
      </c>
    </row>
    <row r="47" spans="1:9" ht="21" customHeight="1">
      <c r="A47" s="416" t="s">
        <v>75</v>
      </c>
      <c r="B47" s="178"/>
      <c r="C47" s="178"/>
      <c r="D47" s="418"/>
      <c r="E47" s="168"/>
      <c r="F47" s="168"/>
      <c r="G47" s="428"/>
      <c r="H47" s="179"/>
      <c r="I47" s="185"/>
    </row>
    <row r="48" spans="1:9" ht="21" customHeight="1">
      <c r="A48" s="216" t="s">
        <v>102</v>
      </c>
      <c r="B48" s="179">
        <v>288296.36</v>
      </c>
      <c r="C48" s="179">
        <v>465948.18</v>
      </c>
      <c r="D48" s="418"/>
      <c r="E48" s="168">
        <v>138296.36</v>
      </c>
      <c r="F48" s="168">
        <v>414889.1</v>
      </c>
      <c r="G48" s="236">
        <v>327505.98</v>
      </c>
      <c r="H48" s="179">
        <f t="shared" si="0"/>
        <v>1634935.98</v>
      </c>
      <c r="I48" s="182" t="s">
        <v>149</v>
      </c>
    </row>
    <row r="49" spans="1:9" ht="21" customHeight="1">
      <c r="A49" s="419" t="s">
        <v>191</v>
      </c>
      <c r="B49" s="179"/>
      <c r="C49" s="179"/>
      <c r="D49" s="418"/>
      <c r="E49" s="168"/>
      <c r="F49" s="168"/>
      <c r="G49" s="168">
        <v>103084601.41</v>
      </c>
      <c r="H49" s="179">
        <f t="shared" si="0"/>
        <v>103084601.41</v>
      </c>
      <c r="I49" s="425" t="s">
        <v>494</v>
      </c>
    </row>
    <row r="50" spans="1:9" ht="21" customHeight="1">
      <c r="A50" s="186" t="s">
        <v>73</v>
      </c>
      <c r="B50" s="179"/>
      <c r="C50" s="179"/>
      <c r="D50" s="418"/>
      <c r="E50" s="168"/>
      <c r="F50" s="168"/>
      <c r="G50" s="420"/>
      <c r="H50" s="179"/>
      <c r="I50" s="421"/>
    </row>
    <row r="51" spans="1:9" ht="21" customHeight="1">
      <c r="A51" s="188" t="s">
        <v>143</v>
      </c>
      <c r="B51" s="179">
        <v>1922836.16</v>
      </c>
      <c r="C51" s="179">
        <v>3347195.62</v>
      </c>
      <c r="D51" s="418">
        <v>1158091.13</v>
      </c>
      <c r="E51" s="168">
        <v>192368</v>
      </c>
      <c r="F51" s="168"/>
      <c r="G51" s="168">
        <v>388856.03</v>
      </c>
      <c r="H51" s="179">
        <f t="shared" si="0"/>
        <v>7009346.94</v>
      </c>
      <c r="I51" s="182" t="s">
        <v>498</v>
      </c>
    </row>
    <row r="52" spans="1:9" ht="21" customHeight="1">
      <c r="A52" s="419" t="s">
        <v>191</v>
      </c>
      <c r="B52" s="179"/>
      <c r="C52" s="179"/>
      <c r="D52" s="418"/>
      <c r="E52" s="168"/>
      <c r="F52" s="168"/>
      <c r="G52" s="420">
        <v>23054613.354</v>
      </c>
      <c r="H52" s="179">
        <f t="shared" si="0"/>
        <v>23054613.354</v>
      </c>
      <c r="I52" s="323" t="s">
        <v>494</v>
      </c>
    </row>
    <row r="53" spans="1:9" ht="21" customHeight="1">
      <c r="A53" s="189" t="s">
        <v>65</v>
      </c>
      <c r="B53" s="179"/>
      <c r="C53" s="179"/>
      <c r="D53" s="418"/>
      <c r="E53" s="168"/>
      <c r="F53" s="168"/>
      <c r="G53" s="420"/>
      <c r="H53" s="179"/>
      <c r="I53" s="421"/>
    </row>
    <row r="54" spans="1:9" ht="21" customHeight="1">
      <c r="A54" s="188" t="s">
        <v>325</v>
      </c>
      <c r="B54" s="179">
        <v>29800</v>
      </c>
      <c r="C54" s="179">
        <v>68146</v>
      </c>
      <c r="D54" s="418">
        <v>87421</v>
      </c>
      <c r="E54" s="168">
        <v>68725</v>
      </c>
      <c r="F54" s="168"/>
      <c r="G54" s="168">
        <v>136956</v>
      </c>
      <c r="H54" s="179">
        <f t="shared" si="0"/>
        <v>391048</v>
      </c>
      <c r="I54" s="182" t="s">
        <v>499</v>
      </c>
    </row>
    <row r="55" spans="1:9" ht="21" customHeight="1">
      <c r="A55" s="419" t="s">
        <v>191</v>
      </c>
      <c r="B55" s="179"/>
      <c r="C55" s="179"/>
      <c r="D55" s="418"/>
      <c r="E55" s="168"/>
      <c r="F55" s="168"/>
      <c r="G55" s="325">
        <v>7941304.39</v>
      </c>
      <c r="H55" s="179">
        <f t="shared" si="0"/>
        <v>7941304.39</v>
      </c>
      <c r="I55" s="323" t="s">
        <v>494</v>
      </c>
    </row>
    <row r="56" spans="1:9" ht="21.75">
      <c r="A56" s="762" t="s">
        <v>62</v>
      </c>
      <c r="B56" s="179"/>
      <c r="C56" s="179"/>
      <c r="D56" s="187"/>
      <c r="E56" s="168"/>
      <c r="F56" s="168"/>
      <c r="G56" s="422"/>
      <c r="H56" s="179"/>
      <c r="I56" s="426"/>
    </row>
    <row r="57" spans="1:9" ht="21.75">
      <c r="A57" s="419" t="s">
        <v>272</v>
      </c>
      <c r="B57" s="179">
        <v>171359185</v>
      </c>
      <c r="C57" s="179"/>
      <c r="D57" s="187">
        <v>632356916</v>
      </c>
      <c r="E57" s="178"/>
      <c r="F57" s="178"/>
      <c r="G57" s="178">
        <v>174291</v>
      </c>
      <c r="H57" s="179">
        <f t="shared" si="0"/>
        <v>803890392</v>
      </c>
      <c r="I57" s="182" t="s">
        <v>477</v>
      </c>
    </row>
    <row r="58" spans="1:9" ht="21.75">
      <c r="A58" s="419" t="s">
        <v>98</v>
      </c>
      <c r="B58" s="179"/>
      <c r="C58" s="180"/>
      <c r="D58" s="187"/>
      <c r="E58" s="178"/>
      <c r="F58" s="178"/>
      <c r="G58" s="168">
        <v>5425886.380000001</v>
      </c>
      <c r="H58" s="179">
        <f t="shared" si="0"/>
        <v>5425886.380000001</v>
      </c>
      <c r="I58" s="323" t="s">
        <v>494</v>
      </c>
    </row>
    <row r="59" spans="1:9" ht="21.75">
      <c r="A59" s="762" t="s">
        <v>72</v>
      </c>
      <c r="B59" s="179"/>
      <c r="C59" s="180"/>
      <c r="D59" s="187"/>
      <c r="E59" s="179"/>
      <c r="F59" s="179"/>
      <c r="G59" s="422"/>
      <c r="H59" s="179"/>
      <c r="I59" s="323"/>
    </row>
    <row r="60" spans="1:9" ht="21.75">
      <c r="A60" s="806" t="s">
        <v>98</v>
      </c>
      <c r="B60" s="179">
        <v>713502.5</v>
      </c>
      <c r="C60" s="179">
        <v>713502.5</v>
      </c>
      <c r="D60" s="418">
        <v>713502.5</v>
      </c>
      <c r="E60" s="168">
        <v>713502.5</v>
      </c>
      <c r="F60" s="168"/>
      <c r="G60" s="168">
        <v>4994517.5</v>
      </c>
      <c r="H60" s="179">
        <f t="shared" si="0"/>
        <v>7848527.5</v>
      </c>
      <c r="I60" s="421" t="s">
        <v>1005</v>
      </c>
    </row>
    <row r="61" spans="1:9" ht="21.75">
      <c r="A61" s="807"/>
      <c r="B61" s="179"/>
      <c r="C61" s="179"/>
      <c r="D61" s="418"/>
      <c r="E61" s="168"/>
      <c r="F61" s="168"/>
      <c r="G61" s="422">
        <v>926004.1</v>
      </c>
      <c r="H61" s="179">
        <f t="shared" si="0"/>
        <v>926004.1</v>
      </c>
      <c r="I61" s="323" t="s">
        <v>494</v>
      </c>
    </row>
    <row r="62" spans="1:9" ht="21.75">
      <c r="A62" s="762" t="s">
        <v>77</v>
      </c>
      <c r="B62" s="179"/>
      <c r="C62" s="179"/>
      <c r="D62" s="427"/>
      <c r="E62" s="428"/>
      <c r="F62" s="428"/>
      <c r="G62" s="422"/>
      <c r="H62" s="179"/>
      <c r="I62" s="421"/>
    </row>
    <row r="63" spans="1:9" ht="21.75">
      <c r="A63" s="419" t="s">
        <v>98</v>
      </c>
      <c r="B63" s="179"/>
      <c r="C63" s="179"/>
      <c r="D63" s="427"/>
      <c r="E63" s="428"/>
      <c r="F63" s="428"/>
      <c r="G63" s="422">
        <v>600787.852</v>
      </c>
      <c r="H63" s="179">
        <f t="shared" si="0"/>
        <v>600787.852</v>
      </c>
      <c r="I63" s="323" t="s">
        <v>494</v>
      </c>
    </row>
    <row r="64" spans="1:9" ht="21.75">
      <c r="A64" s="762" t="s">
        <v>76</v>
      </c>
      <c r="B64" s="184"/>
      <c r="C64" s="184"/>
      <c r="D64" s="187"/>
      <c r="E64" s="184"/>
      <c r="F64" s="184"/>
      <c r="G64" s="422"/>
      <c r="H64" s="179"/>
      <c r="I64" s="425"/>
    </row>
    <row r="65" spans="1:9" ht="28.5" customHeight="1">
      <c r="A65" s="808" t="s">
        <v>274</v>
      </c>
      <c r="B65" s="184">
        <v>7073</v>
      </c>
      <c r="C65" s="184">
        <v>56370</v>
      </c>
      <c r="D65" s="187"/>
      <c r="E65" s="184"/>
      <c r="F65" s="184"/>
      <c r="G65" s="637">
        <v>23605</v>
      </c>
      <c r="H65" s="179">
        <f t="shared" si="0"/>
        <v>87048</v>
      </c>
      <c r="I65" s="638" t="s">
        <v>190</v>
      </c>
    </row>
    <row r="66" spans="1:9" ht="21.75">
      <c r="A66" s="809"/>
      <c r="B66" s="184"/>
      <c r="C66" s="184"/>
      <c r="D66" s="187"/>
      <c r="E66" s="184"/>
      <c r="F66" s="184"/>
      <c r="G66" s="637">
        <v>9197.13</v>
      </c>
      <c r="H66" s="179">
        <f t="shared" si="0"/>
        <v>9197.13</v>
      </c>
      <c r="I66" s="639" t="s">
        <v>494</v>
      </c>
    </row>
    <row r="67" spans="1:9" ht="21.75">
      <c r="A67" s="808" t="s">
        <v>479</v>
      </c>
      <c r="B67" s="184">
        <v>161949.1</v>
      </c>
      <c r="C67" s="184">
        <v>161949.1</v>
      </c>
      <c r="D67" s="187">
        <v>161949.1</v>
      </c>
      <c r="E67" s="184"/>
      <c r="F67" s="184">
        <v>161949.1</v>
      </c>
      <c r="G67" s="637">
        <v>1943389.2000000002</v>
      </c>
      <c r="H67" s="179">
        <f t="shared" si="0"/>
        <v>2591185.6</v>
      </c>
      <c r="I67" s="638" t="s">
        <v>190</v>
      </c>
    </row>
    <row r="68" spans="1:9" ht="21.75">
      <c r="A68" s="809"/>
      <c r="B68" s="184"/>
      <c r="C68" s="184"/>
      <c r="D68" s="187"/>
      <c r="E68" s="184"/>
      <c r="F68" s="184"/>
      <c r="G68" s="640">
        <f>301150+2853000</f>
        <v>3154150</v>
      </c>
      <c r="H68" s="179">
        <f t="shared" si="0"/>
        <v>3154150</v>
      </c>
      <c r="I68" s="639" t="s">
        <v>494</v>
      </c>
    </row>
    <row r="69" spans="1:9" ht="21.75">
      <c r="A69" s="192" t="s">
        <v>98</v>
      </c>
      <c r="B69" s="184"/>
      <c r="C69" s="184"/>
      <c r="D69" s="187"/>
      <c r="E69" s="184"/>
      <c r="F69" s="184"/>
      <c r="G69" s="606">
        <v>5284715.83</v>
      </c>
      <c r="H69" s="179">
        <f t="shared" si="0"/>
        <v>5284715.83</v>
      </c>
      <c r="I69" s="639" t="s">
        <v>494</v>
      </c>
    </row>
    <row r="70" spans="1:9" ht="42">
      <c r="A70" s="763" t="s">
        <v>426</v>
      </c>
      <c r="B70" s="180"/>
      <c r="C70" s="180"/>
      <c r="D70" s="486"/>
      <c r="E70" s="180"/>
      <c r="F70" s="180"/>
      <c r="G70" s="422"/>
      <c r="H70" s="179"/>
      <c r="I70" s="185"/>
    </row>
    <row r="71" spans="1:9" ht="21.75">
      <c r="A71" s="188" t="s">
        <v>143</v>
      </c>
      <c r="B71" s="320">
        <v>35332</v>
      </c>
      <c r="C71" s="320">
        <v>35332</v>
      </c>
      <c r="D71" s="320">
        <v>35332</v>
      </c>
      <c r="E71" s="320">
        <v>35332</v>
      </c>
      <c r="F71" s="320"/>
      <c r="G71" s="320">
        <f>211992-30107</f>
        <v>181885</v>
      </c>
      <c r="H71" s="179">
        <f t="shared" si="0"/>
        <v>323213</v>
      </c>
      <c r="I71" s="182" t="s">
        <v>190</v>
      </c>
    </row>
    <row r="72" spans="1:9" ht="21.75">
      <c r="A72" s="419" t="s">
        <v>191</v>
      </c>
      <c r="B72" s="178"/>
      <c r="C72" s="225"/>
      <c r="D72" s="326"/>
      <c r="E72" s="178"/>
      <c r="F72" s="178"/>
      <c r="G72" s="178">
        <v>8640200</v>
      </c>
      <c r="H72" s="179">
        <f t="shared" si="0"/>
        <v>8640200</v>
      </c>
      <c r="I72" s="425" t="s">
        <v>494</v>
      </c>
    </row>
    <row r="73" spans="1:9" ht="21.75">
      <c r="A73" s="762" t="s">
        <v>488</v>
      </c>
      <c r="B73" s="179"/>
      <c r="C73" s="180"/>
      <c r="D73" s="181"/>
      <c r="E73" s="179"/>
      <c r="F73" s="178"/>
      <c r="G73" s="178"/>
      <c r="H73" s="179"/>
      <c r="I73" s="425"/>
    </row>
    <row r="74" spans="1:9" ht="21.75">
      <c r="A74" s="419" t="s">
        <v>98</v>
      </c>
      <c r="B74" s="179"/>
      <c r="C74" s="180"/>
      <c r="D74" s="181"/>
      <c r="E74" s="179"/>
      <c r="F74" s="178"/>
      <c r="G74" s="178">
        <v>7232819.71</v>
      </c>
      <c r="H74" s="179">
        <f aca="true" t="shared" si="1" ref="H74:H82">SUM(B74:G74)</f>
        <v>7232819.71</v>
      </c>
      <c r="I74" s="425" t="s">
        <v>494</v>
      </c>
    </row>
    <row r="75" spans="1:9" ht="21.75">
      <c r="A75" s="189" t="s">
        <v>74</v>
      </c>
      <c r="B75" s="179"/>
      <c r="C75" s="180"/>
      <c r="D75" s="181"/>
      <c r="E75" s="179"/>
      <c r="F75" s="178"/>
      <c r="G75" s="179"/>
      <c r="H75" s="179"/>
      <c r="I75" s="182"/>
    </row>
    <row r="76" spans="1:9" ht="21" customHeight="1">
      <c r="A76" s="521" t="s">
        <v>93</v>
      </c>
      <c r="B76" s="179"/>
      <c r="C76" s="180">
        <v>7298000</v>
      </c>
      <c r="D76" s="224"/>
      <c r="E76" s="225"/>
      <c r="F76" s="178"/>
      <c r="G76" s="371"/>
      <c r="H76" s="179">
        <f t="shared" si="1"/>
        <v>7298000</v>
      </c>
      <c r="I76" s="182" t="s">
        <v>482</v>
      </c>
    </row>
    <row r="77" spans="1:9" ht="21" customHeight="1">
      <c r="A77" s="188" t="s">
        <v>1002</v>
      </c>
      <c r="B77" s="179"/>
      <c r="C77" s="260"/>
      <c r="D77" s="179">
        <v>3901158.19</v>
      </c>
      <c r="E77" s="179"/>
      <c r="F77" s="178"/>
      <c r="G77" s="371"/>
      <c r="H77" s="179">
        <f t="shared" si="1"/>
        <v>3901158.19</v>
      </c>
      <c r="I77" s="215" t="s">
        <v>1003</v>
      </c>
    </row>
    <row r="78" spans="1:9" ht="21.75">
      <c r="A78" s="216" t="s">
        <v>192</v>
      </c>
      <c r="B78" s="179"/>
      <c r="C78" s="179"/>
      <c r="D78" s="179"/>
      <c r="E78" s="179"/>
      <c r="F78" s="179"/>
      <c r="G78" s="408">
        <v>3200000</v>
      </c>
      <c r="H78" s="179">
        <f t="shared" si="1"/>
        <v>3200000</v>
      </c>
      <c r="I78" s="215" t="s">
        <v>1004</v>
      </c>
    </row>
    <row r="79" spans="1:9" ht="21.75">
      <c r="A79" s="192" t="s">
        <v>98</v>
      </c>
      <c r="B79" s="184"/>
      <c r="C79" s="184"/>
      <c r="D79" s="184"/>
      <c r="E79" s="229"/>
      <c r="F79" s="500"/>
      <c r="G79" s="261">
        <v>114176308.39999999</v>
      </c>
      <c r="H79" s="179">
        <f t="shared" si="1"/>
        <v>114176308.39999999</v>
      </c>
      <c r="I79" s="425" t="s">
        <v>494</v>
      </c>
    </row>
    <row r="80" spans="1:9" ht="21.75">
      <c r="A80" s="186" t="s">
        <v>97</v>
      </c>
      <c r="B80" s="501"/>
      <c r="C80" s="501"/>
      <c r="D80" s="501"/>
      <c r="E80" s="501"/>
      <c r="F80" s="501"/>
      <c r="G80" s="501"/>
      <c r="H80" s="179"/>
      <c r="I80" s="185"/>
    </row>
    <row r="81" spans="1:9" s="524" customFormat="1" ht="43.5">
      <c r="A81" s="432" t="s">
        <v>125</v>
      </c>
      <c r="B81" s="204">
        <v>66670700</v>
      </c>
      <c r="C81" s="204">
        <v>61921700</v>
      </c>
      <c r="D81" s="204">
        <v>61498700</v>
      </c>
      <c r="E81" s="598">
        <v>15666100</v>
      </c>
      <c r="F81" s="204">
        <v>1199500</v>
      </c>
      <c r="G81" s="204">
        <v>257107400</v>
      </c>
      <c r="H81" s="179">
        <f t="shared" si="1"/>
        <v>464064100</v>
      </c>
      <c r="I81" s="523" t="s">
        <v>1028</v>
      </c>
    </row>
    <row r="82" spans="1:9" ht="21.75">
      <c r="A82" s="645" t="s">
        <v>98</v>
      </c>
      <c r="B82" s="184"/>
      <c r="C82" s="184"/>
      <c r="D82" s="184"/>
      <c r="E82" s="229"/>
      <c r="F82" s="184"/>
      <c r="G82" s="495">
        <v>41956041.11</v>
      </c>
      <c r="H82" s="180">
        <f t="shared" si="1"/>
        <v>41956041.11</v>
      </c>
      <c r="I82" s="425" t="s">
        <v>494</v>
      </c>
    </row>
    <row r="83" spans="1:9" ht="21.75" thickBot="1">
      <c r="A83" s="190" t="s">
        <v>99</v>
      </c>
      <c r="B83" s="217">
        <f>SUM(B6:B82)</f>
        <v>343260761.99</v>
      </c>
      <c r="C83" s="217">
        <f aca="true" t="shared" si="2" ref="C83:H83">SUM(C6:C82)</f>
        <v>893860866.2822222</v>
      </c>
      <c r="D83" s="217">
        <f t="shared" si="2"/>
        <v>737909381.3322222</v>
      </c>
      <c r="E83" s="217">
        <f t="shared" si="2"/>
        <v>32198449.540000003</v>
      </c>
      <c r="F83" s="217">
        <f t="shared" si="2"/>
        <v>7514820.210666666</v>
      </c>
      <c r="G83" s="217">
        <f t="shared" si="2"/>
        <v>2515913846.0525007</v>
      </c>
      <c r="H83" s="217">
        <f t="shared" si="2"/>
        <v>4530658125.407611</v>
      </c>
      <c r="I83" s="191"/>
    </row>
    <row r="84" spans="2:9" ht="24.75" thickTop="1">
      <c r="B84" s="197"/>
      <c r="C84" s="197"/>
      <c r="D84" s="197"/>
      <c r="E84" s="197"/>
      <c r="F84" s="197"/>
      <c r="H84" s="197"/>
      <c r="I84" s="158">
        <v>44119</v>
      </c>
    </row>
  </sheetData>
  <sheetProtection/>
  <mergeCells count="13">
    <mergeCell ref="A1:I1"/>
    <mergeCell ref="A2:I2"/>
    <mergeCell ref="A4:A5"/>
    <mergeCell ref="B4:G4"/>
    <mergeCell ref="H4:H5"/>
    <mergeCell ref="I4:I5"/>
    <mergeCell ref="A14:A15"/>
    <mergeCell ref="A9:A10"/>
    <mergeCell ref="A67:A68"/>
    <mergeCell ref="A65:A66"/>
    <mergeCell ref="A60:A61"/>
    <mergeCell ref="A25:A26"/>
    <mergeCell ref="A37:A38"/>
  </mergeCells>
  <printOptions horizontalCentered="1"/>
  <pageMargins left="0.078740157480315" right="0" top="0.196850393700787" bottom="0" header="0.31496062992126" footer="0.118110236220472"/>
  <pageSetup fitToHeight="0" fitToWidth="1" horizontalDpi="600" verticalDpi="600" orientation="landscape" paperSize="9" scale="83" r:id="rId1"/>
  <rowBreaks count="2" manualBreakCount="2">
    <brk id="31" max="8" man="1"/>
    <brk id="58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M46"/>
  <sheetViews>
    <sheetView showGridLines="0" zoomScalePageLayoutView="0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25" sqref="C25"/>
    </sheetView>
  </sheetViews>
  <sheetFormatPr defaultColWidth="9.140625" defaultRowHeight="21.75"/>
  <cols>
    <col min="1" max="1" width="60.57421875" style="277" customWidth="1"/>
    <col min="2" max="2" width="12.28125" style="277" customWidth="1"/>
    <col min="3" max="3" width="13.140625" style="277" customWidth="1"/>
    <col min="4" max="4" width="12.8515625" style="277" customWidth="1"/>
    <col min="5" max="5" width="14.140625" style="277" customWidth="1"/>
    <col min="6" max="6" width="11.57421875" style="277" customWidth="1"/>
    <col min="7" max="7" width="13.140625" style="277" customWidth="1"/>
    <col min="8" max="8" width="15.140625" style="277" customWidth="1"/>
    <col min="9" max="9" width="15.421875" style="277" customWidth="1"/>
    <col min="10" max="10" width="11.7109375" style="277" customWidth="1"/>
    <col min="11" max="11" width="13.57421875" style="277" customWidth="1"/>
    <col min="12" max="12" width="11.421875" style="277" customWidth="1"/>
    <col min="13" max="16384" width="9.140625" style="277" customWidth="1"/>
  </cols>
  <sheetData>
    <row r="1" spans="1:12" ht="23.25">
      <c r="A1" s="828" t="s">
        <v>0</v>
      </c>
      <c r="B1" s="828"/>
      <c r="C1" s="828"/>
      <c r="D1" s="828"/>
      <c r="E1" s="828"/>
      <c r="F1" s="828"/>
      <c r="G1" s="828"/>
      <c r="H1" s="828"/>
      <c r="I1" s="828"/>
      <c r="J1" s="828"/>
      <c r="K1" s="828"/>
      <c r="L1" s="828"/>
    </row>
    <row r="2" spans="1:13" ht="23.25">
      <c r="A2" s="829" t="s">
        <v>512</v>
      </c>
      <c r="B2" s="828"/>
      <c r="C2" s="828"/>
      <c r="D2" s="828"/>
      <c r="E2" s="828"/>
      <c r="F2" s="828"/>
      <c r="G2" s="828"/>
      <c r="H2" s="828"/>
      <c r="I2" s="828"/>
      <c r="J2" s="828"/>
      <c r="K2" s="828"/>
      <c r="L2" s="828"/>
      <c r="M2" s="828"/>
    </row>
    <row r="3" ht="21.75" customHeight="1"/>
    <row r="4" spans="1:12" ht="37.5" customHeight="1">
      <c r="A4" s="875" t="s">
        <v>1</v>
      </c>
      <c r="B4" s="877" t="s">
        <v>13</v>
      </c>
      <c r="C4" s="878"/>
      <c r="D4" s="878"/>
      <c r="E4" s="878"/>
      <c r="F4" s="878"/>
      <c r="G4" s="878"/>
      <c r="H4" s="835" t="s">
        <v>80</v>
      </c>
      <c r="I4" s="835" t="s">
        <v>14</v>
      </c>
      <c r="J4" s="875" t="s">
        <v>6</v>
      </c>
      <c r="K4" s="830" t="s">
        <v>7</v>
      </c>
      <c r="L4" s="830" t="s">
        <v>36</v>
      </c>
    </row>
    <row r="5" spans="1:12" ht="26.25" customHeight="1">
      <c r="A5" s="876"/>
      <c r="B5" s="433" t="s">
        <v>8</v>
      </c>
      <c r="C5" s="433" t="s">
        <v>9</v>
      </c>
      <c r="D5" s="433" t="s">
        <v>236</v>
      </c>
      <c r="E5" s="433" t="s">
        <v>10</v>
      </c>
      <c r="F5" s="434" t="s">
        <v>23</v>
      </c>
      <c r="G5" s="433" t="s">
        <v>21</v>
      </c>
      <c r="H5" s="836"/>
      <c r="I5" s="836"/>
      <c r="J5" s="876"/>
      <c r="K5" s="831"/>
      <c r="L5" s="831"/>
    </row>
    <row r="6" spans="1:12" ht="21.75">
      <c r="A6" s="278" t="s">
        <v>118</v>
      </c>
      <c r="B6" s="8"/>
      <c r="C6" s="8"/>
      <c r="D6" s="8"/>
      <c r="E6" s="8"/>
      <c r="F6" s="214"/>
      <c r="G6" s="8"/>
      <c r="H6" s="8"/>
      <c r="I6" s="8"/>
      <c r="J6" s="279"/>
      <c r="K6" s="279"/>
      <c r="L6" s="280"/>
    </row>
    <row r="7" spans="1:12" ht="21.75">
      <c r="A7" s="281" t="s">
        <v>601</v>
      </c>
      <c r="B7" s="57"/>
      <c r="C7" s="57"/>
      <c r="D7" s="57"/>
      <c r="E7" s="57"/>
      <c r="F7" s="57"/>
      <c r="G7" s="57"/>
      <c r="H7" s="57"/>
      <c r="I7" s="57"/>
      <c r="J7" s="282"/>
      <c r="K7" s="282"/>
      <c r="L7" s="283"/>
    </row>
    <row r="8" spans="1:12" ht="87">
      <c r="A8" s="284" t="s">
        <v>602</v>
      </c>
      <c r="B8" s="40"/>
      <c r="C8" s="40">
        <f>302800+94000</f>
        <v>396800</v>
      </c>
      <c r="D8" s="40"/>
      <c r="E8" s="40"/>
      <c r="F8" s="40"/>
      <c r="G8" s="40"/>
      <c r="H8" s="40"/>
      <c r="I8" s="40">
        <f>SUM(B8:H8)</f>
        <v>396800</v>
      </c>
      <c r="J8" s="285" t="s">
        <v>33</v>
      </c>
      <c r="K8" s="445" t="s">
        <v>474</v>
      </c>
      <c r="L8" s="286"/>
    </row>
    <row r="9" spans="1:12" ht="21.75">
      <c r="A9" s="281" t="s">
        <v>603</v>
      </c>
      <c r="B9" s="40"/>
      <c r="C9" s="40"/>
      <c r="D9" s="40"/>
      <c r="E9" s="40"/>
      <c r="F9" s="40"/>
      <c r="G9" s="40"/>
      <c r="H9" s="40"/>
      <c r="I9" s="40"/>
      <c r="J9" s="285"/>
      <c r="K9" s="445"/>
      <c r="L9" s="286"/>
    </row>
    <row r="10" spans="1:12" ht="87">
      <c r="A10" s="284" t="s">
        <v>604</v>
      </c>
      <c r="B10" s="40">
        <v>150000</v>
      </c>
      <c r="C10" s="40"/>
      <c r="D10" s="40"/>
      <c r="E10" s="40"/>
      <c r="F10" s="40"/>
      <c r="G10" s="40"/>
      <c r="H10" s="40"/>
      <c r="I10" s="40">
        <f>SUM(B10:H10)</f>
        <v>150000</v>
      </c>
      <c r="J10" s="285" t="s">
        <v>33</v>
      </c>
      <c r="K10" s="445" t="s">
        <v>415</v>
      </c>
      <c r="L10" s="286"/>
    </row>
    <row r="11" spans="1:12" ht="21.75">
      <c r="A11" s="288" t="s">
        <v>231</v>
      </c>
      <c r="B11" s="240"/>
      <c r="C11" s="238"/>
      <c r="D11" s="238"/>
      <c r="E11" s="238"/>
      <c r="F11" s="238"/>
      <c r="G11" s="289"/>
      <c r="H11" s="289"/>
      <c r="I11" s="238"/>
      <c r="J11" s="290"/>
      <c r="K11" s="290"/>
      <c r="L11" s="291"/>
    </row>
    <row r="12" spans="1:12" ht="28.5" customHeight="1">
      <c r="A12" s="284" t="s">
        <v>137</v>
      </c>
      <c r="B12" s="240"/>
      <c r="C12" s="238"/>
      <c r="D12" s="238"/>
      <c r="E12" s="238"/>
      <c r="F12" s="238"/>
      <c r="G12" s="238"/>
      <c r="H12" s="239">
        <f>46074103.17*76/100</f>
        <v>35016318.4092</v>
      </c>
      <c r="I12" s="238">
        <f aca="true" t="shared" si="0" ref="I12:I25">SUM(B12:H12)</f>
        <v>35016318.4092</v>
      </c>
      <c r="J12" s="290" t="s">
        <v>33</v>
      </c>
      <c r="K12" s="292" t="s">
        <v>101</v>
      </c>
      <c r="L12" s="752">
        <v>0.76</v>
      </c>
    </row>
    <row r="13" spans="1:12" ht="65.25">
      <c r="A13" s="284" t="s">
        <v>141</v>
      </c>
      <c r="B13" s="240"/>
      <c r="C13" s="238"/>
      <c r="D13" s="238"/>
      <c r="E13" s="238"/>
      <c r="F13" s="238"/>
      <c r="G13" s="238"/>
      <c r="H13" s="239">
        <v>1600000</v>
      </c>
      <c r="I13" s="238">
        <f t="shared" si="0"/>
        <v>1600000</v>
      </c>
      <c r="J13" s="290" t="s">
        <v>33</v>
      </c>
      <c r="K13" s="292" t="s">
        <v>101</v>
      </c>
      <c r="L13" s="291"/>
    </row>
    <row r="14" spans="1:12" ht="43.5">
      <c r="A14" s="284" t="s">
        <v>142</v>
      </c>
      <c r="B14" s="240"/>
      <c r="C14" s="238"/>
      <c r="D14" s="238"/>
      <c r="E14" s="238"/>
      <c r="F14" s="238"/>
      <c r="G14" s="238"/>
      <c r="H14" s="238">
        <v>4942200</v>
      </c>
      <c r="I14" s="238">
        <f t="shared" si="0"/>
        <v>4942200</v>
      </c>
      <c r="J14" s="290" t="s">
        <v>33</v>
      </c>
      <c r="K14" s="292" t="s">
        <v>101</v>
      </c>
      <c r="L14" s="291"/>
    </row>
    <row r="15" spans="1:12" ht="108.75">
      <c r="A15" s="284" t="s">
        <v>991</v>
      </c>
      <c r="B15" s="240"/>
      <c r="C15" s="238"/>
      <c r="D15" s="238"/>
      <c r="E15" s="238"/>
      <c r="F15" s="238"/>
      <c r="G15" s="238"/>
      <c r="H15" s="238">
        <v>660000</v>
      </c>
      <c r="I15" s="238">
        <f t="shared" si="0"/>
        <v>660000</v>
      </c>
      <c r="J15" s="290" t="s">
        <v>33</v>
      </c>
      <c r="K15" s="292" t="s">
        <v>101</v>
      </c>
      <c r="L15" s="291"/>
    </row>
    <row r="16" spans="1:12" ht="65.25">
      <c r="A16" s="284" t="s">
        <v>138</v>
      </c>
      <c r="B16" s="240"/>
      <c r="C16" s="238"/>
      <c r="D16" s="238"/>
      <c r="E16" s="238"/>
      <c r="F16" s="238"/>
      <c r="G16" s="238"/>
      <c r="H16" s="238">
        <v>67080</v>
      </c>
      <c r="I16" s="238">
        <f t="shared" si="0"/>
        <v>67080</v>
      </c>
      <c r="J16" s="290" t="s">
        <v>33</v>
      </c>
      <c r="K16" s="292" t="s">
        <v>101</v>
      </c>
      <c r="L16" s="291"/>
    </row>
    <row r="17" spans="1:12" ht="108.75">
      <c r="A17" s="284" t="s">
        <v>184</v>
      </c>
      <c r="B17" s="240"/>
      <c r="C17" s="238"/>
      <c r="D17" s="238"/>
      <c r="E17" s="238"/>
      <c r="F17" s="238"/>
      <c r="G17" s="238"/>
      <c r="H17" s="238">
        <v>1500000</v>
      </c>
      <c r="I17" s="238">
        <f t="shared" si="0"/>
        <v>1500000</v>
      </c>
      <c r="J17" s="290" t="s">
        <v>33</v>
      </c>
      <c r="K17" s="292" t="s">
        <v>101</v>
      </c>
      <c r="L17" s="291"/>
    </row>
    <row r="18" spans="1:12" ht="65.25">
      <c r="A18" s="287" t="s">
        <v>139</v>
      </c>
      <c r="B18" s="240"/>
      <c r="C18" s="238"/>
      <c r="D18" s="238"/>
      <c r="E18" s="238"/>
      <c r="F18" s="238"/>
      <c r="G18" s="238"/>
      <c r="H18" s="238">
        <v>3295200</v>
      </c>
      <c r="I18" s="238">
        <f t="shared" si="0"/>
        <v>3295200</v>
      </c>
      <c r="J18" s="290" t="s">
        <v>33</v>
      </c>
      <c r="K18" s="292" t="s">
        <v>101</v>
      </c>
      <c r="L18" s="291"/>
    </row>
    <row r="19" spans="1:12" ht="43.5" customHeight="1">
      <c r="A19" s="287" t="s">
        <v>376</v>
      </c>
      <c r="B19" s="240"/>
      <c r="C19" s="238"/>
      <c r="D19" s="238"/>
      <c r="E19" s="238"/>
      <c r="F19" s="238"/>
      <c r="G19" s="238"/>
      <c r="H19" s="238">
        <v>3297403</v>
      </c>
      <c r="I19" s="238">
        <f t="shared" si="0"/>
        <v>3297403</v>
      </c>
      <c r="J19" s="290" t="s">
        <v>33</v>
      </c>
      <c r="K19" s="292" t="s">
        <v>101</v>
      </c>
      <c r="L19" s="291"/>
    </row>
    <row r="20" spans="1:12" ht="43.5">
      <c r="A20" s="287" t="s">
        <v>183</v>
      </c>
      <c r="B20" s="240"/>
      <c r="C20" s="238"/>
      <c r="D20" s="238"/>
      <c r="E20" s="238"/>
      <c r="F20" s="238"/>
      <c r="G20" s="238"/>
      <c r="H20" s="238">
        <v>49411200</v>
      </c>
      <c r="I20" s="238">
        <f t="shared" si="0"/>
        <v>49411200</v>
      </c>
      <c r="J20" s="290" t="s">
        <v>33</v>
      </c>
      <c r="K20" s="292" t="s">
        <v>101</v>
      </c>
      <c r="L20" s="291"/>
    </row>
    <row r="21" spans="1:12" ht="21.75" customHeight="1">
      <c r="A21" s="287" t="s">
        <v>475</v>
      </c>
      <c r="B21" s="240"/>
      <c r="C21" s="238"/>
      <c r="D21" s="238"/>
      <c r="E21" s="238"/>
      <c r="F21" s="238"/>
      <c r="G21" s="238"/>
      <c r="H21" s="238">
        <v>3295200</v>
      </c>
      <c r="I21" s="238">
        <f t="shared" si="0"/>
        <v>3295200</v>
      </c>
      <c r="J21" s="290" t="s">
        <v>33</v>
      </c>
      <c r="K21" s="292" t="s">
        <v>101</v>
      </c>
      <c r="L21" s="291"/>
    </row>
    <row r="22" spans="1:12" ht="43.5">
      <c r="A22" s="287" t="s">
        <v>476</v>
      </c>
      <c r="B22" s="240"/>
      <c r="C22" s="240"/>
      <c r="D22" s="240"/>
      <c r="E22" s="240"/>
      <c r="F22" s="240"/>
      <c r="G22" s="240"/>
      <c r="H22" s="240"/>
      <c r="I22" s="238"/>
      <c r="J22" s="352"/>
      <c r="K22" s="292"/>
      <c r="L22" s="291"/>
    </row>
    <row r="23" spans="1:12" ht="65.25">
      <c r="A23" s="351" t="s">
        <v>605</v>
      </c>
      <c r="B23" s="240"/>
      <c r="C23" s="240"/>
      <c r="D23" s="240"/>
      <c r="E23" s="240"/>
      <c r="F23" s="240"/>
      <c r="G23" s="240">
        <v>327505.98</v>
      </c>
      <c r="H23" s="240"/>
      <c r="I23" s="238">
        <f t="shared" si="0"/>
        <v>327505.98</v>
      </c>
      <c r="J23" s="352" t="s">
        <v>33</v>
      </c>
      <c r="K23" s="292" t="s">
        <v>606</v>
      </c>
      <c r="L23" s="291"/>
    </row>
    <row r="24" spans="1:12" ht="21.75">
      <c r="A24" s="281" t="s">
        <v>282</v>
      </c>
      <c r="B24" s="240"/>
      <c r="C24" s="240"/>
      <c r="D24" s="240"/>
      <c r="E24" s="240"/>
      <c r="F24" s="240"/>
      <c r="G24" s="240"/>
      <c r="H24" s="240"/>
      <c r="I24" s="238"/>
      <c r="J24" s="352"/>
      <c r="K24" s="292"/>
      <c r="L24" s="291"/>
    </row>
    <row r="25" spans="1:12" ht="27.75" customHeight="1">
      <c r="A25" s="287" t="s">
        <v>608</v>
      </c>
      <c r="B25" s="240">
        <v>138296.37</v>
      </c>
      <c r="C25" s="240">
        <v>69148.18</v>
      </c>
      <c r="D25" s="240"/>
      <c r="E25" s="240">
        <f>138296.37</f>
        <v>138296.37</v>
      </c>
      <c r="F25" s="240">
        <v>414889.08</v>
      </c>
      <c r="G25" s="240"/>
      <c r="H25" s="240"/>
      <c r="I25" s="238">
        <f t="shared" si="0"/>
        <v>760630</v>
      </c>
      <c r="J25" s="352" t="s">
        <v>33</v>
      </c>
      <c r="K25" s="292" t="s">
        <v>609</v>
      </c>
      <c r="L25" s="291"/>
    </row>
    <row r="26" spans="1:12" ht="27.75" customHeight="1">
      <c r="A26" s="595" t="s">
        <v>607</v>
      </c>
      <c r="B26" s="240"/>
      <c r="C26" s="240"/>
      <c r="D26" s="240"/>
      <c r="E26" s="240"/>
      <c r="F26" s="240"/>
      <c r="G26" s="240"/>
      <c r="H26" s="240">
        <f>23000*30.01</f>
        <v>690230</v>
      </c>
      <c r="I26" s="240">
        <f>SUM(B26:H26)</f>
        <v>690230</v>
      </c>
      <c r="J26" s="290" t="s">
        <v>33</v>
      </c>
      <c r="K26" s="292" t="s">
        <v>101</v>
      </c>
      <c r="L26" s="291"/>
    </row>
    <row r="27" spans="1:12" ht="27.75" customHeight="1">
      <c r="A27" s="592"/>
      <c r="B27" s="576"/>
      <c r="C27" s="576"/>
      <c r="D27" s="576"/>
      <c r="E27" s="576"/>
      <c r="F27" s="576"/>
      <c r="G27" s="576"/>
      <c r="H27" s="576"/>
      <c r="I27" s="576"/>
      <c r="J27" s="593"/>
      <c r="K27" s="594"/>
      <c r="L27" s="577"/>
    </row>
    <row r="28" spans="1:12" ht="22.5" thickBot="1">
      <c r="A28" s="293" t="s">
        <v>2</v>
      </c>
      <c r="B28" s="86">
        <f aca="true" t="shared" si="1" ref="B28:I28">SUM(B8:B25)</f>
        <v>288296.37</v>
      </c>
      <c r="C28" s="86">
        <f t="shared" si="1"/>
        <v>465948.18</v>
      </c>
      <c r="D28" s="86">
        <f t="shared" si="1"/>
        <v>0</v>
      </c>
      <c r="E28" s="86">
        <f t="shared" si="1"/>
        <v>138296.37</v>
      </c>
      <c r="F28" s="86">
        <f t="shared" si="1"/>
        <v>414889.08</v>
      </c>
      <c r="G28" s="86">
        <f t="shared" si="1"/>
        <v>327505.98</v>
      </c>
      <c r="H28" s="86">
        <f t="shared" si="1"/>
        <v>103084601.4092</v>
      </c>
      <c r="I28" s="86">
        <f t="shared" si="1"/>
        <v>104719537.3892</v>
      </c>
      <c r="J28" s="294"/>
      <c r="K28" s="294"/>
      <c r="L28" s="294"/>
    </row>
    <row r="29" ht="22.5" thickTop="1"/>
    <row r="30" spans="2:11" ht="21.75">
      <c r="B30" s="2"/>
      <c r="C30" s="2"/>
      <c r="D30" s="2"/>
      <c r="E30" s="2"/>
      <c r="F30" s="2"/>
      <c r="G30" s="2"/>
      <c r="H30" s="295"/>
      <c r="I30" s="296"/>
      <c r="K30" s="297"/>
    </row>
    <row r="31" spans="2:9" ht="21.75" customHeight="1">
      <c r="B31" s="2"/>
      <c r="C31" s="2"/>
      <c r="D31" s="2"/>
      <c r="E31" s="2"/>
      <c r="F31" s="2"/>
      <c r="G31" s="2"/>
      <c r="H31" s="2"/>
      <c r="I31" s="296"/>
    </row>
    <row r="32" spans="2:9" ht="21.75">
      <c r="B32" s="295"/>
      <c r="C32" s="2"/>
      <c r="G32" s="295"/>
      <c r="H32" s="295"/>
      <c r="I32" s="295"/>
    </row>
    <row r="33" spans="3:9" ht="21.75">
      <c r="C33" s="2"/>
      <c r="I33" s="295"/>
    </row>
    <row r="34" ht="21.75" customHeight="1">
      <c r="C34" s="2"/>
    </row>
    <row r="35" ht="21.75" customHeight="1">
      <c r="C35" s="2"/>
    </row>
    <row r="37" ht="21.75">
      <c r="G37" s="99"/>
    </row>
    <row r="46" ht="21.75" customHeight="1">
      <c r="L46" s="298"/>
    </row>
  </sheetData>
  <sheetProtection/>
  <mergeCells count="9">
    <mergeCell ref="A1:L1"/>
    <mergeCell ref="A2:M2"/>
    <mergeCell ref="A4:A5"/>
    <mergeCell ref="B4:G4"/>
    <mergeCell ref="H4:H5"/>
    <mergeCell ref="I4:I5"/>
    <mergeCell ref="J4:J5"/>
    <mergeCell ref="K4:K5"/>
    <mergeCell ref="L4:L5"/>
  </mergeCells>
  <printOptions horizontalCentered="1"/>
  <pageMargins left="0.590551181102362" right="0.748031496062992" top="0.801181102" bottom="0" header="0.669291338582677" footer="0.15748031496063"/>
  <pageSetup horizontalDpi="600" verticalDpi="600" orientation="landscape" paperSize="9" scale="52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DH284"/>
  <sheetViews>
    <sheetView view="pageBreakPreview" zoomScale="110" zoomScaleSheetLayoutView="110" workbookViewId="0" topLeftCell="B1">
      <selection activeCell="H183" sqref="H183:I183"/>
    </sheetView>
  </sheetViews>
  <sheetFormatPr defaultColWidth="9.140625" defaultRowHeight="21.75"/>
  <cols>
    <col min="2" max="2" width="49.421875" style="0" customWidth="1"/>
    <col min="3" max="6" width="14.00390625" style="0" bestFit="1" customWidth="1"/>
    <col min="7" max="7" width="14.140625" style="0" customWidth="1"/>
    <col min="8" max="8" width="14.57421875" style="0" bestFit="1" customWidth="1"/>
    <col min="9" max="9" width="17.28125" style="0" customWidth="1"/>
    <col min="10" max="10" width="18.00390625" style="0" bestFit="1" customWidth="1"/>
    <col min="11" max="11" width="18.00390625" style="0" customWidth="1"/>
    <col min="12" max="12" width="16.00390625" style="0" customWidth="1"/>
    <col min="13" max="13" width="15.57421875" style="0" customWidth="1"/>
  </cols>
  <sheetData>
    <row r="1" spans="2:13" ht="23.25">
      <c r="B1" s="879" t="s">
        <v>0</v>
      </c>
      <c r="C1" s="879"/>
      <c r="D1" s="879"/>
      <c r="E1" s="879"/>
      <c r="F1" s="879"/>
      <c r="G1" s="879"/>
      <c r="H1" s="879"/>
      <c r="I1" s="879"/>
      <c r="J1" s="879"/>
      <c r="K1" s="879"/>
      <c r="L1" s="879"/>
      <c r="M1" s="879"/>
    </row>
    <row r="2" spans="2:13" ht="23.25">
      <c r="B2" s="880" t="s">
        <v>513</v>
      </c>
      <c r="C2" s="879"/>
      <c r="D2" s="879"/>
      <c r="E2" s="879"/>
      <c r="F2" s="879"/>
      <c r="G2" s="879"/>
      <c r="H2" s="879"/>
      <c r="I2" s="879"/>
      <c r="J2" s="879"/>
      <c r="K2" s="879"/>
      <c r="L2" s="879"/>
      <c r="M2" s="879"/>
    </row>
    <row r="3" spans="2:13" ht="21.75">
      <c r="B3" s="588"/>
      <c r="C3" s="83"/>
      <c r="D3" s="83"/>
      <c r="E3" s="83"/>
      <c r="F3" s="83"/>
      <c r="G3" s="83"/>
      <c r="H3" s="83"/>
      <c r="I3" s="83"/>
      <c r="J3" s="83"/>
      <c r="K3" s="83"/>
      <c r="L3" s="83"/>
      <c r="M3" s="84"/>
    </row>
    <row r="4" spans="2:13" ht="21.75">
      <c r="B4" s="881" t="s">
        <v>1</v>
      </c>
      <c r="C4" s="882" t="s">
        <v>13</v>
      </c>
      <c r="D4" s="882"/>
      <c r="E4" s="882"/>
      <c r="F4" s="882"/>
      <c r="G4" s="882"/>
      <c r="H4" s="882"/>
      <c r="I4" s="883" t="s">
        <v>117</v>
      </c>
      <c r="J4" s="882" t="s">
        <v>130</v>
      </c>
      <c r="K4" s="882" t="s">
        <v>6</v>
      </c>
      <c r="L4" s="882" t="s">
        <v>7</v>
      </c>
      <c r="M4" s="884" t="s">
        <v>36</v>
      </c>
    </row>
    <row r="5" spans="2:13" ht="51" customHeight="1">
      <c r="B5" s="881"/>
      <c r="C5" s="797" t="s">
        <v>8</v>
      </c>
      <c r="D5" s="798" t="s">
        <v>9</v>
      </c>
      <c r="E5" s="797" t="s">
        <v>221</v>
      </c>
      <c r="F5" s="797" t="s">
        <v>10</v>
      </c>
      <c r="G5" s="797" t="s">
        <v>23</v>
      </c>
      <c r="H5" s="797" t="s">
        <v>41</v>
      </c>
      <c r="I5" s="883"/>
      <c r="J5" s="882"/>
      <c r="K5" s="882"/>
      <c r="L5" s="882"/>
      <c r="M5" s="884"/>
    </row>
    <row r="6" spans="2:13" ht="21.75">
      <c r="B6" s="777" t="s">
        <v>492</v>
      </c>
      <c r="C6" s="366"/>
      <c r="D6" s="366"/>
      <c r="E6" s="366"/>
      <c r="F6" s="366"/>
      <c r="G6" s="366"/>
      <c r="H6" s="366"/>
      <c r="I6" s="366"/>
      <c r="J6" s="367"/>
      <c r="K6" s="368"/>
      <c r="L6" s="368"/>
      <c r="M6" s="369"/>
    </row>
    <row r="7" spans="2:13" ht="21.75">
      <c r="B7" s="605" t="s">
        <v>134</v>
      </c>
      <c r="C7" s="606"/>
      <c r="D7" s="606"/>
      <c r="E7" s="606"/>
      <c r="F7" s="606"/>
      <c r="G7" s="606"/>
      <c r="H7" s="606"/>
      <c r="I7" s="606"/>
      <c r="J7" s="607"/>
      <c r="K7" s="608"/>
      <c r="L7" s="608"/>
      <c r="M7" s="609"/>
    </row>
    <row r="8" spans="2:13" ht="130.5">
      <c r="B8" s="586" t="s">
        <v>794</v>
      </c>
      <c r="C8" s="610">
        <f>128600+134600</f>
        <v>263200</v>
      </c>
      <c r="D8" s="610"/>
      <c r="E8" s="610"/>
      <c r="F8" s="610"/>
      <c r="G8" s="610"/>
      <c r="H8" s="610"/>
      <c r="I8" s="610"/>
      <c r="J8" s="611">
        <f>SUM(C8:I8)</f>
        <v>263200</v>
      </c>
      <c r="K8" s="612" t="s">
        <v>664</v>
      </c>
      <c r="L8" s="608" t="s">
        <v>795</v>
      </c>
      <c r="M8" s="609"/>
    </row>
    <row r="9" spans="2:13" ht="21.75">
      <c r="B9" s="605" t="s">
        <v>319</v>
      </c>
      <c r="C9" s="613"/>
      <c r="D9" s="613"/>
      <c r="E9" s="613"/>
      <c r="F9" s="613"/>
      <c r="G9" s="613"/>
      <c r="H9" s="613"/>
      <c r="I9" s="613"/>
      <c r="J9" s="611">
        <f aca="true" t="shared" si="0" ref="J9:J72">SUM(C9:I9)</f>
        <v>0</v>
      </c>
      <c r="K9" s="612"/>
      <c r="L9" s="614"/>
      <c r="M9" s="615"/>
    </row>
    <row r="10" spans="2:13" ht="65.25">
      <c r="B10" s="614" t="s">
        <v>813</v>
      </c>
      <c r="C10" s="613">
        <v>1508600</v>
      </c>
      <c r="D10" s="613">
        <v>2488200</v>
      </c>
      <c r="E10" s="613">
        <v>4447400</v>
      </c>
      <c r="F10" s="613">
        <v>2110900</v>
      </c>
      <c r="G10" s="613">
        <v>377300</v>
      </c>
      <c r="H10" s="613">
        <f>302100+7839400+302100</f>
        <v>8443600</v>
      </c>
      <c r="I10" s="613"/>
      <c r="J10" s="611">
        <f t="shared" si="0"/>
        <v>19376000</v>
      </c>
      <c r="K10" s="612" t="s">
        <v>43</v>
      </c>
      <c r="L10" s="614" t="s">
        <v>429</v>
      </c>
      <c r="M10" s="615" t="s">
        <v>413</v>
      </c>
    </row>
    <row r="11" spans="2:13" ht="87">
      <c r="B11" s="614" t="s">
        <v>814</v>
      </c>
      <c r="C11" s="613">
        <v>6000000</v>
      </c>
      <c r="D11" s="613"/>
      <c r="E11" s="613"/>
      <c r="F11" s="613"/>
      <c r="G11" s="613"/>
      <c r="H11" s="613"/>
      <c r="I11" s="613"/>
      <c r="J11" s="611">
        <f t="shared" si="0"/>
        <v>6000000</v>
      </c>
      <c r="K11" s="612" t="s">
        <v>32</v>
      </c>
      <c r="L11" s="614" t="s">
        <v>429</v>
      </c>
      <c r="M11" s="615" t="s">
        <v>413</v>
      </c>
    </row>
    <row r="12" spans="2:13" ht="65.25">
      <c r="B12" s="614" t="s">
        <v>815</v>
      </c>
      <c r="C12" s="610">
        <f>1896500/9</f>
        <v>210722.22222222222</v>
      </c>
      <c r="D12" s="610">
        <f>1896500/9</f>
        <v>210722.22222222222</v>
      </c>
      <c r="E12" s="610">
        <f>1896500/9</f>
        <v>210722.22222222222</v>
      </c>
      <c r="F12" s="610">
        <f>1896500/9</f>
        <v>210722.22222222222</v>
      </c>
      <c r="G12" s="610">
        <f>1896500/9</f>
        <v>210722.22222222222</v>
      </c>
      <c r="H12" s="610">
        <f>(1896500/9)*4</f>
        <v>842888.8888888889</v>
      </c>
      <c r="I12" s="610"/>
      <c r="J12" s="611">
        <f t="shared" si="0"/>
        <v>1896500</v>
      </c>
      <c r="K12" s="612" t="s">
        <v>32</v>
      </c>
      <c r="L12" s="614" t="s">
        <v>611</v>
      </c>
      <c r="M12" s="615" t="s">
        <v>610</v>
      </c>
    </row>
    <row r="13" spans="2:13" ht="43.5">
      <c r="B13" s="614" t="s">
        <v>982</v>
      </c>
      <c r="C13" s="610"/>
      <c r="D13" s="610"/>
      <c r="E13" s="610"/>
      <c r="F13" s="610"/>
      <c r="G13" s="610"/>
      <c r="H13" s="610">
        <f>110000+115000</f>
        <v>225000</v>
      </c>
      <c r="I13" s="610"/>
      <c r="J13" s="611">
        <f t="shared" si="0"/>
        <v>225000</v>
      </c>
      <c r="K13" s="612" t="s">
        <v>32</v>
      </c>
      <c r="L13" s="614" t="s">
        <v>185</v>
      </c>
      <c r="M13" s="616"/>
    </row>
    <row r="14" spans="2:13" ht="21.75">
      <c r="B14" s="614" t="s">
        <v>612</v>
      </c>
      <c r="C14" s="610">
        <v>62700</v>
      </c>
      <c r="D14" s="610"/>
      <c r="E14" s="610">
        <f>418000+182000</f>
        <v>600000</v>
      </c>
      <c r="F14" s="610"/>
      <c r="G14" s="610"/>
      <c r="H14" s="610">
        <f>209000+100000</f>
        <v>309000</v>
      </c>
      <c r="I14" s="610"/>
      <c r="J14" s="611">
        <f t="shared" si="0"/>
        <v>971700</v>
      </c>
      <c r="K14" s="612" t="s">
        <v>32</v>
      </c>
      <c r="L14" s="614" t="s">
        <v>119</v>
      </c>
      <c r="M14" s="616"/>
    </row>
    <row r="15" spans="2:13" ht="87">
      <c r="B15" s="614" t="s">
        <v>613</v>
      </c>
      <c r="C15" s="610">
        <v>247000</v>
      </c>
      <c r="D15" s="610"/>
      <c r="E15" s="610"/>
      <c r="F15" s="610"/>
      <c r="G15" s="610"/>
      <c r="H15" s="610"/>
      <c r="I15" s="610"/>
      <c r="J15" s="611">
        <f t="shared" si="0"/>
        <v>247000</v>
      </c>
      <c r="K15" s="612" t="s">
        <v>32</v>
      </c>
      <c r="L15" s="614" t="s">
        <v>188</v>
      </c>
      <c r="M15" s="616"/>
    </row>
    <row r="16" spans="2:13" ht="65.25">
      <c r="B16" s="614" t="s">
        <v>614</v>
      </c>
      <c r="C16" s="610"/>
      <c r="D16" s="610">
        <f>124500*4</f>
        <v>498000</v>
      </c>
      <c r="E16" s="610"/>
      <c r="F16" s="610"/>
      <c r="G16" s="610"/>
      <c r="H16" s="610">
        <v>124500</v>
      </c>
      <c r="I16" s="610"/>
      <c r="J16" s="611">
        <f t="shared" si="0"/>
        <v>622500</v>
      </c>
      <c r="K16" s="612" t="s">
        <v>32</v>
      </c>
      <c r="L16" s="614" t="s">
        <v>415</v>
      </c>
      <c r="M16" s="616"/>
    </row>
    <row r="17" spans="2:13" ht="87">
      <c r="B17" s="614" t="s">
        <v>615</v>
      </c>
      <c r="C17" s="610">
        <v>16500</v>
      </c>
      <c r="D17" s="610">
        <f>16500*3</f>
        <v>49500</v>
      </c>
      <c r="E17" s="610"/>
      <c r="F17" s="610"/>
      <c r="G17" s="610">
        <v>16500</v>
      </c>
      <c r="H17" s="610"/>
      <c r="I17" s="610"/>
      <c r="J17" s="611">
        <f t="shared" si="0"/>
        <v>82500</v>
      </c>
      <c r="K17" s="612" t="s">
        <v>32</v>
      </c>
      <c r="L17" s="614" t="s">
        <v>415</v>
      </c>
      <c r="M17" s="616"/>
    </row>
    <row r="18" spans="2:13" ht="43.5">
      <c r="B18" s="614" t="s">
        <v>983</v>
      </c>
      <c r="C18" s="610"/>
      <c r="D18" s="610"/>
      <c r="E18" s="610">
        <v>50000</v>
      </c>
      <c r="F18" s="610"/>
      <c r="G18" s="610"/>
      <c r="H18" s="610"/>
      <c r="I18" s="610"/>
      <c r="J18" s="611">
        <f t="shared" si="0"/>
        <v>50000</v>
      </c>
      <c r="K18" s="612" t="s">
        <v>777</v>
      </c>
      <c r="L18" s="614" t="s">
        <v>185</v>
      </c>
      <c r="M18" s="616"/>
    </row>
    <row r="19" spans="1:13" ht="65.25">
      <c r="A19" s="794"/>
      <c r="B19" s="614" t="s">
        <v>616</v>
      </c>
      <c r="C19" s="610">
        <f>(119035/6)+3967.83333333333</f>
        <v>23807</v>
      </c>
      <c r="D19" s="610">
        <f>(119035/6)+3967.83333333333</f>
        <v>23807</v>
      </c>
      <c r="E19" s="610">
        <f>(119035/6)+3967.83333333333</f>
        <v>23807</v>
      </c>
      <c r="F19" s="610">
        <f>(119035/6)+3967.83333333333</f>
        <v>23807</v>
      </c>
      <c r="G19" s="610">
        <f>(119035/6)+3967.83333333333</f>
        <v>23807</v>
      </c>
      <c r="H19" s="610"/>
      <c r="I19" s="610"/>
      <c r="J19" s="611">
        <f t="shared" si="0"/>
        <v>119035</v>
      </c>
      <c r="K19" s="612" t="s">
        <v>999</v>
      </c>
      <c r="L19" s="614" t="s">
        <v>617</v>
      </c>
      <c r="M19" s="612" t="s">
        <v>610</v>
      </c>
    </row>
    <row r="20" spans="2:13" ht="21.75">
      <c r="B20" s="617" t="s">
        <v>618</v>
      </c>
      <c r="C20" s="610"/>
      <c r="D20" s="610"/>
      <c r="E20" s="610"/>
      <c r="F20" s="610"/>
      <c r="G20" s="610"/>
      <c r="H20" s="610"/>
      <c r="I20" s="610"/>
      <c r="J20" s="611"/>
      <c r="K20" s="612"/>
      <c r="L20" s="614"/>
      <c r="M20" s="616"/>
    </row>
    <row r="21" spans="2:13" ht="43.5">
      <c r="B21" s="614" t="s">
        <v>619</v>
      </c>
      <c r="C21" s="610"/>
      <c r="D21" s="610"/>
      <c r="E21" s="610"/>
      <c r="F21" s="610"/>
      <c r="G21" s="610"/>
      <c r="H21" s="610"/>
      <c r="I21" s="610">
        <v>11629</v>
      </c>
      <c r="J21" s="611">
        <f t="shared" si="0"/>
        <v>11629</v>
      </c>
      <c r="K21" s="612" t="s">
        <v>43</v>
      </c>
      <c r="L21" s="612" t="s">
        <v>295</v>
      </c>
      <c r="M21" s="612" t="s">
        <v>626</v>
      </c>
    </row>
    <row r="22" spans="2:13" ht="43.5">
      <c r="B22" s="614" t="s">
        <v>625</v>
      </c>
      <c r="C22" s="610"/>
      <c r="D22" s="610"/>
      <c r="E22" s="610"/>
      <c r="F22" s="610"/>
      <c r="G22" s="610"/>
      <c r="H22" s="610"/>
      <c r="I22" s="610">
        <v>953035</v>
      </c>
      <c r="J22" s="611">
        <f t="shared" si="0"/>
        <v>953035</v>
      </c>
      <c r="K22" s="612" t="s">
        <v>43</v>
      </c>
      <c r="L22" s="612" t="s">
        <v>295</v>
      </c>
      <c r="M22" s="612" t="s">
        <v>626</v>
      </c>
    </row>
    <row r="23" spans="2:13" ht="43.5">
      <c r="B23" s="614" t="s">
        <v>620</v>
      </c>
      <c r="C23" s="610"/>
      <c r="D23" s="610"/>
      <c r="E23" s="610"/>
      <c r="F23" s="610"/>
      <c r="G23" s="610"/>
      <c r="H23" s="610"/>
      <c r="I23" s="610">
        <v>26280</v>
      </c>
      <c r="J23" s="611">
        <f t="shared" si="0"/>
        <v>26280</v>
      </c>
      <c r="K23" s="612" t="s">
        <v>43</v>
      </c>
      <c r="L23" s="612" t="s">
        <v>295</v>
      </c>
      <c r="M23" s="612" t="s">
        <v>626</v>
      </c>
    </row>
    <row r="24" spans="2:13" ht="43.5">
      <c r="B24" s="614" t="s">
        <v>621</v>
      </c>
      <c r="C24" s="610"/>
      <c r="D24" s="610"/>
      <c r="E24" s="610"/>
      <c r="F24" s="610"/>
      <c r="G24" s="610"/>
      <c r="H24" s="610"/>
      <c r="I24" s="610">
        <v>20338</v>
      </c>
      <c r="J24" s="611">
        <f t="shared" si="0"/>
        <v>20338</v>
      </c>
      <c r="K24" s="612" t="s">
        <v>43</v>
      </c>
      <c r="L24" s="612" t="s">
        <v>295</v>
      </c>
      <c r="M24" s="612" t="s">
        <v>626</v>
      </c>
    </row>
    <row r="25" spans="2:13" ht="43.5">
      <c r="B25" s="614" t="s">
        <v>622</v>
      </c>
      <c r="C25" s="610"/>
      <c r="D25" s="610"/>
      <c r="E25" s="610"/>
      <c r="F25" s="610"/>
      <c r="G25" s="610"/>
      <c r="H25" s="610"/>
      <c r="I25" s="610">
        <v>92080</v>
      </c>
      <c r="J25" s="611">
        <f t="shared" si="0"/>
        <v>92080</v>
      </c>
      <c r="K25" s="612" t="s">
        <v>43</v>
      </c>
      <c r="L25" s="612" t="s">
        <v>295</v>
      </c>
      <c r="M25" s="612" t="s">
        <v>626</v>
      </c>
    </row>
    <row r="26" spans="2:13" ht="43.5">
      <c r="B26" s="614" t="s">
        <v>624</v>
      </c>
      <c r="C26" s="610"/>
      <c r="D26" s="610"/>
      <c r="E26" s="610"/>
      <c r="F26" s="610"/>
      <c r="G26" s="610"/>
      <c r="H26" s="610"/>
      <c r="I26" s="610">
        <v>94685</v>
      </c>
      <c r="J26" s="611">
        <f t="shared" si="0"/>
        <v>94685</v>
      </c>
      <c r="K26" s="612" t="s">
        <v>43</v>
      </c>
      <c r="L26" s="612" t="s">
        <v>295</v>
      </c>
      <c r="M26" s="612" t="s">
        <v>626</v>
      </c>
    </row>
    <row r="27" spans="2:112" ht="43.5">
      <c r="B27" s="614" t="s">
        <v>623</v>
      </c>
      <c r="C27" s="610"/>
      <c r="D27" s="610"/>
      <c r="E27" s="610"/>
      <c r="F27" s="610"/>
      <c r="G27" s="610"/>
      <c r="H27" s="610"/>
      <c r="I27" s="610">
        <v>161050</v>
      </c>
      <c r="J27" s="611">
        <f t="shared" si="0"/>
        <v>161050</v>
      </c>
      <c r="K27" s="612" t="s">
        <v>43</v>
      </c>
      <c r="L27" s="612" t="s">
        <v>295</v>
      </c>
      <c r="M27" s="612" t="s">
        <v>626</v>
      </c>
      <c r="DG27" s="99"/>
      <c r="DH27" s="1"/>
    </row>
    <row r="28" spans="2:13" ht="21.75">
      <c r="B28" s="617" t="s">
        <v>480</v>
      </c>
      <c r="C28" s="610"/>
      <c r="D28" s="610"/>
      <c r="E28" s="610"/>
      <c r="F28" s="610"/>
      <c r="G28" s="610"/>
      <c r="H28" s="610"/>
      <c r="I28" s="610"/>
      <c r="J28" s="611"/>
      <c r="K28" s="612"/>
      <c r="L28" s="612"/>
      <c r="M28" s="616"/>
    </row>
    <row r="29" spans="2:13" ht="43.5">
      <c r="B29" s="614" t="s">
        <v>627</v>
      </c>
      <c r="C29" s="610">
        <f>690200+690200</f>
        <v>1380400</v>
      </c>
      <c r="D29" s="610">
        <f>695890+695890</f>
        <v>1391780</v>
      </c>
      <c r="E29" s="610">
        <f>737200+737200</f>
        <v>1474400</v>
      </c>
      <c r="F29" s="610"/>
      <c r="G29" s="610">
        <f>100880+100880</f>
        <v>201760</v>
      </c>
      <c r="H29" s="610">
        <v>2590884</v>
      </c>
      <c r="I29" s="610"/>
      <c r="J29" s="611">
        <f t="shared" si="0"/>
        <v>7039224</v>
      </c>
      <c r="K29" s="612" t="s">
        <v>32</v>
      </c>
      <c r="L29" s="612" t="s">
        <v>631</v>
      </c>
      <c r="M29" s="616"/>
    </row>
    <row r="30" spans="2:13" ht="65.25">
      <c r="B30" s="614" t="s">
        <v>628</v>
      </c>
      <c r="C30" s="610"/>
      <c r="D30" s="610">
        <v>48074.5</v>
      </c>
      <c r="E30" s="610"/>
      <c r="F30" s="610"/>
      <c r="G30" s="610"/>
      <c r="H30" s="610"/>
      <c r="I30" s="610"/>
      <c r="J30" s="611">
        <f t="shared" si="0"/>
        <v>48074.5</v>
      </c>
      <c r="K30" s="612" t="s">
        <v>629</v>
      </c>
      <c r="L30" s="612" t="s">
        <v>635</v>
      </c>
      <c r="M30" s="616"/>
    </row>
    <row r="31" spans="2:13" ht="43.5">
      <c r="B31" s="614" t="s">
        <v>630</v>
      </c>
      <c r="C31" s="610"/>
      <c r="D31" s="610"/>
      <c r="E31" s="610"/>
      <c r="F31" s="610"/>
      <c r="G31" s="610"/>
      <c r="H31" s="610"/>
      <c r="I31" s="610">
        <v>14500</v>
      </c>
      <c r="J31" s="611">
        <f t="shared" si="0"/>
        <v>14500</v>
      </c>
      <c r="K31" s="612" t="s">
        <v>43</v>
      </c>
      <c r="L31" s="612" t="s">
        <v>295</v>
      </c>
      <c r="M31" s="616"/>
    </row>
    <row r="32" spans="2:13" ht="21.75">
      <c r="B32" s="605" t="s">
        <v>163</v>
      </c>
      <c r="C32" s="610"/>
      <c r="D32" s="610"/>
      <c r="E32" s="610"/>
      <c r="F32" s="610"/>
      <c r="G32" s="610"/>
      <c r="H32" s="610"/>
      <c r="I32" s="610"/>
      <c r="J32" s="611"/>
      <c r="K32" s="612"/>
      <c r="L32" s="612"/>
      <c r="M32" s="616"/>
    </row>
    <row r="33" spans="2:13" ht="43.5">
      <c r="B33" s="614" t="s">
        <v>632</v>
      </c>
      <c r="C33" s="610">
        <f>1000000/16</f>
        <v>62500</v>
      </c>
      <c r="D33" s="610"/>
      <c r="E33" s="610">
        <f>1000000/16</f>
        <v>62500</v>
      </c>
      <c r="F33" s="610">
        <f>1000000/16</f>
        <v>62500</v>
      </c>
      <c r="G33" s="610">
        <f>1000000/16</f>
        <v>62500</v>
      </c>
      <c r="H33" s="610">
        <f>62500*11</f>
        <v>687500</v>
      </c>
      <c r="I33" s="610"/>
      <c r="J33" s="611">
        <f t="shared" si="0"/>
        <v>937500</v>
      </c>
      <c r="K33" s="612" t="s">
        <v>633</v>
      </c>
      <c r="L33" s="612" t="s">
        <v>634</v>
      </c>
      <c r="M33" s="616"/>
    </row>
    <row r="34" spans="2:13" ht="21.75">
      <c r="B34" s="614" t="s">
        <v>636</v>
      </c>
      <c r="C34" s="610"/>
      <c r="D34" s="610"/>
      <c r="E34" s="610"/>
      <c r="F34" s="610"/>
      <c r="G34" s="610"/>
      <c r="H34" s="610"/>
      <c r="I34" s="610"/>
      <c r="J34" s="611"/>
      <c r="K34" s="612"/>
      <c r="L34" s="612"/>
      <c r="M34" s="616"/>
    </row>
    <row r="35" spans="2:13" ht="43.5">
      <c r="B35" s="614" t="s">
        <v>1064</v>
      </c>
      <c r="C35" s="610"/>
      <c r="D35" s="610">
        <v>345000</v>
      </c>
      <c r="E35" s="610">
        <v>700000</v>
      </c>
      <c r="F35" s="610"/>
      <c r="G35" s="610">
        <v>345000</v>
      </c>
      <c r="H35" s="610"/>
      <c r="I35" s="610"/>
      <c r="J35" s="611">
        <f t="shared" si="0"/>
        <v>1390000</v>
      </c>
      <c r="K35" s="618" t="s">
        <v>647</v>
      </c>
      <c r="L35" s="612" t="s">
        <v>816</v>
      </c>
      <c r="M35" s="616"/>
    </row>
    <row r="36" spans="2:13" ht="28.5" customHeight="1">
      <c r="B36" s="614" t="s">
        <v>1065</v>
      </c>
      <c r="C36" s="610"/>
      <c r="D36" s="610"/>
      <c r="E36" s="610"/>
      <c r="F36" s="610"/>
      <c r="G36" s="610">
        <v>390000</v>
      </c>
      <c r="H36" s="610"/>
      <c r="I36" s="610"/>
      <c r="J36" s="611">
        <f t="shared" si="0"/>
        <v>390000</v>
      </c>
      <c r="K36" s="614" t="s">
        <v>637</v>
      </c>
      <c r="L36" s="612" t="s">
        <v>416</v>
      </c>
      <c r="M36" s="616"/>
    </row>
    <row r="37" spans="2:13" ht="43.5">
      <c r="B37" s="614" t="s">
        <v>1066</v>
      </c>
      <c r="C37" s="610"/>
      <c r="D37" s="610"/>
      <c r="E37" s="610"/>
      <c r="F37" s="610"/>
      <c r="G37" s="610"/>
      <c r="H37" s="610">
        <v>460000</v>
      </c>
      <c r="I37" s="610"/>
      <c r="J37" s="611">
        <f t="shared" si="0"/>
        <v>460000</v>
      </c>
      <c r="K37" s="614" t="s">
        <v>638</v>
      </c>
      <c r="L37" s="612" t="s">
        <v>185</v>
      </c>
      <c r="M37" s="616"/>
    </row>
    <row r="38" spans="2:13" ht="43.5">
      <c r="B38" s="614" t="s">
        <v>1067</v>
      </c>
      <c r="C38" s="610"/>
      <c r="D38" s="610"/>
      <c r="E38" s="610"/>
      <c r="F38" s="610"/>
      <c r="G38" s="610"/>
      <c r="H38" s="610">
        <f>230000</f>
        <v>230000</v>
      </c>
      <c r="I38" s="610"/>
      <c r="J38" s="611">
        <f t="shared" si="0"/>
        <v>230000</v>
      </c>
      <c r="K38" s="614" t="s">
        <v>639</v>
      </c>
      <c r="L38" s="612" t="s">
        <v>416</v>
      </c>
      <c r="M38" s="616"/>
    </row>
    <row r="39" spans="2:13" ht="43.5">
      <c r="B39" s="614" t="s">
        <v>1082</v>
      </c>
      <c r="C39" s="610"/>
      <c r="D39" s="610"/>
      <c r="E39" s="610">
        <v>540000</v>
      </c>
      <c r="F39" s="610"/>
      <c r="G39" s="610"/>
      <c r="H39" s="610"/>
      <c r="I39" s="610"/>
      <c r="J39" s="611">
        <f t="shared" si="0"/>
        <v>540000</v>
      </c>
      <c r="K39" s="614" t="s">
        <v>640</v>
      </c>
      <c r="L39" s="612" t="s">
        <v>185</v>
      </c>
      <c r="M39" s="616"/>
    </row>
    <row r="40" spans="2:13" ht="43.5">
      <c r="B40" s="614" t="s">
        <v>1068</v>
      </c>
      <c r="C40" s="610"/>
      <c r="D40" s="610"/>
      <c r="E40" s="610"/>
      <c r="F40" s="610"/>
      <c r="G40" s="610"/>
      <c r="H40" s="610">
        <v>320000</v>
      </c>
      <c r="I40" s="610"/>
      <c r="J40" s="611">
        <f t="shared" si="0"/>
        <v>320000</v>
      </c>
      <c r="K40" s="614" t="s">
        <v>641</v>
      </c>
      <c r="L40" s="612" t="s">
        <v>416</v>
      </c>
      <c r="M40" s="616"/>
    </row>
    <row r="41" spans="2:13" ht="43.5">
      <c r="B41" s="614" t="s">
        <v>1069</v>
      </c>
      <c r="C41" s="610"/>
      <c r="D41" s="610"/>
      <c r="E41" s="610"/>
      <c r="F41" s="610"/>
      <c r="G41" s="610">
        <v>580000</v>
      </c>
      <c r="H41" s="610">
        <f>290000</f>
        <v>290000</v>
      </c>
      <c r="I41" s="610"/>
      <c r="J41" s="611">
        <f t="shared" si="0"/>
        <v>870000</v>
      </c>
      <c r="K41" s="614" t="s">
        <v>642</v>
      </c>
      <c r="L41" s="612" t="s">
        <v>417</v>
      </c>
      <c r="M41" s="616"/>
    </row>
    <row r="42" spans="2:13" ht="43.5">
      <c r="B42" s="614" t="s">
        <v>1070</v>
      </c>
      <c r="C42" s="610"/>
      <c r="D42" s="610"/>
      <c r="E42" s="610"/>
      <c r="F42" s="610"/>
      <c r="G42" s="610">
        <f>295000*2</f>
        <v>590000</v>
      </c>
      <c r="H42" s="610">
        <f>(295000*5)</f>
        <v>1475000</v>
      </c>
      <c r="I42" s="610"/>
      <c r="J42" s="611">
        <f t="shared" si="0"/>
        <v>2065000</v>
      </c>
      <c r="K42" s="614" t="s">
        <v>643</v>
      </c>
      <c r="L42" s="612" t="s">
        <v>817</v>
      </c>
      <c r="M42" s="616"/>
    </row>
    <row r="43" spans="2:13" ht="43.5">
      <c r="B43" s="614" t="s">
        <v>1071</v>
      </c>
      <c r="C43" s="610"/>
      <c r="D43" s="610"/>
      <c r="E43" s="610"/>
      <c r="F43" s="610"/>
      <c r="G43" s="610"/>
      <c r="H43" s="610">
        <v>250000</v>
      </c>
      <c r="I43" s="610"/>
      <c r="J43" s="611">
        <f t="shared" si="0"/>
        <v>250000</v>
      </c>
      <c r="K43" s="614" t="s">
        <v>644</v>
      </c>
      <c r="L43" s="612" t="s">
        <v>416</v>
      </c>
      <c r="M43" s="616"/>
    </row>
    <row r="44" spans="2:13" ht="43.5">
      <c r="B44" s="614" t="s">
        <v>1072</v>
      </c>
      <c r="C44" s="610"/>
      <c r="D44" s="610"/>
      <c r="E44" s="610"/>
      <c r="F44" s="610"/>
      <c r="G44" s="610">
        <f>290000</f>
        <v>290000</v>
      </c>
      <c r="H44" s="610"/>
      <c r="I44" s="610"/>
      <c r="J44" s="611">
        <f t="shared" si="0"/>
        <v>290000</v>
      </c>
      <c r="K44" s="614" t="s">
        <v>645</v>
      </c>
      <c r="L44" s="612" t="s">
        <v>416</v>
      </c>
      <c r="M44" s="616"/>
    </row>
    <row r="45" spans="2:13" ht="43.5">
      <c r="B45" s="614" t="s">
        <v>1073</v>
      </c>
      <c r="C45" s="610"/>
      <c r="D45" s="610"/>
      <c r="E45" s="610"/>
      <c r="F45" s="610"/>
      <c r="G45" s="610"/>
      <c r="H45" s="610">
        <v>260000</v>
      </c>
      <c r="I45" s="610"/>
      <c r="J45" s="611">
        <f t="shared" si="0"/>
        <v>260000</v>
      </c>
      <c r="K45" s="614" t="s">
        <v>646</v>
      </c>
      <c r="L45" s="612" t="s">
        <v>416</v>
      </c>
      <c r="M45" s="616"/>
    </row>
    <row r="46" spans="2:13" ht="43.5">
      <c r="B46" s="610" t="s">
        <v>1074</v>
      </c>
      <c r="C46" s="610"/>
      <c r="D46" s="610"/>
      <c r="E46" s="610"/>
      <c r="F46" s="610"/>
      <c r="G46" s="610"/>
      <c r="H46" s="610">
        <f>30000+60000+90000</f>
        <v>180000</v>
      </c>
      <c r="I46" s="610"/>
      <c r="J46" s="611">
        <f t="shared" si="0"/>
        <v>180000</v>
      </c>
      <c r="K46" s="612" t="s">
        <v>32</v>
      </c>
      <c r="L46" s="612" t="s">
        <v>416</v>
      </c>
      <c r="M46" s="616"/>
    </row>
    <row r="47" spans="2:13" ht="43.5">
      <c r="B47" s="614" t="s">
        <v>1047</v>
      </c>
      <c r="C47" s="610">
        <v>150000</v>
      </c>
      <c r="D47" s="610"/>
      <c r="E47" s="610"/>
      <c r="F47" s="610"/>
      <c r="G47" s="610"/>
      <c r="H47" s="610"/>
      <c r="I47" s="610"/>
      <c r="J47" s="611">
        <f t="shared" si="0"/>
        <v>150000</v>
      </c>
      <c r="K47" s="612" t="s">
        <v>297</v>
      </c>
      <c r="L47" s="612" t="s">
        <v>648</v>
      </c>
      <c r="M47" s="616"/>
    </row>
    <row r="48" spans="2:13" ht="21.75">
      <c r="B48" s="610" t="s">
        <v>818</v>
      </c>
      <c r="C48" s="610"/>
      <c r="D48" s="610"/>
      <c r="E48" s="610"/>
      <c r="F48" s="610"/>
      <c r="G48" s="610"/>
      <c r="H48" s="610"/>
      <c r="I48" s="610"/>
      <c r="J48" s="611"/>
      <c r="K48" s="612"/>
      <c r="L48" s="612"/>
      <c r="M48" s="616"/>
    </row>
    <row r="49" spans="2:13" ht="43.5">
      <c r="B49" s="610" t="s">
        <v>1075</v>
      </c>
      <c r="C49" s="610"/>
      <c r="D49" s="610"/>
      <c r="E49" s="610"/>
      <c r="F49" s="610"/>
      <c r="G49" s="610">
        <v>108000</v>
      </c>
      <c r="H49" s="610"/>
      <c r="I49" s="610"/>
      <c r="J49" s="611">
        <f t="shared" si="0"/>
        <v>108000</v>
      </c>
      <c r="K49" s="612" t="s">
        <v>647</v>
      </c>
      <c r="L49" s="612" t="s">
        <v>416</v>
      </c>
      <c r="M49" s="616"/>
    </row>
    <row r="50" spans="2:13" ht="65.25">
      <c r="B50" s="610" t="s">
        <v>1058</v>
      </c>
      <c r="C50" s="610"/>
      <c r="D50" s="610"/>
      <c r="E50" s="610"/>
      <c r="F50" s="610"/>
      <c r="G50" s="610"/>
      <c r="H50" s="610">
        <v>45000</v>
      </c>
      <c r="I50" s="610"/>
      <c r="J50" s="611">
        <f t="shared" si="0"/>
        <v>45000</v>
      </c>
      <c r="K50" s="610" t="s">
        <v>819</v>
      </c>
      <c r="L50" s="612" t="s">
        <v>416</v>
      </c>
      <c r="M50" s="616"/>
    </row>
    <row r="51" spans="2:13" ht="43.5">
      <c r="B51" s="610" t="s">
        <v>1059</v>
      </c>
      <c r="C51" s="610"/>
      <c r="D51" s="610"/>
      <c r="E51" s="610">
        <f>81000*3</f>
        <v>243000</v>
      </c>
      <c r="F51" s="610"/>
      <c r="G51" s="610">
        <v>81000</v>
      </c>
      <c r="H51" s="610">
        <f>81000*3</f>
        <v>243000</v>
      </c>
      <c r="I51" s="610"/>
      <c r="J51" s="611">
        <f t="shared" si="0"/>
        <v>567000</v>
      </c>
      <c r="K51" s="612" t="s">
        <v>820</v>
      </c>
      <c r="L51" s="612" t="s">
        <v>416</v>
      </c>
      <c r="M51" s="616"/>
    </row>
    <row r="52" spans="2:13" ht="43.5">
      <c r="B52" s="610" t="s">
        <v>1060</v>
      </c>
      <c r="C52" s="610"/>
      <c r="D52" s="610"/>
      <c r="E52" s="610"/>
      <c r="F52" s="610"/>
      <c r="G52" s="610"/>
      <c r="H52" s="610">
        <v>108000</v>
      </c>
      <c r="I52" s="610"/>
      <c r="J52" s="611">
        <f t="shared" si="0"/>
        <v>108000</v>
      </c>
      <c r="K52" s="612" t="s">
        <v>639</v>
      </c>
      <c r="L52" s="612" t="s">
        <v>416</v>
      </c>
      <c r="M52" s="616"/>
    </row>
    <row r="53" spans="2:13" ht="43.5">
      <c r="B53" s="610" t="s">
        <v>1061</v>
      </c>
      <c r="C53" s="610"/>
      <c r="D53" s="610"/>
      <c r="E53" s="610"/>
      <c r="F53" s="610"/>
      <c r="G53" s="610"/>
      <c r="H53" s="610">
        <v>108000</v>
      </c>
      <c r="I53" s="610"/>
      <c r="J53" s="611">
        <f t="shared" si="0"/>
        <v>108000</v>
      </c>
      <c r="K53" s="612" t="s">
        <v>821</v>
      </c>
      <c r="L53" s="612" t="s">
        <v>416</v>
      </c>
      <c r="M53" s="616"/>
    </row>
    <row r="54" spans="2:13" ht="43.5">
      <c r="B54" s="610" t="s">
        <v>1062</v>
      </c>
      <c r="C54" s="610"/>
      <c r="D54" s="610"/>
      <c r="E54" s="610"/>
      <c r="F54" s="610"/>
      <c r="G54" s="610">
        <v>108000</v>
      </c>
      <c r="H54" s="610"/>
      <c r="I54" s="610"/>
      <c r="J54" s="611">
        <f t="shared" si="0"/>
        <v>108000</v>
      </c>
      <c r="K54" s="612" t="s">
        <v>822</v>
      </c>
      <c r="L54" s="612" t="s">
        <v>416</v>
      </c>
      <c r="M54" s="616"/>
    </row>
    <row r="55" spans="2:13" ht="43.5">
      <c r="B55" s="614" t="s">
        <v>1063</v>
      </c>
      <c r="C55" s="610"/>
      <c r="D55" s="610">
        <v>45000</v>
      </c>
      <c r="E55" s="610">
        <v>45000</v>
      </c>
      <c r="F55" s="610"/>
      <c r="G55" s="610"/>
      <c r="H55" s="610"/>
      <c r="I55" s="610"/>
      <c r="J55" s="611">
        <f t="shared" si="0"/>
        <v>90000</v>
      </c>
      <c r="K55" s="612" t="s">
        <v>650</v>
      </c>
      <c r="L55" s="612" t="s">
        <v>416</v>
      </c>
      <c r="M55" s="616"/>
    </row>
    <row r="56" spans="2:13" ht="108.75">
      <c r="B56" s="610" t="s">
        <v>984</v>
      </c>
      <c r="C56" s="610"/>
      <c r="D56" s="610"/>
      <c r="E56" s="610">
        <v>186000</v>
      </c>
      <c r="F56" s="610"/>
      <c r="G56" s="610"/>
      <c r="H56" s="610"/>
      <c r="I56" s="610"/>
      <c r="J56" s="611">
        <f t="shared" si="0"/>
        <v>186000</v>
      </c>
      <c r="K56" s="612" t="s">
        <v>647</v>
      </c>
      <c r="L56" s="612" t="s">
        <v>416</v>
      </c>
      <c r="M56" s="616"/>
    </row>
    <row r="57" spans="2:13" ht="43.5">
      <c r="B57" s="610" t="s">
        <v>823</v>
      </c>
      <c r="C57" s="610"/>
      <c r="D57" s="610"/>
      <c r="E57" s="610"/>
      <c r="F57" s="610"/>
      <c r="G57" s="610">
        <v>22000</v>
      </c>
      <c r="H57" s="610"/>
      <c r="I57" s="610"/>
      <c r="J57" s="611">
        <f t="shared" si="0"/>
        <v>22000</v>
      </c>
      <c r="K57" s="612" t="s">
        <v>651</v>
      </c>
      <c r="L57" s="612" t="s">
        <v>416</v>
      </c>
      <c r="M57" s="616"/>
    </row>
    <row r="58" spans="2:13" ht="65.25">
      <c r="B58" s="614" t="s">
        <v>824</v>
      </c>
      <c r="C58" s="610"/>
      <c r="D58" s="610">
        <v>25000</v>
      </c>
      <c r="E58" s="610"/>
      <c r="F58" s="610"/>
      <c r="G58" s="610"/>
      <c r="H58" s="610"/>
      <c r="I58" s="610"/>
      <c r="J58" s="611">
        <f t="shared" si="0"/>
        <v>25000</v>
      </c>
      <c r="K58" s="612" t="s">
        <v>32</v>
      </c>
      <c r="L58" s="612" t="s">
        <v>429</v>
      </c>
      <c r="M58" s="616"/>
    </row>
    <row r="59" spans="2:13" ht="65.25">
      <c r="B59" s="614" t="s">
        <v>825</v>
      </c>
      <c r="C59" s="610"/>
      <c r="D59" s="610">
        <v>100000</v>
      </c>
      <c r="E59" s="610">
        <f>410000+95000+47500+54000</f>
        <v>606500</v>
      </c>
      <c r="F59" s="610">
        <f>205000+190000+48000</f>
        <v>443000</v>
      </c>
      <c r="G59" s="610">
        <f>102500+24000</f>
        <v>126500</v>
      </c>
      <c r="H59" s="610">
        <f>205000+102500+51250+47500+47500</f>
        <v>453750</v>
      </c>
      <c r="I59" s="610"/>
      <c r="J59" s="611">
        <f t="shared" si="0"/>
        <v>1729750</v>
      </c>
      <c r="K59" s="612" t="s">
        <v>649</v>
      </c>
      <c r="L59" s="612" t="s">
        <v>652</v>
      </c>
      <c r="M59" s="616"/>
    </row>
    <row r="60" spans="2:13" ht="65.25">
      <c r="B60" s="614" t="s">
        <v>826</v>
      </c>
      <c r="C60" s="610"/>
      <c r="D60" s="610"/>
      <c r="E60" s="610">
        <f>49872.5+3920+10220+37289.9</f>
        <v>101302.4</v>
      </c>
      <c r="F60" s="610"/>
      <c r="G60" s="610"/>
      <c r="H60" s="610"/>
      <c r="I60" s="610"/>
      <c r="J60" s="611">
        <f t="shared" si="0"/>
        <v>101302.4</v>
      </c>
      <c r="K60" s="612" t="s">
        <v>32</v>
      </c>
      <c r="L60" s="612" t="s">
        <v>653</v>
      </c>
      <c r="M60" s="616"/>
    </row>
    <row r="61" spans="2:13" ht="21.75">
      <c r="B61" s="614" t="s">
        <v>827</v>
      </c>
      <c r="C61" s="610"/>
      <c r="D61" s="610"/>
      <c r="E61" s="610"/>
      <c r="F61" s="610"/>
      <c r="G61" s="610"/>
      <c r="H61" s="610"/>
      <c r="I61" s="610">
        <v>27012.13</v>
      </c>
      <c r="J61" s="611">
        <f t="shared" si="0"/>
        <v>27012.13</v>
      </c>
      <c r="K61" s="612" t="s">
        <v>43</v>
      </c>
      <c r="L61" s="612"/>
      <c r="M61" s="616"/>
    </row>
    <row r="62" spans="2:13" ht="65.25">
      <c r="B62" s="614" t="s">
        <v>828</v>
      </c>
      <c r="C62" s="610"/>
      <c r="D62" s="610"/>
      <c r="E62" s="610"/>
      <c r="F62" s="610"/>
      <c r="G62" s="610"/>
      <c r="H62" s="610"/>
      <c r="I62" s="610">
        <v>11824</v>
      </c>
      <c r="J62" s="611">
        <f t="shared" si="0"/>
        <v>11824</v>
      </c>
      <c r="K62" s="612" t="s">
        <v>43</v>
      </c>
      <c r="L62" s="612"/>
      <c r="M62" s="616"/>
    </row>
    <row r="63" spans="2:13" ht="43.5">
      <c r="B63" s="614" t="s">
        <v>829</v>
      </c>
      <c r="C63" s="610"/>
      <c r="D63" s="610"/>
      <c r="E63" s="610"/>
      <c r="F63" s="610"/>
      <c r="G63" s="610"/>
      <c r="H63" s="610"/>
      <c r="I63" s="610">
        <v>19902</v>
      </c>
      <c r="J63" s="611">
        <f t="shared" si="0"/>
        <v>19902</v>
      </c>
      <c r="K63" s="612" t="s">
        <v>43</v>
      </c>
      <c r="L63" s="612"/>
      <c r="M63" s="616"/>
    </row>
    <row r="64" spans="2:13" ht="65.25">
      <c r="B64" s="614" t="s">
        <v>830</v>
      </c>
      <c r="C64" s="610"/>
      <c r="D64" s="610"/>
      <c r="E64" s="610"/>
      <c r="F64" s="610"/>
      <c r="G64" s="610"/>
      <c r="H64" s="610"/>
      <c r="I64" s="610">
        <v>20000</v>
      </c>
      <c r="J64" s="611">
        <f t="shared" si="0"/>
        <v>20000</v>
      </c>
      <c r="K64" s="612" t="s">
        <v>43</v>
      </c>
      <c r="L64" s="612"/>
      <c r="M64" s="616"/>
    </row>
    <row r="65" spans="2:13" ht="21.75">
      <c r="B65" s="617" t="s">
        <v>320</v>
      </c>
      <c r="C65" s="610"/>
      <c r="D65" s="610"/>
      <c r="E65" s="610"/>
      <c r="F65" s="610"/>
      <c r="G65" s="610"/>
      <c r="H65" s="610"/>
      <c r="I65" s="610"/>
      <c r="J65" s="610"/>
      <c r="K65" s="612"/>
      <c r="L65" s="614"/>
      <c r="M65" s="616"/>
    </row>
    <row r="66" spans="2:13" ht="87">
      <c r="B66" s="614" t="s">
        <v>831</v>
      </c>
      <c r="C66" s="610">
        <v>1718542</v>
      </c>
      <c r="D66" s="610"/>
      <c r="E66" s="610"/>
      <c r="F66" s="610"/>
      <c r="G66" s="610"/>
      <c r="H66" s="610"/>
      <c r="I66" s="610"/>
      <c r="J66" s="611">
        <f t="shared" si="0"/>
        <v>1718542</v>
      </c>
      <c r="K66" s="612" t="s">
        <v>43</v>
      </c>
      <c r="L66" s="614" t="s">
        <v>315</v>
      </c>
      <c r="M66" s="616"/>
    </row>
    <row r="67" spans="2:13" ht="65.25">
      <c r="B67" s="614" t="s">
        <v>832</v>
      </c>
      <c r="C67" s="610"/>
      <c r="D67" s="610"/>
      <c r="E67" s="610">
        <v>333800</v>
      </c>
      <c r="F67" s="610"/>
      <c r="G67" s="610"/>
      <c r="H67" s="610">
        <f>216600+72200</f>
        <v>288800</v>
      </c>
      <c r="I67" s="610"/>
      <c r="J67" s="611">
        <f t="shared" si="0"/>
        <v>622600</v>
      </c>
      <c r="K67" s="612" t="s">
        <v>43</v>
      </c>
      <c r="L67" s="614" t="s">
        <v>414</v>
      </c>
      <c r="M67" s="616"/>
    </row>
    <row r="68" spans="2:13" ht="43.5">
      <c r="B68" s="614" t="s">
        <v>833</v>
      </c>
      <c r="C68" s="610">
        <v>635800</v>
      </c>
      <c r="D68" s="610">
        <v>126100</v>
      </c>
      <c r="E68" s="610">
        <v>7000</v>
      </c>
      <c r="F68" s="610">
        <v>356415</v>
      </c>
      <c r="G68" s="610">
        <v>43280</v>
      </c>
      <c r="H68" s="610">
        <v>1556794</v>
      </c>
      <c r="I68" s="610"/>
      <c r="J68" s="611">
        <f t="shared" si="0"/>
        <v>2725389</v>
      </c>
      <c r="K68" s="612" t="s">
        <v>43</v>
      </c>
      <c r="L68" s="614" t="s">
        <v>654</v>
      </c>
      <c r="M68" s="616"/>
    </row>
    <row r="69" spans="2:13" ht="70.5" customHeight="1">
      <c r="B69" s="614" t="s">
        <v>834</v>
      </c>
      <c r="C69" s="610"/>
      <c r="D69" s="610"/>
      <c r="E69" s="610"/>
      <c r="F69" s="610"/>
      <c r="G69" s="610"/>
      <c r="H69" s="610">
        <v>3706401</v>
      </c>
      <c r="I69" s="610"/>
      <c r="J69" s="611">
        <f t="shared" si="0"/>
        <v>3706401</v>
      </c>
      <c r="K69" s="612" t="s">
        <v>43</v>
      </c>
      <c r="L69" s="614" t="s">
        <v>655</v>
      </c>
      <c r="M69" s="616"/>
    </row>
    <row r="70" spans="2:13" ht="65.25">
      <c r="B70" s="614" t="s">
        <v>835</v>
      </c>
      <c r="C70" s="610"/>
      <c r="D70" s="610"/>
      <c r="E70" s="610"/>
      <c r="F70" s="610"/>
      <c r="G70" s="610"/>
      <c r="H70" s="610"/>
      <c r="I70" s="610">
        <v>77016</v>
      </c>
      <c r="J70" s="611">
        <f t="shared" si="0"/>
        <v>77016</v>
      </c>
      <c r="K70" s="612" t="s">
        <v>43</v>
      </c>
      <c r="L70" s="612" t="s">
        <v>101</v>
      </c>
      <c r="M70" s="616"/>
    </row>
    <row r="71" spans="2:13" ht="65.25">
      <c r="B71" s="614" t="s">
        <v>836</v>
      </c>
      <c r="C71" s="610"/>
      <c r="D71" s="610"/>
      <c r="E71" s="610"/>
      <c r="F71" s="610"/>
      <c r="G71" s="610"/>
      <c r="H71" s="610"/>
      <c r="I71" s="610">
        <v>25368</v>
      </c>
      <c r="J71" s="611">
        <f t="shared" si="0"/>
        <v>25368</v>
      </c>
      <c r="K71" s="612" t="s">
        <v>43</v>
      </c>
      <c r="L71" s="612" t="s">
        <v>101</v>
      </c>
      <c r="M71" s="616"/>
    </row>
    <row r="72" spans="2:13" ht="87">
      <c r="B72" s="614" t="s">
        <v>837</v>
      </c>
      <c r="C72" s="610"/>
      <c r="D72" s="610"/>
      <c r="E72" s="610"/>
      <c r="F72" s="610"/>
      <c r="G72" s="610"/>
      <c r="H72" s="610"/>
      <c r="I72" s="610">
        <v>26563.6</v>
      </c>
      <c r="J72" s="611">
        <f t="shared" si="0"/>
        <v>26563.6</v>
      </c>
      <c r="K72" s="612" t="s">
        <v>43</v>
      </c>
      <c r="L72" s="612" t="s">
        <v>101</v>
      </c>
      <c r="M72" s="616"/>
    </row>
    <row r="73" spans="2:13" ht="65.25">
      <c r="B73" s="614" t="s">
        <v>838</v>
      </c>
      <c r="C73" s="610"/>
      <c r="D73" s="610"/>
      <c r="E73" s="610"/>
      <c r="F73" s="610"/>
      <c r="G73" s="610"/>
      <c r="H73" s="610"/>
      <c r="I73" s="610">
        <v>37339.97</v>
      </c>
      <c r="J73" s="611">
        <f aca="true" t="shared" si="1" ref="J73:J136">SUM(C73:I73)</f>
        <v>37339.97</v>
      </c>
      <c r="K73" s="612" t="s">
        <v>43</v>
      </c>
      <c r="L73" s="612" t="s">
        <v>101</v>
      </c>
      <c r="M73" s="616"/>
    </row>
    <row r="74" spans="2:13" ht="130.5">
      <c r="B74" s="614" t="s">
        <v>839</v>
      </c>
      <c r="C74" s="610"/>
      <c r="D74" s="610"/>
      <c r="E74" s="610"/>
      <c r="F74" s="610"/>
      <c r="G74" s="610"/>
      <c r="H74" s="610"/>
      <c r="I74" s="610">
        <v>4396</v>
      </c>
      <c r="J74" s="611">
        <f t="shared" si="1"/>
        <v>4396</v>
      </c>
      <c r="K74" s="612" t="s">
        <v>43</v>
      </c>
      <c r="L74" s="612" t="s">
        <v>101</v>
      </c>
      <c r="M74" s="616"/>
    </row>
    <row r="75" spans="2:13" ht="87">
      <c r="B75" s="614" t="s">
        <v>840</v>
      </c>
      <c r="C75" s="610"/>
      <c r="D75" s="610"/>
      <c r="E75" s="610"/>
      <c r="F75" s="610"/>
      <c r="G75" s="610"/>
      <c r="H75" s="610"/>
      <c r="I75" s="610">
        <v>12067.5</v>
      </c>
      <c r="J75" s="611">
        <f t="shared" si="1"/>
        <v>12067.5</v>
      </c>
      <c r="K75" s="612" t="s">
        <v>43</v>
      </c>
      <c r="L75" s="612" t="s">
        <v>101</v>
      </c>
      <c r="M75" s="616"/>
    </row>
    <row r="76" spans="2:13" ht="43.5">
      <c r="B76" s="614" t="s">
        <v>841</v>
      </c>
      <c r="C76" s="610"/>
      <c r="D76" s="610"/>
      <c r="E76" s="610"/>
      <c r="F76" s="610"/>
      <c r="G76" s="610"/>
      <c r="H76" s="610"/>
      <c r="I76" s="610">
        <v>32220</v>
      </c>
      <c r="J76" s="611">
        <f t="shared" si="1"/>
        <v>32220</v>
      </c>
      <c r="K76" s="612" t="s">
        <v>43</v>
      </c>
      <c r="L76" s="612" t="s">
        <v>101</v>
      </c>
      <c r="M76" s="616"/>
    </row>
    <row r="77" spans="2:13" ht="65.25">
      <c r="B77" s="621" t="s">
        <v>842</v>
      </c>
      <c r="C77" s="613"/>
      <c r="D77" s="613"/>
      <c r="E77" s="613"/>
      <c r="F77" s="613"/>
      <c r="G77" s="613"/>
      <c r="H77" s="613"/>
      <c r="I77" s="613">
        <v>17005</v>
      </c>
      <c r="J77" s="759">
        <f t="shared" si="1"/>
        <v>17005</v>
      </c>
      <c r="K77" s="614" t="s">
        <v>633</v>
      </c>
      <c r="L77" s="619" t="s">
        <v>101</v>
      </c>
      <c r="M77" s="616"/>
    </row>
    <row r="78" spans="2:13" ht="21.75">
      <c r="B78" s="758" t="s">
        <v>314</v>
      </c>
      <c r="C78" s="610"/>
      <c r="D78" s="610"/>
      <c r="E78" s="610"/>
      <c r="F78" s="610"/>
      <c r="G78" s="610"/>
      <c r="H78" s="610"/>
      <c r="I78" s="610"/>
      <c r="J78" s="611"/>
      <c r="K78" s="612"/>
      <c r="L78" s="614"/>
      <c r="M78" s="616"/>
    </row>
    <row r="79" spans="2:13" ht="130.5">
      <c r="B79" s="586" t="s">
        <v>375</v>
      </c>
      <c r="C79" s="610">
        <f>955000+2590000</f>
        <v>3545000</v>
      </c>
      <c r="D79" s="610"/>
      <c r="E79" s="610"/>
      <c r="F79" s="610"/>
      <c r="G79" s="610"/>
      <c r="H79" s="610"/>
      <c r="I79" s="610"/>
      <c r="J79" s="611">
        <f t="shared" si="1"/>
        <v>3545000</v>
      </c>
      <c r="K79" s="612" t="s">
        <v>43</v>
      </c>
      <c r="L79" s="614" t="s">
        <v>656</v>
      </c>
      <c r="M79" s="616"/>
    </row>
    <row r="80" spans="2:13" ht="21.75">
      <c r="B80" s="605" t="s">
        <v>657</v>
      </c>
      <c r="C80" s="610"/>
      <c r="D80" s="610"/>
      <c r="E80" s="610"/>
      <c r="F80" s="610"/>
      <c r="G80" s="610"/>
      <c r="H80" s="610"/>
      <c r="I80" s="610"/>
      <c r="J80" s="611"/>
      <c r="K80" s="612"/>
      <c r="L80" s="614"/>
      <c r="M80" s="616"/>
    </row>
    <row r="81" spans="2:13" ht="130.5">
      <c r="B81" s="586" t="s">
        <v>843</v>
      </c>
      <c r="C81" s="610"/>
      <c r="D81" s="610"/>
      <c r="E81" s="610"/>
      <c r="F81" s="610"/>
      <c r="G81" s="610"/>
      <c r="H81" s="610"/>
      <c r="I81" s="610"/>
      <c r="J81" s="611"/>
      <c r="K81" s="612"/>
      <c r="L81" s="614"/>
      <c r="M81" s="616"/>
    </row>
    <row r="82" spans="2:13" ht="43.5">
      <c r="B82" s="614" t="s">
        <v>1055</v>
      </c>
      <c r="C82" s="610">
        <v>359500</v>
      </c>
      <c r="D82" s="610"/>
      <c r="E82" s="610"/>
      <c r="F82" s="610"/>
      <c r="G82" s="610"/>
      <c r="H82" s="610"/>
      <c r="I82" s="610"/>
      <c r="J82" s="611">
        <f t="shared" si="1"/>
        <v>359500</v>
      </c>
      <c r="K82" s="612" t="s">
        <v>844</v>
      </c>
      <c r="L82" s="614" t="s">
        <v>771</v>
      </c>
      <c r="M82" s="616"/>
    </row>
    <row r="83" spans="2:13" ht="87">
      <c r="B83" s="614" t="s">
        <v>1055</v>
      </c>
      <c r="C83" s="610">
        <v>287600</v>
      </c>
      <c r="D83" s="610"/>
      <c r="E83" s="610"/>
      <c r="F83" s="610"/>
      <c r="G83" s="610"/>
      <c r="H83" s="610"/>
      <c r="I83" s="610"/>
      <c r="J83" s="611">
        <f t="shared" si="1"/>
        <v>287600</v>
      </c>
      <c r="K83" s="612" t="s">
        <v>845</v>
      </c>
      <c r="L83" s="614" t="s">
        <v>846</v>
      </c>
      <c r="M83" s="616"/>
    </row>
    <row r="84" spans="2:13" ht="65.25">
      <c r="B84" s="614" t="s">
        <v>1055</v>
      </c>
      <c r="C84" s="610">
        <v>359500</v>
      </c>
      <c r="D84" s="610"/>
      <c r="E84" s="610"/>
      <c r="F84" s="610"/>
      <c r="G84" s="610"/>
      <c r="H84" s="610"/>
      <c r="I84" s="610"/>
      <c r="J84" s="611">
        <f t="shared" si="1"/>
        <v>359500</v>
      </c>
      <c r="K84" s="612" t="s">
        <v>847</v>
      </c>
      <c r="L84" s="614" t="s">
        <v>771</v>
      </c>
      <c r="M84" s="616"/>
    </row>
    <row r="85" spans="2:13" ht="43.5">
      <c r="B85" s="614" t="s">
        <v>1055</v>
      </c>
      <c r="C85" s="610">
        <v>2804200</v>
      </c>
      <c r="D85" s="610"/>
      <c r="E85" s="610"/>
      <c r="F85" s="610"/>
      <c r="G85" s="610"/>
      <c r="H85" s="610"/>
      <c r="I85" s="610"/>
      <c r="J85" s="611">
        <f t="shared" si="1"/>
        <v>2804200</v>
      </c>
      <c r="K85" s="612" t="s">
        <v>848</v>
      </c>
      <c r="L85" s="614" t="s">
        <v>849</v>
      </c>
      <c r="M85" s="616"/>
    </row>
    <row r="86" spans="2:13" ht="43.5">
      <c r="B86" s="614" t="s">
        <v>1055</v>
      </c>
      <c r="C86" s="610">
        <v>1307400</v>
      </c>
      <c r="D86" s="610"/>
      <c r="E86" s="610"/>
      <c r="F86" s="610"/>
      <c r="G86" s="610"/>
      <c r="H86" s="610"/>
      <c r="I86" s="610"/>
      <c r="J86" s="611">
        <f t="shared" si="1"/>
        <v>1307400</v>
      </c>
      <c r="K86" s="612" t="s">
        <v>850</v>
      </c>
      <c r="L86" s="614" t="s">
        <v>772</v>
      </c>
      <c r="M86" s="616"/>
    </row>
    <row r="87" spans="2:13" ht="43.5">
      <c r="B87" s="614" t="s">
        <v>1055</v>
      </c>
      <c r="C87" s="610">
        <v>130000</v>
      </c>
      <c r="D87" s="610"/>
      <c r="E87" s="610"/>
      <c r="F87" s="610"/>
      <c r="G87" s="610"/>
      <c r="H87" s="610"/>
      <c r="I87" s="610"/>
      <c r="J87" s="611">
        <f t="shared" si="1"/>
        <v>130000</v>
      </c>
      <c r="K87" s="612" t="s">
        <v>33</v>
      </c>
      <c r="L87" s="614" t="s">
        <v>772</v>
      </c>
      <c r="M87" s="616"/>
    </row>
    <row r="88" spans="2:13" ht="43.5">
      <c r="B88" s="614" t="s">
        <v>1055</v>
      </c>
      <c r="C88" s="610">
        <v>1064000</v>
      </c>
      <c r="D88" s="610"/>
      <c r="E88" s="610"/>
      <c r="F88" s="610"/>
      <c r="G88" s="610"/>
      <c r="H88" s="610"/>
      <c r="I88" s="610"/>
      <c r="J88" s="611">
        <f t="shared" si="1"/>
        <v>1064000</v>
      </c>
      <c r="K88" s="612" t="s">
        <v>851</v>
      </c>
      <c r="L88" s="614" t="s">
        <v>782</v>
      </c>
      <c r="M88" s="616"/>
    </row>
    <row r="89" spans="2:13" ht="65.25">
      <c r="B89" s="614" t="s">
        <v>1056</v>
      </c>
      <c r="C89" s="610">
        <v>404700</v>
      </c>
      <c r="D89" s="610"/>
      <c r="E89" s="610"/>
      <c r="F89" s="610"/>
      <c r="G89" s="610"/>
      <c r="H89" s="610"/>
      <c r="I89" s="610"/>
      <c r="J89" s="611">
        <f t="shared" si="1"/>
        <v>404700</v>
      </c>
      <c r="K89" s="612" t="s">
        <v>852</v>
      </c>
      <c r="L89" s="614" t="s">
        <v>853</v>
      </c>
      <c r="M89" s="616"/>
    </row>
    <row r="90" spans="2:13" ht="43.5">
      <c r="B90" s="614" t="s">
        <v>1056</v>
      </c>
      <c r="C90" s="610">
        <v>120000</v>
      </c>
      <c r="D90" s="610"/>
      <c r="E90" s="610"/>
      <c r="F90" s="610"/>
      <c r="G90" s="610"/>
      <c r="H90" s="610"/>
      <c r="I90" s="610"/>
      <c r="J90" s="611">
        <f t="shared" si="1"/>
        <v>120000</v>
      </c>
      <c r="K90" s="612" t="s">
        <v>854</v>
      </c>
      <c r="L90" s="614" t="s">
        <v>855</v>
      </c>
      <c r="M90" s="616"/>
    </row>
    <row r="91" spans="2:13" ht="87">
      <c r="B91" s="614" t="s">
        <v>856</v>
      </c>
      <c r="C91" s="610"/>
      <c r="D91" s="610"/>
      <c r="E91" s="610"/>
      <c r="F91" s="610">
        <v>50000</v>
      </c>
      <c r="G91" s="610">
        <v>50000</v>
      </c>
      <c r="H91" s="610"/>
      <c r="I91" s="610"/>
      <c r="J91" s="611">
        <f t="shared" si="1"/>
        <v>100000</v>
      </c>
      <c r="K91" s="612" t="s">
        <v>851</v>
      </c>
      <c r="L91" s="614" t="s">
        <v>857</v>
      </c>
      <c r="M91" s="616"/>
    </row>
    <row r="92" spans="2:13" ht="43.5">
      <c r="B92" s="614" t="s">
        <v>858</v>
      </c>
      <c r="C92" s="610">
        <v>190000</v>
      </c>
      <c r="D92" s="610"/>
      <c r="E92" s="610"/>
      <c r="F92" s="610"/>
      <c r="G92" s="610"/>
      <c r="H92" s="610"/>
      <c r="I92" s="610"/>
      <c r="J92" s="611">
        <f t="shared" si="1"/>
        <v>190000</v>
      </c>
      <c r="K92" s="612" t="s">
        <v>854</v>
      </c>
      <c r="L92" s="614" t="s">
        <v>859</v>
      </c>
      <c r="M92" s="616"/>
    </row>
    <row r="93" spans="2:13" ht="65.25">
      <c r="B93" s="614" t="s">
        <v>658</v>
      </c>
      <c r="C93" s="610">
        <v>147000</v>
      </c>
      <c r="D93" s="610"/>
      <c r="E93" s="610"/>
      <c r="F93" s="610"/>
      <c r="G93" s="610"/>
      <c r="H93" s="610"/>
      <c r="I93" s="610"/>
      <c r="J93" s="611">
        <f t="shared" si="1"/>
        <v>147000</v>
      </c>
      <c r="K93" s="612" t="s">
        <v>33</v>
      </c>
      <c r="L93" s="612" t="s">
        <v>119</v>
      </c>
      <c r="M93" s="616"/>
    </row>
    <row r="94" spans="2:13" ht="43.5">
      <c r="B94" s="614" t="s">
        <v>860</v>
      </c>
      <c r="C94" s="610"/>
      <c r="D94" s="610"/>
      <c r="E94" s="610"/>
      <c r="F94" s="610"/>
      <c r="G94" s="610"/>
      <c r="H94" s="610"/>
      <c r="I94" s="610">
        <v>26969.78</v>
      </c>
      <c r="J94" s="611">
        <f t="shared" si="1"/>
        <v>26969.78</v>
      </c>
      <c r="K94" s="612" t="s">
        <v>43</v>
      </c>
      <c r="L94" s="612" t="s">
        <v>101</v>
      </c>
      <c r="M94" s="616"/>
    </row>
    <row r="95" spans="2:13" ht="21.75">
      <c r="B95" s="605" t="s">
        <v>318</v>
      </c>
      <c r="C95" s="610"/>
      <c r="D95" s="610"/>
      <c r="E95" s="610"/>
      <c r="F95" s="610"/>
      <c r="G95" s="610"/>
      <c r="H95" s="610"/>
      <c r="I95" s="610"/>
      <c r="J95" s="610"/>
      <c r="K95" s="612"/>
      <c r="L95" s="612"/>
      <c r="M95" s="616"/>
    </row>
    <row r="96" spans="2:13" ht="43.5">
      <c r="B96" s="614" t="s">
        <v>659</v>
      </c>
      <c r="C96" s="610">
        <v>629000</v>
      </c>
      <c r="D96" s="610"/>
      <c r="E96" s="610"/>
      <c r="F96" s="610"/>
      <c r="G96" s="610"/>
      <c r="H96" s="610"/>
      <c r="I96" s="610"/>
      <c r="J96" s="611">
        <f t="shared" si="1"/>
        <v>629000</v>
      </c>
      <c r="K96" s="612" t="s">
        <v>861</v>
      </c>
      <c r="L96" s="614" t="s">
        <v>862</v>
      </c>
      <c r="M96" s="616"/>
    </row>
    <row r="97" spans="2:13" ht="43.5">
      <c r="B97" s="621" t="s">
        <v>865</v>
      </c>
      <c r="C97" s="610">
        <v>254700</v>
      </c>
      <c r="D97" s="610"/>
      <c r="E97" s="610"/>
      <c r="F97" s="610"/>
      <c r="G97" s="610"/>
      <c r="H97" s="610"/>
      <c r="I97" s="610"/>
      <c r="J97" s="611">
        <f t="shared" si="1"/>
        <v>254700</v>
      </c>
      <c r="K97" s="620" t="s">
        <v>660</v>
      </c>
      <c r="L97" s="614" t="s">
        <v>417</v>
      </c>
      <c r="M97" s="616"/>
    </row>
    <row r="98" spans="2:13" ht="43.5">
      <c r="B98" s="621" t="s">
        <v>865</v>
      </c>
      <c r="C98" s="610">
        <v>84900</v>
      </c>
      <c r="D98" s="610"/>
      <c r="E98" s="610"/>
      <c r="F98" s="610"/>
      <c r="G98" s="610"/>
      <c r="H98" s="610"/>
      <c r="I98" s="610"/>
      <c r="J98" s="611">
        <f t="shared" si="1"/>
        <v>84900</v>
      </c>
      <c r="K98" s="620" t="s">
        <v>661</v>
      </c>
      <c r="L98" s="614" t="s">
        <v>416</v>
      </c>
      <c r="M98" s="616"/>
    </row>
    <row r="99" spans="2:13" ht="43.5">
      <c r="B99" s="621" t="s">
        <v>865</v>
      </c>
      <c r="C99" s="610">
        <v>169800</v>
      </c>
      <c r="D99" s="610"/>
      <c r="E99" s="610"/>
      <c r="F99" s="610"/>
      <c r="G99" s="610"/>
      <c r="H99" s="610"/>
      <c r="I99" s="610"/>
      <c r="J99" s="611">
        <f t="shared" si="1"/>
        <v>169800</v>
      </c>
      <c r="K99" s="614" t="s">
        <v>844</v>
      </c>
      <c r="L99" s="614" t="s">
        <v>185</v>
      </c>
      <c r="M99" s="614"/>
    </row>
    <row r="100" spans="2:13" ht="43.5">
      <c r="B100" s="621" t="s">
        <v>865</v>
      </c>
      <c r="C100" s="610">
        <v>84900</v>
      </c>
      <c r="D100" s="610"/>
      <c r="E100" s="610"/>
      <c r="F100" s="610"/>
      <c r="G100" s="610"/>
      <c r="H100" s="610"/>
      <c r="I100" s="610"/>
      <c r="J100" s="611">
        <f t="shared" si="1"/>
        <v>84900</v>
      </c>
      <c r="K100" s="586" t="s">
        <v>662</v>
      </c>
      <c r="L100" s="614" t="s">
        <v>416</v>
      </c>
      <c r="M100" s="616"/>
    </row>
    <row r="101" spans="2:13" ht="43.5">
      <c r="B101" s="621" t="s">
        <v>865</v>
      </c>
      <c r="C101" s="610">
        <v>84900</v>
      </c>
      <c r="D101" s="610"/>
      <c r="E101" s="610"/>
      <c r="F101" s="610"/>
      <c r="G101" s="610"/>
      <c r="H101" s="610"/>
      <c r="I101" s="610"/>
      <c r="J101" s="611">
        <f t="shared" si="1"/>
        <v>84900</v>
      </c>
      <c r="K101" s="586" t="s">
        <v>663</v>
      </c>
      <c r="L101" s="614" t="s">
        <v>416</v>
      </c>
      <c r="M101" s="616"/>
    </row>
    <row r="102" spans="2:13" ht="43.5">
      <c r="B102" s="621" t="s">
        <v>865</v>
      </c>
      <c r="C102" s="610">
        <v>84900</v>
      </c>
      <c r="D102" s="610"/>
      <c r="E102" s="610"/>
      <c r="F102" s="610"/>
      <c r="G102" s="610"/>
      <c r="H102" s="610"/>
      <c r="I102" s="610"/>
      <c r="J102" s="611">
        <f t="shared" si="1"/>
        <v>84900</v>
      </c>
      <c r="K102" s="614" t="s">
        <v>664</v>
      </c>
      <c r="L102" s="614" t="s">
        <v>416</v>
      </c>
      <c r="M102" s="616"/>
    </row>
    <row r="103" spans="2:13" ht="43.5">
      <c r="B103" s="621" t="s">
        <v>865</v>
      </c>
      <c r="C103" s="610">
        <v>84900</v>
      </c>
      <c r="D103" s="610"/>
      <c r="E103" s="610"/>
      <c r="F103" s="610"/>
      <c r="G103" s="610"/>
      <c r="H103" s="610"/>
      <c r="I103" s="610"/>
      <c r="J103" s="611">
        <f t="shared" si="1"/>
        <v>84900</v>
      </c>
      <c r="K103" s="621" t="s">
        <v>665</v>
      </c>
      <c r="L103" s="614" t="s">
        <v>416</v>
      </c>
      <c r="M103" s="616"/>
    </row>
    <row r="104" spans="2:13" ht="43.5">
      <c r="B104" s="621" t="s">
        <v>865</v>
      </c>
      <c r="C104" s="610">
        <v>169800</v>
      </c>
      <c r="D104" s="610"/>
      <c r="E104" s="610"/>
      <c r="F104" s="610"/>
      <c r="G104" s="610"/>
      <c r="H104" s="610"/>
      <c r="I104" s="610"/>
      <c r="J104" s="611">
        <f t="shared" si="1"/>
        <v>169800</v>
      </c>
      <c r="K104" s="614" t="s">
        <v>666</v>
      </c>
      <c r="L104" s="614" t="s">
        <v>185</v>
      </c>
      <c r="M104" s="616"/>
    </row>
    <row r="105" spans="2:13" ht="43.5">
      <c r="B105" s="621" t="s">
        <v>865</v>
      </c>
      <c r="C105" s="610">
        <v>254700</v>
      </c>
      <c r="D105" s="610"/>
      <c r="E105" s="610"/>
      <c r="F105" s="610"/>
      <c r="G105" s="610"/>
      <c r="H105" s="610"/>
      <c r="I105" s="610"/>
      <c r="J105" s="611">
        <f t="shared" si="1"/>
        <v>254700</v>
      </c>
      <c r="K105" s="621" t="s">
        <v>667</v>
      </c>
      <c r="L105" s="614" t="s">
        <v>417</v>
      </c>
      <c r="M105" s="616"/>
    </row>
    <row r="106" spans="2:13" ht="43.5">
      <c r="B106" s="621" t="s">
        <v>865</v>
      </c>
      <c r="C106" s="610">
        <v>169800</v>
      </c>
      <c r="D106" s="610"/>
      <c r="E106" s="610"/>
      <c r="F106" s="610"/>
      <c r="G106" s="610"/>
      <c r="H106" s="610"/>
      <c r="I106" s="610"/>
      <c r="J106" s="611">
        <f t="shared" si="1"/>
        <v>169800</v>
      </c>
      <c r="K106" s="612" t="s">
        <v>668</v>
      </c>
      <c r="L106" s="614" t="s">
        <v>185</v>
      </c>
      <c r="M106" s="616"/>
    </row>
    <row r="107" spans="2:13" ht="43.5">
      <c r="B107" s="621" t="s">
        <v>865</v>
      </c>
      <c r="C107" s="610">
        <v>84900</v>
      </c>
      <c r="D107" s="610"/>
      <c r="E107" s="610"/>
      <c r="F107" s="610"/>
      <c r="G107" s="610"/>
      <c r="H107" s="610"/>
      <c r="I107" s="610"/>
      <c r="J107" s="611">
        <f t="shared" si="1"/>
        <v>84900</v>
      </c>
      <c r="K107" s="612" t="s">
        <v>669</v>
      </c>
      <c r="L107" s="614" t="s">
        <v>416</v>
      </c>
      <c r="M107" s="616"/>
    </row>
    <row r="108" spans="2:13" ht="43.5">
      <c r="B108" s="621" t="s">
        <v>865</v>
      </c>
      <c r="C108" s="610">
        <v>679200</v>
      </c>
      <c r="D108" s="610"/>
      <c r="E108" s="610"/>
      <c r="F108" s="610"/>
      <c r="G108" s="610"/>
      <c r="H108" s="610"/>
      <c r="I108" s="610"/>
      <c r="J108" s="611">
        <f t="shared" si="1"/>
        <v>679200</v>
      </c>
      <c r="K108" s="614" t="s">
        <v>673</v>
      </c>
      <c r="L108" s="614" t="s">
        <v>414</v>
      </c>
      <c r="M108" s="616"/>
    </row>
    <row r="109" spans="2:13" ht="65.25">
      <c r="B109" s="621" t="s">
        <v>865</v>
      </c>
      <c r="C109" s="610">
        <v>84900</v>
      </c>
      <c r="D109" s="610"/>
      <c r="E109" s="610"/>
      <c r="F109" s="610"/>
      <c r="G109" s="610"/>
      <c r="H109" s="610"/>
      <c r="I109" s="610"/>
      <c r="J109" s="611">
        <f t="shared" si="1"/>
        <v>84900</v>
      </c>
      <c r="K109" s="614" t="s">
        <v>674</v>
      </c>
      <c r="L109" s="614" t="s">
        <v>416</v>
      </c>
      <c r="M109" s="616"/>
    </row>
    <row r="110" spans="2:13" ht="43.5">
      <c r="B110" s="621" t="s">
        <v>865</v>
      </c>
      <c r="C110" s="610">
        <v>84900</v>
      </c>
      <c r="D110" s="610"/>
      <c r="E110" s="610"/>
      <c r="F110" s="610"/>
      <c r="G110" s="610"/>
      <c r="H110" s="610"/>
      <c r="I110" s="610"/>
      <c r="J110" s="611">
        <f t="shared" si="1"/>
        <v>84900</v>
      </c>
      <c r="K110" s="622" t="s">
        <v>675</v>
      </c>
      <c r="L110" s="614" t="s">
        <v>185</v>
      </c>
      <c r="M110" s="616"/>
    </row>
    <row r="111" spans="2:13" ht="43.5">
      <c r="B111" s="621" t="s">
        <v>865</v>
      </c>
      <c r="C111" s="610">
        <v>1018800</v>
      </c>
      <c r="D111" s="610"/>
      <c r="E111" s="610"/>
      <c r="F111" s="610"/>
      <c r="G111" s="610"/>
      <c r="H111" s="610"/>
      <c r="I111" s="610"/>
      <c r="J111" s="611">
        <f t="shared" si="1"/>
        <v>1018800</v>
      </c>
      <c r="K111" s="614" t="s">
        <v>670</v>
      </c>
      <c r="L111" s="614" t="s">
        <v>677</v>
      </c>
      <c r="M111" s="616"/>
    </row>
    <row r="112" spans="2:13" ht="43.5">
      <c r="B112" s="621" t="s">
        <v>865</v>
      </c>
      <c r="C112" s="610">
        <v>169800</v>
      </c>
      <c r="D112" s="610"/>
      <c r="E112" s="610"/>
      <c r="F112" s="610"/>
      <c r="G112" s="610"/>
      <c r="H112" s="610"/>
      <c r="I112" s="610"/>
      <c r="J112" s="611">
        <f t="shared" si="1"/>
        <v>169800</v>
      </c>
      <c r="K112" s="623" t="s">
        <v>671</v>
      </c>
      <c r="L112" s="614" t="s">
        <v>185</v>
      </c>
      <c r="M112" s="616"/>
    </row>
    <row r="113" spans="2:13" ht="43.5">
      <c r="B113" s="621" t="s">
        <v>865</v>
      </c>
      <c r="C113" s="610">
        <v>84900</v>
      </c>
      <c r="D113" s="610"/>
      <c r="E113" s="610"/>
      <c r="F113" s="610"/>
      <c r="G113" s="610"/>
      <c r="H113" s="610"/>
      <c r="I113" s="610"/>
      <c r="J113" s="611">
        <f t="shared" si="1"/>
        <v>84900</v>
      </c>
      <c r="K113" s="623" t="s">
        <v>672</v>
      </c>
      <c r="L113" s="614" t="s">
        <v>416</v>
      </c>
      <c r="M113" s="616"/>
    </row>
    <row r="114" spans="2:13" ht="65.25">
      <c r="B114" s="614" t="s">
        <v>863</v>
      </c>
      <c r="C114" s="610">
        <v>509400</v>
      </c>
      <c r="D114" s="610"/>
      <c r="E114" s="610"/>
      <c r="F114" s="610"/>
      <c r="G114" s="610"/>
      <c r="H114" s="610"/>
      <c r="I114" s="610"/>
      <c r="J114" s="611">
        <f t="shared" si="1"/>
        <v>509400</v>
      </c>
      <c r="K114" s="614" t="s">
        <v>864</v>
      </c>
      <c r="L114" s="614" t="s">
        <v>129</v>
      </c>
      <c r="M114" s="616"/>
    </row>
    <row r="115" spans="2:13" ht="43.5">
      <c r="B115" s="621" t="s">
        <v>865</v>
      </c>
      <c r="C115" s="610">
        <v>84900</v>
      </c>
      <c r="D115" s="610"/>
      <c r="E115" s="610"/>
      <c r="F115" s="610"/>
      <c r="G115" s="610"/>
      <c r="H115" s="610"/>
      <c r="I115" s="610"/>
      <c r="J115" s="611">
        <f t="shared" si="1"/>
        <v>84900</v>
      </c>
      <c r="K115" s="621" t="s">
        <v>676</v>
      </c>
      <c r="L115" s="614" t="s">
        <v>316</v>
      </c>
      <c r="M115" s="616"/>
    </row>
    <row r="116" spans="2:13" ht="43.5">
      <c r="B116" s="624" t="s">
        <v>866</v>
      </c>
      <c r="C116" s="613"/>
      <c r="D116" s="613"/>
      <c r="E116" s="613"/>
      <c r="F116" s="613"/>
      <c r="G116" s="613"/>
      <c r="H116" s="613">
        <v>100000</v>
      </c>
      <c r="I116" s="625"/>
      <c r="J116" s="611">
        <f t="shared" si="1"/>
        <v>100000</v>
      </c>
      <c r="K116" s="612" t="s">
        <v>668</v>
      </c>
      <c r="L116" s="614" t="s">
        <v>416</v>
      </c>
      <c r="M116" s="621"/>
    </row>
    <row r="117" spans="2:13" ht="21.75" customHeight="1">
      <c r="B117" s="624" t="s">
        <v>866</v>
      </c>
      <c r="C117" s="613"/>
      <c r="D117" s="613"/>
      <c r="E117" s="613"/>
      <c r="F117" s="613"/>
      <c r="G117" s="613"/>
      <c r="H117" s="613">
        <v>140600</v>
      </c>
      <c r="I117" s="625"/>
      <c r="J117" s="611">
        <f t="shared" si="1"/>
        <v>140600</v>
      </c>
      <c r="K117" s="612" t="s">
        <v>678</v>
      </c>
      <c r="L117" s="614" t="s">
        <v>416</v>
      </c>
      <c r="M117" s="621"/>
    </row>
    <row r="118" spans="2:13" ht="43.5">
      <c r="B118" s="623" t="s">
        <v>867</v>
      </c>
      <c r="C118" s="613"/>
      <c r="D118" s="613"/>
      <c r="E118" s="613"/>
      <c r="F118" s="613"/>
      <c r="G118" s="613"/>
      <c r="H118" s="613"/>
      <c r="I118" s="625">
        <v>24800</v>
      </c>
      <c r="J118" s="611">
        <f t="shared" si="1"/>
        <v>24800</v>
      </c>
      <c r="K118" s="612" t="s">
        <v>43</v>
      </c>
      <c r="L118" s="614" t="s">
        <v>101</v>
      </c>
      <c r="M118" s="621"/>
    </row>
    <row r="119" spans="2:13" ht="43.5">
      <c r="B119" s="623" t="s">
        <v>868</v>
      </c>
      <c r="C119" s="613"/>
      <c r="D119" s="613"/>
      <c r="E119" s="613"/>
      <c r="F119" s="613"/>
      <c r="G119" s="613"/>
      <c r="H119" s="613"/>
      <c r="I119" s="625">
        <v>7847.5</v>
      </c>
      <c r="J119" s="611">
        <f t="shared" si="1"/>
        <v>7847.5</v>
      </c>
      <c r="K119" s="612" t="s">
        <v>43</v>
      </c>
      <c r="L119" s="614" t="s">
        <v>101</v>
      </c>
      <c r="M119" s="621"/>
    </row>
    <row r="120" spans="2:13" ht="21.75">
      <c r="B120" s="605" t="s">
        <v>186</v>
      </c>
      <c r="C120" s="613"/>
      <c r="D120" s="613"/>
      <c r="E120" s="613"/>
      <c r="F120" s="613"/>
      <c r="G120" s="613"/>
      <c r="H120" s="613"/>
      <c r="I120" s="625"/>
      <c r="J120" s="611"/>
      <c r="K120" s="612"/>
      <c r="L120" s="614"/>
      <c r="M120" s="621"/>
    </row>
    <row r="121" spans="2:13" ht="130.5">
      <c r="B121" s="624" t="s">
        <v>869</v>
      </c>
      <c r="C121" s="613">
        <v>686300</v>
      </c>
      <c r="D121" s="613"/>
      <c r="E121" s="613"/>
      <c r="F121" s="613"/>
      <c r="G121" s="613"/>
      <c r="H121" s="613"/>
      <c r="I121" s="625"/>
      <c r="J121" s="611">
        <f t="shared" si="1"/>
        <v>686300</v>
      </c>
      <c r="K121" s="612" t="s">
        <v>670</v>
      </c>
      <c r="L121" s="614" t="s">
        <v>119</v>
      </c>
      <c r="M121" s="621"/>
    </row>
    <row r="122" spans="2:13" ht="21.75">
      <c r="B122" s="605" t="s">
        <v>679</v>
      </c>
      <c r="C122" s="613"/>
      <c r="D122" s="613"/>
      <c r="E122" s="613"/>
      <c r="F122" s="613"/>
      <c r="G122" s="613"/>
      <c r="H122" s="613"/>
      <c r="I122" s="625"/>
      <c r="J122" s="611"/>
      <c r="K122" s="612"/>
      <c r="L122" s="614"/>
      <c r="M122" s="621"/>
    </row>
    <row r="123" spans="2:13" ht="43.5">
      <c r="B123" s="621" t="s">
        <v>870</v>
      </c>
      <c r="C123" s="613"/>
      <c r="D123" s="613"/>
      <c r="E123" s="613"/>
      <c r="F123" s="613"/>
      <c r="G123" s="613"/>
      <c r="H123" s="613"/>
      <c r="I123" s="625"/>
      <c r="J123" s="611"/>
      <c r="K123" s="612"/>
      <c r="L123" s="614"/>
      <c r="M123" s="621"/>
    </row>
    <row r="124" spans="2:13" ht="65.25">
      <c r="B124" s="772" t="s">
        <v>865</v>
      </c>
      <c r="C124" s="613">
        <v>54000</v>
      </c>
      <c r="D124" s="613"/>
      <c r="E124" s="613"/>
      <c r="F124" s="613"/>
      <c r="G124" s="613"/>
      <c r="H124" s="613"/>
      <c r="I124" s="625"/>
      <c r="J124" s="611">
        <f t="shared" si="1"/>
        <v>54000</v>
      </c>
      <c r="K124" s="612" t="s">
        <v>871</v>
      </c>
      <c r="L124" s="614" t="s">
        <v>1076</v>
      </c>
      <c r="M124" s="621"/>
    </row>
    <row r="125" spans="2:13" ht="43.5">
      <c r="B125" s="772" t="s">
        <v>865</v>
      </c>
      <c r="C125" s="613">
        <v>54000</v>
      </c>
      <c r="D125" s="613"/>
      <c r="E125" s="613"/>
      <c r="F125" s="613"/>
      <c r="G125" s="613"/>
      <c r="H125" s="613"/>
      <c r="I125" s="625"/>
      <c r="J125" s="611">
        <f t="shared" si="1"/>
        <v>54000</v>
      </c>
      <c r="K125" s="612" t="s">
        <v>681</v>
      </c>
      <c r="L125" s="614" t="s">
        <v>752</v>
      </c>
      <c r="M125" s="621"/>
    </row>
    <row r="126" spans="2:13" ht="43.5">
      <c r="B126" s="772" t="s">
        <v>865</v>
      </c>
      <c r="C126" s="613">
        <v>54000</v>
      </c>
      <c r="D126" s="614"/>
      <c r="E126" s="613"/>
      <c r="F126" s="613"/>
      <c r="G126" s="613"/>
      <c r="H126" s="613"/>
      <c r="I126" s="625"/>
      <c r="J126" s="611">
        <f t="shared" si="1"/>
        <v>54000</v>
      </c>
      <c r="K126" s="612" t="s">
        <v>806</v>
      </c>
      <c r="L126" s="614" t="s">
        <v>752</v>
      </c>
      <c r="M126" s="621"/>
    </row>
    <row r="127" spans="2:13" ht="152.25">
      <c r="B127" s="800" t="s">
        <v>872</v>
      </c>
      <c r="C127" s="613"/>
      <c r="D127" s="613"/>
      <c r="E127" s="613"/>
      <c r="F127" s="613"/>
      <c r="G127" s="613"/>
      <c r="H127" s="613"/>
      <c r="I127" s="625"/>
      <c r="J127" s="611"/>
      <c r="K127" s="612"/>
      <c r="L127" s="614"/>
      <c r="M127" s="621"/>
    </row>
    <row r="128" spans="2:13" ht="24" customHeight="1">
      <c r="B128" s="799" t="s">
        <v>1077</v>
      </c>
      <c r="C128" s="613">
        <v>54000</v>
      </c>
      <c r="D128" s="613"/>
      <c r="E128" s="613"/>
      <c r="F128" s="613"/>
      <c r="G128" s="613"/>
      <c r="H128" s="613"/>
      <c r="I128" s="625"/>
      <c r="J128" s="611">
        <f t="shared" si="1"/>
        <v>54000</v>
      </c>
      <c r="K128" s="612" t="s">
        <v>871</v>
      </c>
      <c r="L128" s="614" t="s">
        <v>873</v>
      </c>
      <c r="M128" s="621"/>
    </row>
    <row r="129" spans="2:13" ht="43.5">
      <c r="B129" s="623" t="s">
        <v>1078</v>
      </c>
      <c r="C129" s="613">
        <v>54000</v>
      </c>
      <c r="D129" s="613"/>
      <c r="E129" s="613"/>
      <c r="F129" s="613"/>
      <c r="G129" s="613"/>
      <c r="H129" s="613"/>
      <c r="I129" s="625"/>
      <c r="J129" s="611">
        <f t="shared" si="1"/>
        <v>54000</v>
      </c>
      <c r="K129" s="612" t="s">
        <v>681</v>
      </c>
      <c r="L129" s="614" t="s">
        <v>680</v>
      </c>
      <c r="M129" s="621"/>
    </row>
    <row r="130" spans="2:13" ht="43.5">
      <c r="B130" s="623" t="s">
        <v>1079</v>
      </c>
      <c r="C130" s="613">
        <v>54000</v>
      </c>
      <c r="D130" s="613"/>
      <c r="E130" s="613"/>
      <c r="F130" s="613"/>
      <c r="G130" s="613"/>
      <c r="H130" s="613"/>
      <c r="I130" s="625"/>
      <c r="J130" s="611">
        <f t="shared" si="1"/>
        <v>54000</v>
      </c>
      <c r="K130" s="612" t="s">
        <v>806</v>
      </c>
      <c r="L130" s="614" t="s">
        <v>680</v>
      </c>
      <c r="M130" s="621"/>
    </row>
    <row r="131" spans="2:13" ht="65.25">
      <c r="B131" s="623" t="s">
        <v>1009</v>
      </c>
      <c r="C131" s="613">
        <f>68250*2</f>
        <v>136500</v>
      </c>
      <c r="D131" s="613"/>
      <c r="E131" s="613"/>
      <c r="F131" s="613"/>
      <c r="G131" s="613"/>
      <c r="H131" s="613"/>
      <c r="I131" s="625"/>
      <c r="J131" s="611">
        <f t="shared" si="1"/>
        <v>136500</v>
      </c>
      <c r="K131" s="612" t="s">
        <v>806</v>
      </c>
      <c r="L131" s="614" t="s">
        <v>680</v>
      </c>
      <c r="M131" s="621"/>
    </row>
    <row r="132" spans="2:13" ht="65.25">
      <c r="B132" s="626" t="s">
        <v>1010</v>
      </c>
      <c r="C132" s="613">
        <v>68250</v>
      </c>
      <c r="D132" s="613"/>
      <c r="E132" s="613"/>
      <c r="F132" s="613"/>
      <c r="G132" s="613"/>
      <c r="H132" s="613"/>
      <c r="I132" s="625"/>
      <c r="J132" s="611">
        <f t="shared" si="1"/>
        <v>68250</v>
      </c>
      <c r="K132" s="612" t="s">
        <v>874</v>
      </c>
      <c r="L132" s="614" t="s">
        <v>680</v>
      </c>
      <c r="M132" s="621"/>
    </row>
    <row r="133" spans="2:13" ht="43.5">
      <c r="B133" s="626" t="s">
        <v>1020</v>
      </c>
      <c r="C133" s="613">
        <v>68250</v>
      </c>
      <c r="D133" s="613"/>
      <c r="E133" s="613"/>
      <c r="F133" s="613"/>
      <c r="G133" s="613"/>
      <c r="H133" s="613"/>
      <c r="I133" s="625"/>
      <c r="J133" s="611">
        <f t="shared" si="1"/>
        <v>68250</v>
      </c>
      <c r="K133" s="612" t="s">
        <v>806</v>
      </c>
      <c r="L133" s="614" t="s">
        <v>680</v>
      </c>
      <c r="M133" s="621"/>
    </row>
    <row r="134" spans="2:13" ht="43.5">
      <c r="B134" s="623" t="s">
        <v>1019</v>
      </c>
      <c r="C134" s="613">
        <v>68250</v>
      </c>
      <c r="D134" s="613"/>
      <c r="E134" s="613"/>
      <c r="F134" s="613"/>
      <c r="G134" s="613"/>
      <c r="H134" s="613"/>
      <c r="I134" s="625"/>
      <c r="J134" s="611">
        <f t="shared" si="1"/>
        <v>68250</v>
      </c>
      <c r="K134" s="612" t="s">
        <v>955</v>
      </c>
      <c r="L134" s="614" t="s">
        <v>680</v>
      </c>
      <c r="M134" s="621"/>
    </row>
    <row r="135" spans="2:13" ht="43.5">
      <c r="B135" s="623" t="s">
        <v>1018</v>
      </c>
      <c r="C135" s="613">
        <v>68250</v>
      </c>
      <c r="D135" s="613"/>
      <c r="E135" s="613"/>
      <c r="F135" s="613"/>
      <c r="G135" s="613"/>
      <c r="H135" s="613"/>
      <c r="I135" s="625"/>
      <c r="J135" s="611">
        <f t="shared" si="1"/>
        <v>68250</v>
      </c>
      <c r="K135" s="612" t="s">
        <v>956</v>
      </c>
      <c r="L135" s="614" t="s">
        <v>680</v>
      </c>
      <c r="M135" s="621"/>
    </row>
    <row r="136" spans="2:13" ht="43.5">
      <c r="B136" s="623" t="s">
        <v>1017</v>
      </c>
      <c r="C136" s="613">
        <v>68250</v>
      </c>
      <c r="D136" s="613"/>
      <c r="E136" s="613"/>
      <c r="F136" s="613"/>
      <c r="G136" s="613"/>
      <c r="H136" s="613"/>
      <c r="I136" s="625"/>
      <c r="J136" s="611">
        <f t="shared" si="1"/>
        <v>68250</v>
      </c>
      <c r="K136" s="612" t="s">
        <v>957</v>
      </c>
      <c r="L136" s="614" t="s">
        <v>680</v>
      </c>
      <c r="M136" s="621"/>
    </row>
    <row r="137" spans="2:13" ht="43.5">
      <c r="B137" s="623" t="s">
        <v>1016</v>
      </c>
      <c r="C137" s="613">
        <v>68250</v>
      </c>
      <c r="D137" s="613"/>
      <c r="E137" s="613"/>
      <c r="F137" s="613"/>
      <c r="G137" s="613"/>
      <c r="H137" s="613"/>
      <c r="I137" s="625"/>
      <c r="J137" s="611">
        <f aca="true" t="shared" si="2" ref="J137:J200">SUM(C137:I137)</f>
        <v>68250</v>
      </c>
      <c r="K137" s="612" t="s">
        <v>958</v>
      </c>
      <c r="L137" s="614" t="s">
        <v>680</v>
      </c>
      <c r="M137" s="621"/>
    </row>
    <row r="138" spans="2:13" ht="43.5">
      <c r="B138" s="623" t="s">
        <v>1015</v>
      </c>
      <c r="C138" s="613">
        <v>195500</v>
      </c>
      <c r="D138" s="613"/>
      <c r="E138" s="613"/>
      <c r="F138" s="613"/>
      <c r="G138" s="613"/>
      <c r="H138" s="613"/>
      <c r="I138" s="625"/>
      <c r="J138" s="611">
        <f t="shared" si="2"/>
        <v>195500</v>
      </c>
      <c r="K138" s="612" t="s">
        <v>960</v>
      </c>
      <c r="L138" s="614" t="s">
        <v>680</v>
      </c>
      <c r="M138" s="621"/>
    </row>
    <row r="139" spans="2:13" ht="43.5">
      <c r="B139" s="623" t="s">
        <v>1014</v>
      </c>
      <c r="C139" s="613">
        <v>195500</v>
      </c>
      <c r="D139" s="613"/>
      <c r="E139" s="613"/>
      <c r="F139" s="613"/>
      <c r="G139" s="613"/>
      <c r="H139" s="613"/>
      <c r="I139" s="625"/>
      <c r="J139" s="611">
        <f t="shared" si="2"/>
        <v>195500</v>
      </c>
      <c r="K139" s="612" t="s">
        <v>959</v>
      </c>
      <c r="L139" s="614" t="s">
        <v>680</v>
      </c>
      <c r="M139" s="621"/>
    </row>
    <row r="140" spans="2:13" ht="43.5">
      <c r="B140" s="623" t="s">
        <v>1013</v>
      </c>
      <c r="C140" s="613">
        <v>97750</v>
      </c>
      <c r="D140" s="613"/>
      <c r="E140" s="613"/>
      <c r="F140" s="613"/>
      <c r="G140" s="613"/>
      <c r="H140" s="613"/>
      <c r="I140" s="625"/>
      <c r="J140" s="611">
        <f t="shared" si="2"/>
        <v>97750</v>
      </c>
      <c r="K140" s="612" t="s">
        <v>676</v>
      </c>
      <c r="L140" s="614" t="s">
        <v>680</v>
      </c>
      <c r="M140" s="621"/>
    </row>
    <row r="141" spans="2:13" ht="43.5">
      <c r="B141" s="623" t="s">
        <v>1012</v>
      </c>
      <c r="C141" s="613">
        <f>84950*2</f>
        <v>169900</v>
      </c>
      <c r="D141" s="613"/>
      <c r="E141" s="613"/>
      <c r="F141" s="613"/>
      <c r="G141" s="613"/>
      <c r="H141" s="613"/>
      <c r="I141" s="625"/>
      <c r="J141" s="611">
        <f t="shared" si="2"/>
        <v>169900</v>
      </c>
      <c r="K141" s="612" t="s">
        <v>961</v>
      </c>
      <c r="L141" s="614" t="s">
        <v>680</v>
      </c>
      <c r="M141" s="621"/>
    </row>
    <row r="142" spans="2:13" ht="87">
      <c r="B142" s="623" t="s">
        <v>1011</v>
      </c>
      <c r="C142" s="613">
        <f>84950*2</f>
        <v>169900</v>
      </c>
      <c r="D142" s="613"/>
      <c r="E142" s="613"/>
      <c r="F142" s="613"/>
      <c r="G142" s="613"/>
      <c r="H142" s="613"/>
      <c r="I142" s="625"/>
      <c r="J142" s="611">
        <f t="shared" si="2"/>
        <v>169900</v>
      </c>
      <c r="K142" s="612" t="s">
        <v>683</v>
      </c>
      <c r="L142" s="614" t="s">
        <v>680</v>
      </c>
      <c r="M142" s="621"/>
    </row>
    <row r="143" spans="2:13" ht="43.5">
      <c r="B143" s="623" t="s">
        <v>1021</v>
      </c>
      <c r="C143" s="613">
        <v>84950</v>
      </c>
      <c r="D143" s="613"/>
      <c r="E143" s="613"/>
      <c r="F143" s="613"/>
      <c r="G143" s="613"/>
      <c r="H143" s="613"/>
      <c r="I143" s="625"/>
      <c r="J143" s="611">
        <f t="shared" si="2"/>
        <v>84950</v>
      </c>
      <c r="K143" s="612" t="s">
        <v>962</v>
      </c>
      <c r="L143" s="614" t="s">
        <v>680</v>
      </c>
      <c r="M143" s="621"/>
    </row>
    <row r="144" spans="2:13" ht="43.5">
      <c r="B144" s="623" t="s">
        <v>1022</v>
      </c>
      <c r="C144" s="613">
        <v>84950</v>
      </c>
      <c r="D144" s="613"/>
      <c r="E144" s="613"/>
      <c r="F144" s="613"/>
      <c r="G144" s="613"/>
      <c r="H144" s="613"/>
      <c r="I144" s="625"/>
      <c r="J144" s="611">
        <f t="shared" si="2"/>
        <v>84950</v>
      </c>
      <c r="K144" s="612" t="s">
        <v>963</v>
      </c>
      <c r="L144" s="614" t="s">
        <v>680</v>
      </c>
      <c r="M144" s="621"/>
    </row>
    <row r="145" spans="2:13" ht="43.5">
      <c r="B145" s="623" t="s">
        <v>1023</v>
      </c>
      <c r="C145" s="613">
        <v>60000</v>
      </c>
      <c r="D145" s="613"/>
      <c r="E145" s="613"/>
      <c r="F145" s="613"/>
      <c r="G145" s="613"/>
      <c r="H145" s="613"/>
      <c r="I145" s="625"/>
      <c r="J145" s="611">
        <f t="shared" si="2"/>
        <v>60000</v>
      </c>
      <c r="K145" s="612" t="s">
        <v>668</v>
      </c>
      <c r="L145" s="614" t="s">
        <v>805</v>
      </c>
      <c r="M145" s="621"/>
    </row>
    <row r="146" spans="2:13" ht="43.5">
      <c r="B146" s="623" t="s">
        <v>1024</v>
      </c>
      <c r="C146" s="613">
        <v>60000</v>
      </c>
      <c r="D146" s="613"/>
      <c r="E146" s="613"/>
      <c r="F146" s="613"/>
      <c r="G146" s="613"/>
      <c r="H146" s="613"/>
      <c r="I146" s="625"/>
      <c r="J146" s="611">
        <f t="shared" si="2"/>
        <v>60000</v>
      </c>
      <c r="K146" s="612" t="s">
        <v>804</v>
      </c>
      <c r="L146" s="614" t="s">
        <v>805</v>
      </c>
      <c r="M146" s="621"/>
    </row>
    <row r="147" spans="2:13" ht="43.5">
      <c r="B147" s="623" t="s">
        <v>1025</v>
      </c>
      <c r="C147" s="613">
        <v>60000</v>
      </c>
      <c r="D147" s="613"/>
      <c r="E147" s="613"/>
      <c r="F147" s="613"/>
      <c r="G147" s="613"/>
      <c r="H147" s="613"/>
      <c r="I147" s="625"/>
      <c r="J147" s="611">
        <f t="shared" si="2"/>
        <v>60000</v>
      </c>
      <c r="K147" s="612" t="s">
        <v>667</v>
      </c>
      <c r="L147" s="614" t="s">
        <v>805</v>
      </c>
      <c r="M147" s="621"/>
    </row>
    <row r="148" spans="2:13" ht="43.5">
      <c r="B148" s="623" t="s">
        <v>1026</v>
      </c>
      <c r="C148" s="613"/>
      <c r="D148" s="613"/>
      <c r="E148" s="613"/>
      <c r="F148" s="613"/>
      <c r="G148" s="613"/>
      <c r="H148" s="613"/>
      <c r="I148" s="625">
        <v>26711.87</v>
      </c>
      <c r="J148" s="611">
        <f t="shared" si="2"/>
        <v>26711.87</v>
      </c>
      <c r="K148" s="612" t="s">
        <v>43</v>
      </c>
      <c r="L148" s="614" t="s">
        <v>101</v>
      </c>
      <c r="M148" s="621"/>
    </row>
    <row r="149" spans="2:13" ht="21.75">
      <c r="B149" s="627" t="s">
        <v>875</v>
      </c>
      <c r="C149" s="613"/>
      <c r="D149" s="613"/>
      <c r="E149" s="613"/>
      <c r="F149" s="613"/>
      <c r="G149" s="613"/>
      <c r="H149" s="613"/>
      <c r="I149" s="625"/>
      <c r="J149" s="611"/>
      <c r="K149" s="612"/>
      <c r="L149" s="614"/>
      <c r="M149" s="621"/>
    </row>
    <row r="150" spans="2:13" ht="48.75" customHeight="1">
      <c r="B150" s="624" t="s">
        <v>876</v>
      </c>
      <c r="C150" s="613">
        <f>2061800+1597750+25450</f>
        <v>3685000</v>
      </c>
      <c r="D150" s="613"/>
      <c r="E150" s="613"/>
      <c r="F150" s="613"/>
      <c r="G150" s="613"/>
      <c r="H150" s="613"/>
      <c r="I150" s="625"/>
      <c r="J150" s="611">
        <f t="shared" si="2"/>
        <v>3685000</v>
      </c>
      <c r="K150" s="612" t="s">
        <v>43</v>
      </c>
      <c r="L150" s="614" t="s">
        <v>688</v>
      </c>
      <c r="M150" s="621"/>
    </row>
    <row r="151" spans="2:13" ht="65.25">
      <c r="B151" s="623" t="s">
        <v>877</v>
      </c>
      <c r="C151" s="613"/>
      <c r="D151" s="613"/>
      <c r="E151" s="613"/>
      <c r="F151" s="613"/>
      <c r="G151" s="613"/>
      <c r="H151" s="613"/>
      <c r="I151" s="613">
        <v>27063.75</v>
      </c>
      <c r="J151" s="611">
        <f t="shared" si="2"/>
        <v>27063.75</v>
      </c>
      <c r="K151" s="612" t="s">
        <v>43</v>
      </c>
      <c r="L151" s="614" t="s">
        <v>101</v>
      </c>
      <c r="M151" s="621"/>
    </row>
    <row r="152" spans="2:13" ht="43.5">
      <c r="B152" s="623" t="s">
        <v>878</v>
      </c>
      <c r="C152" s="613"/>
      <c r="D152" s="613"/>
      <c r="E152" s="613"/>
      <c r="F152" s="613"/>
      <c r="G152" s="613"/>
      <c r="H152" s="613"/>
      <c r="I152" s="613">
        <v>25341</v>
      </c>
      <c r="J152" s="611">
        <f t="shared" si="2"/>
        <v>25341</v>
      </c>
      <c r="K152" s="612" t="s">
        <v>43</v>
      </c>
      <c r="L152" s="614" t="s">
        <v>101</v>
      </c>
      <c r="M152" s="621"/>
    </row>
    <row r="153" spans="2:13" ht="43.5">
      <c r="B153" s="624" t="s">
        <v>879</v>
      </c>
      <c r="C153" s="613"/>
      <c r="D153" s="613"/>
      <c r="E153" s="613"/>
      <c r="F153" s="613"/>
      <c r="G153" s="613"/>
      <c r="H153" s="613"/>
      <c r="I153" s="613">
        <v>20508</v>
      </c>
      <c r="J153" s="611">
        <f t="shared" si="2"/>
        <v>20508</v>
      </c>
      <c r="K153" s="612" t="s">
        <v>43</v>
      </c>
      <c r="L153" s="614" t="s">
        <v>101</v>
      </c>
      <c r="M153" s="621"/>
    </row>
    <row r="154" spans="2:13" ht="43.5">
      <c r="B154" s="623" t="s">
        <v>880</v>
      </c>
      <c r="C154" s="613"/>
      <c r="D154" s="613"/>
      <c r="E154" s="613"/>
      <c r="F154" s="613"/>
      <c r="G154" s="613"/>
      <c r="H154" s="613"/>
      <c r="I154" s="613">
        <v>12829.05</v>
      </c>
      <c r="J154" s="611">
        <f t="shared" si="2"/>
        <v>12829.05</v>
      </c>
      <c r="K154" s="612" t="s">
        <v>43</v>
      </c>
      <c r="L154" s="614" t="s">
        <v>101</v>
      </c>
      <c r="M154" s="621"/>
    </row>
    <row r="155" spans="2:13" ht="43.5">
      <c r="B155" s="623" t="s">
        <v>881</v>
      </c>
      <c r="C155" s="613"/>
      <c r="D155" s="613"/>
      <c r="E155" s="613"/>
      <c r="F155" s="613"/>
      <c r="G155" s="613"/>
      <c r="H155" s="613"/>
      <c r="I155" s="625">
        <v>11827.5</v>
      </c>
      <c r="J155" s="611">
        <f t="shared" si="2"/>
        <v>11827.5</v>
      </c>
      <c r="K155" s="612" t="s">
        <v>43</v>
      </c>
      <c r="L155" s="614" t="s">
        <v>101</v>
      </c>
      <c r="M155" s="621"/>
    </row>
    <row r="156" spans="2:13" ht="42">
      <c r="B156" s="627" t="s">
        <v>689</v>
      </c>
      <c r="C156" s="613"/>
      <c r="D156" s="613"/>
      <c r="E156" s="613"/>
      <c r="F156" s="613"/>
      <c r="G156" s="613"/>
      <c r="H156" s="613"/>
      <c r="I156" s="625"/>
      <c r="J156" s="611">
        <f t="shared" si="2"/>
        <v>0</v>
      </c>
      <c r="K156" s="612"/>
      <c r="L156" s="614"/>
      <c r="M156" s="621"/>
    </row>
    <row r="157" spans="2:13" ht="43.5">
      <c r="B157" s="624" t="s">
        <v>882</v>
      </c>
      <c r="C157" s="613"/>
      <c r="D157" s="613"/>
      <c r="E157" s="613"/>
      <c r="F157" s="613"/>
      <c r="G157" s="613"/>
      <c r="H157" s="613">
        <v>520000</v>
      </c>
      <c r="I157" s="625"/>
      <c r="J157" s="611">
        <f t="shared" si="2"/>
        <v>520000</v>
      </c>
      <c r="K157" s="612" t="s">
        <v>690</v>
      </c>
      <c r="L157" s="614" t="s">
        <v>119</v>
      </c>
      <c r="M157" s="621"/>
    </row>
    <row r="158" spans="2:13" ht="65.25">
      <c r="B158" s="624" t="s">
        <v>883</v>
      </c>
      <c r="C158" s="613"/>
      <c r="D158" s="613"/>
      <c r="E158" s="613">
        <v>308800</v>
      </c>
      <c r="F158" s="613"/>
      <c r="G158" s="613"/>
      <c r="H158" s="613"/>
      <c r="I158" s="625"/>
      <c r="J158" s="611">
        <f t="shared" si="2"/>
        <v>308800</v>
      </c>
      <c r="K158" s="612" t="s">
        <v>692</v>
      </c>
      <c r="L158" s="614" t="s">
        <v>684</v>
      </c>
      <c r="M158" s="621"/>
    </row>
    <row r="159" spans="2:13" ht="43.5">
      <c r="B159" s="624" t="s">
        <v>884</v>
      </c>
      <c r="C159" s="613"/>
      <c r="D159" s="613"/>
      <c r="E159" s="613">
        <v>24000</v>
      </c>
      <c r="F159" s="613">
        <f>12000+5000</f>
        <v>17000</v>
      </c>
      <c r="G159" s="613"/>
      <c r="H159" s="613">
        <f>33000+54000+24000+50000+25000+5000</f>
        <v>191000</v>
      </c>
      <c r="I159" s="625"/>
      <c r="J159" s="611">
        <f t="shared" si="2"/>
        <v>232000</v>
      </c>
      <c r="K159" s="612" t="s">
        <v>737</v>
      </c>
      <c r="L159" s="614" t="s">
        <v>693</v>
      </c>
      <c r="M159" s="621"/>
    </row>
    <row r="160" spans="2:13" ht="50.25" customHeight="1">
      <c r="B160" s="624" t="s">
        <v>885</v>
      </c>
      <c r="C160" s="613">
        <v>328000</v>
      </c>
      <c r="D160" s="613"/>
      <c r="E160" s="613">
        <f>408800</f>
        <v>408800</v>
      </c>
      <c r="F160" s="613"/>
      <c r="G160" s="613"/>
      <c r="H160" s="613">
        <f>61000+82000+109750+91750+177500</f>
        <v>522000</v>
      </c>
      <c r="I160" s="625"/>
      <c r="J160" s="611">
        <f t="shared" si="2"/>
        <v>1258800</v>
      </c>
      <c r="K160" s="612" t="s">
        <v>691</v>
      </c>
      <c r="L160" s="614" t="s">
        <v>694</v>
      </c>
      <c r="M160" s="621"/>
    </row>
    <row r="161" spans="2:13" ht="65.25">
      <c r="B161" s="624" t="s">
        <v>886</v>
      </c>
      <c r="C161" s="613"/>
      <c r="D161" s="613">
        <v>455000</v>
      </c>
      <c r="E161" s="613">
        <v>135000</v>
      </c>
      <c r="F161" s="613">
        <v>290000</v>
      </c>
      <c r="G161" s="613"/>
      <c r="H161" s="613">
        <f>1390000+455000+750000+695000+455000</f>
        <v>3745000</v>
      </c>
      <c r="I161" s="625"/>
      <c r="J161" s="611">
        <f t="shared" si="2"/>
        <v>4625000</v>
      </c>
      <c r="K161" s="612" t="s">
        <v>695</v>
      </c>
      <c r="L161" s="614" t="s">
        <v>696</v>
      </c>
      <c r="M161" s="621"/>
    </row>
    <row r="162" spans="2:13" ht="65.25">
      <c r="B162" s="624" t="s">
        <v>887</v>
      </c>
      <c r="C162" s="613"/>
      <c r="D162" s="613"/>
      <c r="E162" s="613">
        <v>80616</v>
      </c>
      <c r="F162" s="613"/>
      <c r="G162" s="613"/>
      <c r="H162" s="613"/>
      <c r="I162" s="625"/>
      <c r="J162" s="611">
        <f t="shared" si="2"/>
        <v>80616</v>
      </c>
      <c r="K162" s="612" t="s">
        <v>695</v>
      </c>
      <c r="L162" s="614" t="s">
        <v>457</v>
      </c>
      <c r="M162" s="621"/>
    </row>
    <row r="163" spans="2:13" ht="65.25">
      <c r="B163" s="624" t="s">
        <v>888</v>
      </c>
      <c r="C163" s="613"/>
      <c r="D163" s="613"/>
      <c r="E163" s="613">
        <v>11600</v>
      </c>
      <c r="F163" s="613">
        <v>11600</v>
      </c>
      <c r="G163" s="613"/>
      <c r="H163" s="613">
        <f>11600*13</f>
        <v>150800</v>
      </c>
      <c r="I163" s="625"/>
      <c r="J163" s="611">
        <f t="shared" si="2"/>
        <v>174000</v>
      </c>
      <c r="K163" s="612" t="s">
        <v>697</v>
      </c>
      <c r="L163" s="614" t="s">
        <v>55</v>
      </c>
      <c r="M163" s="621" t="s">
        <v>698</v>
      </c>
    </row>
    <row r="164" spans="2:13" ht="65.25">
      <c r="B164" s="624" t="s">
        <v>889</v>
      </c>
      <c r="C164" s="613">
        <v>9166.61</v>
      </c>
      <c r="D164" s="613"/>
      <c r="E164" s="613"/>
      <c r="F164" s="613"/>
      <c r="G164" s="613"/>
      <c r="H164" s="613">
        <f>9166.67*17</f>
        <v>155833.39</v>
      </c>
      <c r="I164" s="625"/>
      <c r="J164" s="611">
        <f t="shared" si="2"/>
        <v>165000</v>
      </c>
      <c r="K164" s="612" t="s">
        <v>697</v>
      </c>
      <c r="L164" s="614" t="s">
        <v>55</v>
      </c>
      <c r="M164" s="621" t="s">
        <v>698</v>
      </c>
    </row>
    <row r="165" spans="2:13" ht="87">
      <c r="B165" s="624" t="s">
        <v>1057</v>
      </c>
      <c r="C165" s="613">
        <f>(4141600/8)*2</f>
        <v>1035400</v>
      </c>
      <c r="D165" s="613">
        <f>(4141600/8)*2</f>
        <v>1035400</v>
      </c>
      <c r="E165" s="613">
        <f>(4141600/8)*2</f>
        <v>1035400</v>
      </c>
      <c r="F165" s="613">
        <f>(4141600/8)*2</f>
        <v>1035400</v>
      </c>
      <c r="G165" s="613"/>
      <c r="H165" s="613"/>
      <c r="I165" s="625"/>
      <c r="J165" s="611">
        <f t="shared" si="2"/>
        <v>4141600</v>
      </c>
      <c r="K165" s="612" t="s">
        <v>46</v>
      </c>
      <c r="L165" s="614" t="s">
        <v>701</v>
      </c>
      <c r="M165" s="621"/>
    </row>
    <row r="166" spans="2:13" ht="65.25">
      <c r="B166" s="624" t="s">
        <v>699</v>
      </c>
      <c r="C166" s="613"/>
      <c r="D166" s="613"/>
      <c r="E166" s="613"/>
      <c r="F166" s="613"/>
      <c r="G166" s="625"/>
      <c r="H166" s="613">
        <v>4980800</v>
      </c>
      <c r="I166" s="625"/>
      <c r="J166" s="611">
        <f t="shared" si="2"/>
        <v>4980800</v>
      </c>
      <c r="K166" s="612" t="s">
        <v>46</v>
      </c>
      <c r="L166" s="614" t="s">
        <v>700</v>
      </c>
      <c r="M166" s="621"/>
    </row>
    <row r="167" spans="2:13" ht="65.25">
      <c r="B167" s="624" t="s">
        <v>1046</v>
      </c>
      <c r="C167" s="613">
        <f>175614/5</f>
        <v>35122.8</v>
      </c>
      <c r="D167" s="613">
        <f>175614/5</f>
        <v>35122.8</v>
      </c>
      <c r="E167" s="613">
        <f>175614/5</f>
        <v>35122.8</v>
      </c>
      <c r="F167" s="613">
        <f>175614/5</f>
        <v>35122.8</v>
      </c>
      <c r="G167" s="613">
        <f>175614/5</f>
        <v>35122.8</v>
      </c>
      <c r="H167" s="795"/>
      <c r="I167" s="625"/>
      <c r="J167" s="611">
        <f t="shared" si="2"/>
        <v>175614</v>
      </c>
      <c r="K167" s="612" t="s">
        <v>46</v>
      </c>
      <c r="L167" s="614" t="s">
        <v>730</v>
      </c>
      <c r="M167" s="621"/>
    </row>
    <row r="168" spans="2:13" ht="65.25">
      <c r="B168" s="624" t="s">
        <v>731</v>
      </c>
      <c r="C168" s="613"/>
      <c r="D168" s="613"/>
      <c r="E168" s="613"/>
      <c r="F168" s="613"/>
      <c r="G168" s="613"/>
      <c r="H168" s="613"/>
      <c r="I168" s="613">
        <v>11450</v>
      </c>
      <c r="J168" s="611">
        <f t="shared" si="2"/>
        <v>11450</v>
      </c>
      <c r="K168" s="612" t="s">
        <v>734</v>
      </c>
      <c r="L168" s="614"/>
      <c r="M168" s="621"/>
    </row>
    <row r="169" spans="2:13" ht="43.5">
      <c r="B169" s="624" t="s">
        <v>732</v>
      </c>
      <c r="C169" s="613"/>
      <c r="D169" s="613"/>
      <c r="E169" s="613"/>
      <c r="F169" s="613"/>
      <c r="G169" s="613"/>
      <c r="H169" s="613"/>
      <c r="I169" s="613">
        <v>16254.15</v>
      </c>
      <c r="J169" s="611">
        <f t="shared" si="2"/>
        <v>16254.15</v>
      </c>
      <c r="K169" s="612" t="s">
        <v>734</v>
      </c>
      <c r="L169" s="614"/>
      <c r="M169" s="615"/>
    </row>
    <row r="170" spans="2:13" ht="43.5">
      <c r="B170" s="624" t="s">
        <v>733</v>
      </c>
      <c r="C170" s="613"/>
      <c r="D170" s="613"/>
      <c r="E170" s="613"/>
      <c r="F170" s="613"/>
      <c r="G170" s="613"/>
      <c r="H170" s="613"/>
      <c r="I170" s="613">
        <v>25667.34</v>
      </c>
      <c r="J170" s="611">
        <f t="shared" si="2"/>
        <v>25667.34</v>
      </c>
      <c r="K170" s="612" t="s">
        <v>734</v>
      </c>
      <c r="L170" s="614"/>
      <c r="M170" s="615"/>
    </row>
    <row r="171" spans="2:13" ht="43.5">
      <c r="B171" s="624" t="s">
        <v>735</v>
      </c>
      <c r="C171" s="613"/>
      <c r="D171" s="613"/>
      <c r="E171" s="613"/>
      <c r="F171" s="613"/>
      <c r="G171" s="613"/>
      <c r="H171" s="613"/>
      <c r="I171" s="613">
        <v>206861.1</v>
      </c>
      <c r="J171" s="611">
        <f t="shared" si="2"/>
        <v>206861.1</v>
      </c>
      <c r="K171" s="612" t="s">
        <v>734</v>
      </c>
      <c r="L171" s="614"/>
      <c r="M171" s="615"/>
    </row>
    <row r="172" spans="2:13" ht="43.5">
      <c r="B172" s="624" t="s">
        <v>736</v>
      </c>
      <c r="C172" s="613"/>
      <c r="D172" s="613"/>
      <c r="E172" s="613"/>
      <c r="F172" s="613"/>
      <c r="G172" s="613"/>
      <c r="H172" s="613"/>
      <c r="I172" s="613">
        <v>34060.5</v>
      </c>
      <c r="J172" s="611">
        <f t="shared" si="2"/>
        <v>34060.5</v>
      </c>
      <c r="K172" s="612" t="s">
        <v>734</v>
      </c>
      <c r="L172" s="614"/>
      <c r="M172" s="615"/>
    </row>
    <row r="173" spans="2:13" ht="42">
      <c r="B173" s="627" t="s">
        <v>890</v>
      </c>
      <c r="C173" s="613"/>
      <c r="D173" s="613"/>
      <c r="E173" s="613"/>
      <c r="F173" s="613"/>
      <c r="G173" s="613"/>
      <c r="H173" s="613"/>
      <c r="I173" s="613"/>
      <c r="J173" s="611"/>
      <c r="K173" s="612"/>
      <c r="L173" s="614"/>
      <c r="M173" s="615"/>
    </row>
    <row r="174" spans="2:13" ht="130.5">
      <c r="B174" s="624" t="s">
        <v>891</v>
      </c>
      <c r="C174" s="613"/>
      <c r="D174" s="613"/>
      <c r="E174" s="613"/>
      <c r="F174" s="613"/>
      <c r="G174" s="613"/>
      <c r="H174" s="613">
        <v>4800000</v>
      </c>
      <c r="I174" s="613"/>
      <c r="J174" s="611">
        <f t="shared" si="2"/>
        <v>4800000</v>
      </c>
      <c r="K174" s="612" t="s">
        <v>738</v>
      </c>
      <c r="L174" s="614" t="s">
        <v>741</v>
      </c>
      <c r="M174" s="615"/>
    </row>
    <row r="175" spans="2:13" ht="42">
      <c r="B175" s="628" t="s">
        <v>892</v>
      </c>
      <c r="C175" s="613"/>
      <c r="D175" s="613"/>
      <c r="E175" s="613"/>
      <c r="F175" s="613"/>
      <c r="G175" s="613"/>
      <c r="H175" s="613"/>
      <c r="I175" s="613"/>
      <c r="J175" s="611">
        <f t="shared" si="2"/>
        <v>0</v>
      </c>
      <c r="K175" s="612"/>
      <c r="L175" s="614"/>
      <c r="M175" s="615"/>
    </row>
    <row r="176" spans="2:13" ht="65.25">
      <c r="B176" s="624" t="s">
        <v>893</v>
      </c>
      <c r="C176" s="613">
        <v>1265600</v>
      </c>
      <c r="D176" s="613"/>
      <c r="E176" s="613"/>
      <c r="F176" s="613"/>
      <c r="G176" s="613"/>
      <c r="H176" s="613"/>
      <c r="I176" s="613"/>
      <c r="J176" s="611">
        <f t="shared" si="2"/>
        <v>1265600</v>
      </c>
      <c r="K176" s="612" t="s">
        <v>43</v>
      </c>
      <c r="L176" s="614" t="s">
        <v>739</v>
      </c>
      <c r="M176" s="615"/>
    </row>
    <row r="177" spans="2:13" ht="42">
      <c r="B177" s="628" t="s">
        <v>894</v>
      </c>
      <c r="C177" s="613"/>
      <c r="D177" s="613"/>
      <c r="E177" s="613"/>
      <c r="F177" s="613"/>
      <c r="G177" s="613"/>
      <c r="H177" s="613"/>
      <c r="I177" s="613"/>
      <c r="J177" s="611">
        <f t="shared" si="2"/>
        <v>0</v>
      </c>
      <c r="K177" s="612"/>
      <c r="L177" s="614"/>
      <c r="M177" s="615"/>
    </row>
    <row r="178" spans="2:13" ht="48.75" customHeight="1">
      <c r="B178" s="624" t="s">
        <v>895</v>
      </c>
      <c r="C178" s="613">
        <v>60000</v>
      </c>
      <c r="D178" s="613"/>
      <c r="E178" s="613"/>
      <c r="F178" s="613"/>
      <c r="G178" s="613"/>
      <c r="H178" s="613"/>
      <c r="I178" s="613"/>
      <c r="J178" s="611">
        <f t="shared" si="2"/>
        <v>60000</v>
      </c>
      <c r="K178" s="612" t="s">
        <v>43</v>
      </c>
      <c r="L178" s="614" t="s">
        <v>55</v>
      </c>
      <c r="M178" s="615"/>
    </row>
    <row r="179" spans="2:13" ht="42">
      <c r="B179" s="628" t="s">
        <v>896</v>
      </c>
      <c r="C179" s="613"/>
      <c r="D179" s="613"/>
      <c r="E179" s="613"/>
      <c r="F179" s="613"/>
      <c r="G179" s="613"/>
      <c r="H179" s="613"/>
      <c r="I179" s="613"/>
      <c r="J179" s="611">
        <f t="shared" si="2"/>
        <v>0</v>
      </c>
      <c r="K179" s="612"/>
      <c r="L179" s="614"/>
      <c r="M179" s="615"/>
    </row>
    <row r="180" spans="2:13" ht="130.5">
      <c r="B180" s="624" t="s">
        <v>964</v>
      </c>
      <c r="C180" s="613">
        <v>5055900</v>
      </c>
      <c r="D180" s="613"/>
      <c r="E180" s="613"/>
      <c r="F180" s="613"/>
      <c r="G180" s="613"/>
      <c r="H180" s="613"/>
      <c r="I180" s="613"/>
      <c r="J180" s="611">
        <f t="shared" si="2"/>
        <v>5055900</v>
      </c>
      <c r="K180" s="612" t="s">
        <v>43</v>
      </c>
      <c r="L180" s="614" t="s">
        <v>740</v>
      </c>
      <c r="M180" s="615"/>
    </row>
    <row r="181" spans="2:13" ht="43.5">
      <c r="B181" s="624" t="s">
        <v>897</v>
      </c>
      <c r="C181" s="613"/>
      <c r="D181" s="613"/>
      <c r="E181" s="613"/>
      <c r="F181" s="613"/>
      <c r="G181" s="613"/>
      <c r="H181" s="613"/>
      <c r="I181" s="613">
        <v>76800</v>
      </c>
      <c r="J181" s="611">
        <f t="shared" si="2"/>
        <v>76800</v>
      </c>
      <c r="K181" s="612" t="s">
        <v>43</v>
      </c>
      <c r="L181" s="614" t="s">
        <v>101</v>
      </c>
      <c r="M181" s="615"/>
    </row>
    <row r="182" spans="2:13" ht="21.75">
      <c r="B182" s="628" t="s">
        <v>898</v>
      </c>
      <c r="C182" s="613"/>
      <c r="D182" s="613"/>
      <c r="E182" s="613"/>
      <c r="F182" s="613"/>
      <c r="G182" s="613"/>
      <c r="H182" s="613"/>
      <c r="I182" s="613"/>
      <c r="J182" s="611">
        <f t="shared" si="2"/>
        <v>0</v>
      </c>
      <c r="K182" s="612"/>
      <c r="L182" s="614"/>
      <c r="M182" s="615"/>
    </row>
    <row r="183" spans="2:13" ht="152.25">
      <c r="B183" s="624" t="s">
        <v>985</v>
      </c>
      <c r="C183" s="613">
        <v>3246352</v>
      </c>
      <c r="D183" s="613">
        <v>406560</v>
      </c>
      <c r="E183" s="613"/>
      <c r="F183" s="613">
        <v>128491</v>
      </c>
      <c r="G183" s="613"/>
      <c r="H183" s="613"/>
      <c r="I183" s="613"/>
      <c r="J183" s="611">
        <f t="shared" si="2"/>
        <v>3781403</v>
      </c>
      <c r="K183" s="612" t="s">
        <v>46</v>
      </c>
      <c r="L183" s="614" t="s">
        <v>742</v>
      </c>
      <c r="M183" s="615"/>
    </row>
    <row r="184" spans="2:13" ht="43.5">
      <c r="B184" s="796" t="s">
        <v>899</v>
      </c>
      <c r="C184" s="613"/>
      <c r="D184" s="613"/>
      <c r="E184" s="613"/>
      <c r="F184" s="613"/>
      <c r="G184" s="613"/>
      <c r="H184" s="613"/>
      <c r="I184" s="613">
        <v>27477.65</v>
      </c>
      <c r="J184" s="611">
        <f t="shared" si="2"/>
        <v>27477.65</v>
      </c>
      <c r="K184" s="612" t="s">
        <v>43</v>
      </c>
      <c r="L184" s="614" t="s">
        <v>101</v>
      </c>
      <c r="M184" s="615"/>
    </row>
    <row r="185" spans="2:13" ht="43.5">
      <c r="B185" s="796" t="s">
        <v>900</v>
      </c>
      <c r="C185" s="613"/>
      <c r="D185" s="613"/>
      <c r="E185" s="613"/>
      <c r="F185" s="613"/>
      <c r="G185" s="613"/>
      <c r="H185" s="613"/>
      <c r="I185" s="613">
        <v>11808.75</v>
      </c>
      <c r="J185" s="611">
        <f t="shared" si="2"/>
        <v>11808.75</v>
      </c>
      <c r="K185" s="612" t="s">
        <v>43</v>
      </c>
      <c r="L185" s="614" t="s">
        <v>101</v>
      </c>
      <c r="M185" s="615"/>
    </row>
    <row r="186" spans="2:13" ht="43.5">
      <c r="B186" s="796" t="s">
        <v>901</v>
      </c>
      <c r="C186" s="613"/>
      <c r="D186" s="613"/>
      <c r="E186" s="613"/>
      <c r="F186" s="613"/>
      <c r="G186" s="613"/>
      <c r="H186" s="613"/>
      <c r="I186" s="613">
        <v>216156.25</v>
      </c>
      <c r="J186" s="611">
        <f t="shared" si="2"/>
        <v>216156.25</v>
      </c>
      <c r="K186" s="612" t="s">
        <v>43</v>
      </c>
      <c r="L186" s="614" t="s">
        <v>101</v>
      </c>
      <c r="M186" s="615"/>
    </row>
    <row r="187" spans="2:13" ht="43.5">
      <c r="B187" s="796" t="s">
        <v>902</v>
      </c>
      <c r="C187" s="613"/>
      <c r="D187" s="613"/>
      <c r="E187" s="613"/>
      <c r="F187" s="613"/>
      <c r="G187" s="613"/>
      <c r="H187" s="613"/>
      <c r="I187" s="613">
        <v>26000</v>
      </c>
      <c r="J187" s="611">
        <f t="shared" si="2"/>
        <v>26000</v>
      </c>
      <c r="K187" s="612" t="s">
        <v>43</v>
      </c>
      <c r="L187" s="614" t="s">
        <v>101</v>
      </c>
      <c r="M187" s="615"/>
    </row>
    <row r="188" spans="2:13" ht="43.5">
      <c r="B188" s="796" t="s">
        <v>1080</v>
      </c>
      <c r="C188" s="613"/>
      <c r="D188" s="613"/>
      <c r="E188" s="613"/>
      <c r="F188" s="613"/>
      <c r="G188" s="613"/>
      <c r="H188" s="613"/>
      <c r="I188" s="613">
        <v>158800</v>
      </c>
      <c r="J188" s="611">
        <f t="shared" si="2"/>
        <v>158800</v>
      </c>
      <c r="K188" s="612" t="s">
        <v>43</v>
      </c>
      <c r="L188" s="614" t="s">
        <v>101</v>
      </c>
      <c r="M188" s="615"/>
    </row>
    <row r="189" spans="2:13" ht="43.5">
      <c r="B189" s="796" t="s">
        <v>1081</v>
      </c>
      <c r="C189" s="613"/>
      <c r="D189" s="613"/>
      <c r="E189" s="613"/>
      <c r="F189" s="613"/>
      <c r="G189" s="613"/>
      <c r="H189" s="613"/>
      <c r="I189" s="613">
        <v>59000</v>
      </c>
      <c r="J189" s="611">
        <f t="shared" si="2"/>
        <v>59000</v>
      </c>
      <c r="K189" s="612" t="s">
        <v>43</v>
      </c>
      <c r="L189" s="614" t="s">
        <v>101</v>
      </c>
      <c r="M189" s="615"/>
    </row>
    <row r="190" spans="2:13" ht="21.75">
      <c r="B190" s="617" t="s">
        <v>903</v>
      </c>
      <c r="C190" s="613"/>
      <c r="D190" s="613"/>
      <c r="E190" s="613"/>
      <c r="F190" s="613"/>
      <c r="G190" s="613"/>
      <c r="H190" s="613"/>
      <c r="I190" s="613"/>
      <c r="J190" s="611"/>
      <c r="K190" s="612"/>
      <c r="L190" s="614"/>
      <c r="M190" s="615"/>
    </row>
    <row r="191" spans="2:13" ht="152.25">
      <c r="B191" s="586" t="s">
        <v>904</v>
      </c>
      <c r="C191" s="613">
        <f>400000+145000</f>
        <v>545000</v>
      </c>
      <c r="D191" s="613"/>
      <c r="E191" s="613"/>
      <c r="F191" s="613"/>
      <c r="G191" s="613"/>
      <c r="H191" s="613"/>
      <c r="I191" s="613"/>
      <c r="J191" s="611">
        <f t="shared" si="2"/>
        <v>545000</v>
      </c>
      <c r="K191" s="612" t="s">
        <v>43</v>
      </c>
      <c r="L191" s="614" t="s">
        <v>965</v>
      </c>
      <c r="M191" s="615"/>
    </row>
    <row r="192" spans="2:13" ht="21.75">
      <c r="B192" s="629" t="s">
        <v>905</v>
      </c>
      <c r="C192" s="613"/>
      <c r="D192" s="613"/>
      <c r="E192" s="613"/>
      <c r="F192" s="613"/>
      <c r="G192" s="613"/>
      <c r="H192" s="613"/>
      <c r="I192" s="613"/>
      <c r="J192" s="611"/>
      <c r="K192" s="612"/>
      <c r="L192" s="614"/>
      <c r="M192" s="615"/>
    </row>
    <row r="193" spans="2:13" ht="66.75" customHeight="1">
      <c r="B193" s="767" t="s">
        <v>966</v>
      </c>
      <c r="C193" s="769"/>
      <c r="D193" s="769"/>
      <c r="E193" s="769"/>
      <c r="F193" s="769"/>
      <c r="G193" s="769"/>
      <c r="H193" s="769"/>
      <c r="I193" s="769"/>
      <c r="J193" s="770"/>
      <c r="K193" s="771"/>
      <c r="L193" s="771"/>
      <c r="M193" s="772"/>
    </row>
    <row r="194" spans="2:13" ht="43.5">
      <c r="B194" s="766" t="s">
        <v>1052</v>
      </c>
      <c r="C194" s="768">
        <v>208300</v>
      </c>
      <c r="D194" s="766"/>
      <c r="E194" s="610"/>
      <c r="F194" s="610"/>
      <c r="G194" s="610"/>
      <c r="H194" s="610"/>
      <c r="I194" s="610"/>
      <c r="J194" s="611">
        <f t="shared" si="2"/>
        <v>208300</v>
      </c>
      <c r="K194" s="612" t="s">
        <v>743</v>
      </c>
      <c r="L194" s="612" t="s">
        <v>751</v>
      </c>
      <c r="M194" s="616"/>
    </row>
    <row r="195" spans="2:13" ht="65.25">
      <c r="B195" s="766" t="s">
        <v>1052</v>
      </c>
      <c r="C195" s="630">
        <v>500500</v>
      </c>
      <c r="D195" s="586"/>
      <c r="E195" s="613"/>
      <c r="F195" s="613"/>
      <c r="G195" s="613"/>
      <c r="H195" s="613"/>
      <c r="I195" s="613"/>
      <c r="J195" s="611">
        <f t="shared" si="2"/>
        <v>500500</v>
      </c>
      <c r="K195" s="612" t="s">
        <v>744</v>
      </c>
      <c r="L195" s="614" t="s">
        <v>753</v>
      </c>
      <c r="M195" s="615"/>
    </row>
    <row r="196" spans="2:13" ht="43.5">
      <c r="B196" s="766" t="s">
        <v>1052</v>
      </c>
      <c r="C196" s="630">
        <v>97400</v>
      </c>
      <c r="D196" s="586"/>
      <c r="E196" s="613"/>
      <c r="F196" s="613"/>
      <c r="G196" s="613"/>
      <c r="H196" s="613"/>
      <c r="I196" s="613"/>
      <c r="J196" s="611">
        <f t="shared" si="2"/>
        <v>97400</v>
      </c>
      <c r="K196" s="612" t="s">
        <v>745</v>
      </c>
      <c r="L196" s="614" t="s">
        <v>752</v>
      </c>
      <c r="M196" s="615"/>
    </row>
    <row r="197" spans="2:13" ht="43.5">
      <c r="B197" s="766" t="s">
        <v>1052</v>
      </c>
      <c r="C197" s="630">
        <v>99400</v>
      </c>
      <c r="D197" s="586"/>
      <c r="E197" s="613"/>
      <c r="F197" s="613"/>
      <c r="G197" s="613"/>
      <c r="H197" s="613"/>
      <c r="I197" s="613"/>
      <c r="J197" s="611">
        <f t="shared" si="2"/>
        <v>99400</v>
      </c>
      <c r="K197" s="612" t="s">
        <v>682</v>
      </c>
      <c r="L197" s="614" t="s">
        <v>752</v>
      </c>
      <c r="M197" s="615"/>
    </row>
    <row r="198" spans="2:13" ht="43.5">
      <c r="B198" s="766" t="s">
        <v>1052</v>
      </c>
      <c r="C198" s="630">
        <v>94400</v>
      </c>
      <c r="D198" s="586"/>
      <c r="E198" s="613"/>
      <c r="F198" s="613"/>
      <c r="G198" s="613"/>
      <c r="H198" s="613"/>
      <c r="I198" s="613"/>
      <c r="J198" s="611">
        <f t="shared" si="2"/>
        <v>94400</v>
      </c>
      <c r="K198" s="612" t="s">
        <v>746</v>
      </c>
      <c r="L198" s="614" t="s">
        <v>752</v>
      </c>
      <c r="M198" s="615"/>
    </row>
    <row r="199" spans="2:13" ht="43.5">
      <c r="B199" s="766" t="s">
        <v>1052</v>
      </c>
      <c r="C199" s="630">
        <v>96400</v>
      </c>
      <c r="D199" s="586"/>
      <c r="E199" s="613"/>
      <c r="F199" s="613"/>
      <c r="G199" s="613"/>
      <c r="H199" s="613"/>
      <c r="I199" s="613"/>
      <c r="J199" s="611">
        <f t="shared" si="2"/>
        <v>96400</v>
      </c>
      <c r="K199" s="612" t="s">
        <v>747</v>
      </c>
      <c r="L199" s="614" t="s">
        <v>752</v>
      </c>
      <c r="M199" s="615"/>
    </row>
    <row r="200" spans="2:13" ht="87">
      <c r="B200" s="766" t="s">
        <v>1052</v>
      </c>
      <c r="C200" s="630">
        <v>96400</v>
      </c>
      <c r="D200" s="586"/>
      <c r="E200" s="613"/>
      <c r="F200" s="613"/>
      <c r="G200" s="613"/>
      <c r="H200" s="613"/>
      <c r="I200" s="613"/>
      <c r="J200" s="611">
        <f t="shared" si="2"/>
        <v>96400</v>
      </c>
      <c r="K200" s="612" t="s">
        <v>748</v>
      </c>
      <c r="L200" s="614" t="s">
        <v>752</v>
      </c>
      <c r="M200" s="615"/>
    </row>
    <row r="201" spans="2:13" ht="65.25">
      <c r="B201" s="766" t="s">
        <v>1052</v>
      </c>
      <c r="C201" s="630">
        <v>129400</v>
      </c>
      <c r="D201" s="586"/>
      <c r="E201" s="613"/>
      <c r="F201" s="613"/>
      <c r="G201" s="613"/>
      <c r="H201" s="613"/>
      <c r="I201" s="613"/>
      <c r="J201" s="611">
        <f aca="true" t="shared" si="3" ref="J201:J266">SUM(C201:I201)</f>
        <v>129400</v>
      </c>
      <c r="K201" s="612" t="s">
        <v>749</v>
      </c>
      <c r="L201" s="614" t="s">
        <v>680</v>
      </c>
      <c r="M201" s="615"/>
    </row>
    <row r="202" spans="2:13" ht="43.5">
      <c r="B202" s="766" t="s">
        <v>1052</v>
      </c>
      <c r="C202" s="613">
        <v>123400</v>
      </c>
      <c r="D202" s="613"/>
      <c r="E202" s="613"/>
      <c r="F202" s="613"/>
      <c r="G202" s="613"/>
      <c r="H202" s="613"/>
      <c r="I202" s="613"/>
      <c r="J202" s="611">
        <f t="shared" si="3"/>
        <v>123400</v>
      </c>
      <c r="K202" s="612" t="s">
        <v>750</v>
      </c>
      <c r="L202" s="614" t="s">
        <v>680</v>
      </c>
      <c r="M202" s="615"/>
    </row>
    <row r="203" spans="2:13" ht="21.75">
      <c r="B203" s="629" t="s">
        <v>906</v>
      </c>
      <c r="C203" s="613"/>
      <c r="D203" s="613"/>
      <c r="E203" s="613"/>
      <c r="F203" s="613"/>
      <c r="G203" s="613"/>
      <c r="H203" s="613"/>
      <c r="I203" s="613"/>
      <c r="J203" s="611"/>
      <c r="K203" s="612"/>
      <c r="L203" s="614"/>
      <c r="M203" s="615"/>
    </row>
    <row r="204" spans="2:13" ht="49.5" customHeight="1">
      <c r="B204" s="586" t="s">
        <v>967</v>
      </c>
      <c r="C204" s="613"/>
      <c r="D204" s="613">
        <v>800000</v>
      </c>
      <c r="E204" s="613"/>
      <c r="F204" s="613"/>
      <c r="G204" s="613"/>
      <c r="H204" s="613"/>
      <c r="I204" s="613"/>
      <c r="J204" s="611">
        <f t="shared" si="3"/>
        <v>800000</v>
      </c>
      <c r="K204" s="612" t="s">
        <v>43</v>
      </c>
      <c r="L204" s="614" t="s">
        <v>754</v>
      </c>
      <c r="M204" s="615"/>
    </row>
    <row r="205" spans="2:13" ht="65.25">
      <c r="B205" s="586" t="s">
        <v>968</v>
      </c>
      <c r="C205" s="613"/>
      <c r="D205" s="613">
        <v>5000</v>
      </c>
      <c r="E205" s="613"/>
      <c r="F205" s="613">
        <v>5000</v>
      </c>
      <c r="G205" s="613"/>
      <c r="H205" s="613"/>
      <c r="I205" s="613"/>
      <c r="J205" s="611">
        <f t="shared" si="3"/>
        <v>10000</v>
      </c>
      <c r="K205" s="612" t="s">
        <v>32</v>
      </c>
      <c r="L205" s="612" t="s">
        <v>635</v>
      </c>
      <c r="M205" s="615"/>
    </row>
    <row r="206" spans="2:13" ht="21.75">
      <c r="B206" s="629" t="s">
        <v>907</v>
      </c>
      <c r="C206" s="613"/>
      <c r="D206" s="613"/>
      <c r="E206" s="613"/>
      <c r="F206" s="613"/>
      <c r="G206" s="613"/>
      <c r="H206" s="613"/>
      <c r="I206" s="613"/>
      <c r="J206" s="611">
        <f t="shared" si="3"/>
        <v>0</v>
      </c>
      <c r="K206" s="612"/>
      <c r="L206" s="614"/>
      <c r="M206" s="615"/>
    </row>
    <row r="207" spans="2:13" ht="65.25">
      <c r="B207" s="586" t="s">
        <v>1049</v>
      </c>
      <c r="C207" s="613"/>
      <c r="D207" s="613">
        <v>32000</v>
      </c>
      <c r="E207" s="613"/>
      <c r="F207" s="613"/>
      <c r="G207" s="613"/>
      <c r="H207" s="613"/>
      <c r="I207" s="613"/>
      <c r="J207" s="611">
        <f t="shared" si="3"/>
        <v>32000</v>
      </c>
      <c r="K207" s="612" t="s">
        <v>307</v>
      </c>
      <c r="L207" s="614" t="s">
        <v>680</v>
      </c>
      <c r="M207" s="615"/>
    </row>
    <row r="208" spans="2:13" ht="21.75">
      <c r="B208" s="629" t="s">
        <v>1048</v>
      </c>
      <c r="C208" s="613"/>
      <c r="D208" s="613"/>
      <c r="E208" s="613"/>
      <c r="F208" s="613"/>
      <c r="G208" s="613"/>
      <c r="H208" s="613"/>
      <c r="I208" s="613"/>
      <c r="J208" s="611"/>
      <c r="K208" s="612"/>
      <c r="L208" s="614"/>
      <c r="M208" s="615"/>
    </row>
    <row r="209" spans="2:13" ht="94.5" customHeight="1">
      <c r="B209" s="618" t="s">
        <v>1051</v>
      </c>
      <c r="C209" s="613">
        <v>3270000</v>
      </c>
      <c r="D209" s="613"/>
      <c r="E209" s="613"/>
      <c r="F209" s="613"/>
      <c r="G209" s="613"/>
      <c r="H209" s="613"/>
      <c r="I209" s="613"/>
      <c r="J209" s="611">
        <f t="shared" si="3"/>
        <v>3270000</v>
      </c>
      <c r="K209" s="612" t="s">
        <v>986</v>
      </c>
      <c r="L209" s="614" t="s">
        <v>987</v>
      </c>
      <c r="M209" s="615"/>
    </row>
    <row r="210" spans="2:13" ht="21.75">
      <c r="B210" s="629" t="s">
        <v>908</v>
      </c>
      <c r="C210" s="613"/>
      <c r="D210" s="613"/>
      <c r="E210" s="613"/>
      <c r="F210" s="613"/>
      <c r="G210" s="613"/>
      <c r="H210" s="613"/>
      <c r="I210" s="613"/>
      <c r="J210" s="611"/>
      <c r="K210" s="612"/>
      <c r="L210" s="614"/>
      <c r="M210" s="615"/>
    </row>
    <row r="211" spans="2:13" ht="68.25" customHeight="1">
      <c r="B211" s="586" t="s">
        <v>909</v>
      </c>
      <c r="C211" s="613">
        <v>543000</v>
      </c>
      <c r="D211" s="613"/>
      <c r="E211" s="613"/>
      <c r="F211" s="613"/>
      <c r="G211" s="613"/>
      <c r="H211" s="613"/>
      <c r="I211" s="613"/>
      <c r="J211" s="611">
        <f t="shared" si="3"/>
        <v>543000</v>
      </c>
      <c r="K211" s="612" t="s">
        <v>43</v>
      </c>
      <c r="L211" s="614" t="s">
        <v>129</v>
      </c>
      <c r="M211" s="615"/>
    </row>
    <row r="212" spans="2:13" ht="21.75">
      <c r="B212" s="629" t="s">
        <v>1053</v>
      </c>
      <c r="C212" s="613"/>
      <c r="D212" s="613"/>
      <c r="E212" s="613"/>
      <c r="F212" s="613"/>
      <c r="G212" s="613"/>
      <c r="H212" s="613"/>
      <c r="I212" s="613"/>
      <c r="J212" s="611"/>
      <c r="K212" s="612"/>
      <c r="L212" s="614"/>
      <c r="M212" s="615"/>
    </row>
    <row r="213" spans="2:13" ht="65.25">
      <c r="B213" s="614" t="s">
        <v>910</v>
      </c>
      <c r="C213" s="613">
        <f>116500+116500</f>
        <v>233000</v>
      </c>
      <c r="D213" s="613"/>
      <c r="E213" s="613"/>
      <c r="F213" s="613"/>
      <c r="G213" s="613"/>
      <c r="H213" s="613"/>
      <c r="I213" s="613"/>
      <c r="J213" s="611">
        <f t="shared" si="3"/>
        <v>233000</v>
      </c>
      <c r="K213" s="612" t="s">
        <v>755</v>
      </c>
      <c r="L213" s="614" t="s">
        <v>756</v>
      </c>
      <c r="M213" s="615"/>
    </row>
    <row r="214" spans="2:13" ht="21.75">
      <c r="B214" s="629" t="s">
        <v>911</v>
      </c>
      <c r="C214" s="613"/>
      <c r="D214" s="613"/>
      <c r="E214" s="613"/>
      <c r="F214" s="613"/>
      <c r="G214" s="613"/>
      <c r="H214" s="613"/>
      <c r="I214" s="613"/>
      <c r="J214" s="611"/>
      <c r="K214" s="612"/>
      <c r="L214" s="614"/>
      <c r="M214" s="615"/>
    </row>
    <row r="215" spans="2:13" ht="65.25">
      <c r="B215" s="614" t="s">
        <v>912</v>
      </c>
      <c r="C215" s="613"/>
      <c r="D215" s="613"/>
      <c r="E215" s="613"/>
      <c r="F215" s="613"/>
      <c r="G215" s="613"/>
      <c r="H215" s="613">
        <f>1340000+1520000</f>
        <v>2860000</v>
      </c>
      <c r="I215" s="613"/>
      <c r="J215" s="611">
        <f t="shared" si="3"/>
        <v>2860000</v>
      </c>
      <c r="K215" s="612" t="s">
        <v>757</v>
      </c>
      <c r="L215" s="614" t="s">
        <v>969</v>
      </c>
      <c r="M215" s="615"/>
    </row>
    <row r="216" spans="2:13" ht="42">
      <c r="B216" s="629" t="s">
        <v>913</v>
      </c>
      <c r="C216" s="613"/>
      <c r="D216" s="613"/>
      <c r="E216" s="613"/>
      <c r="F216" s="613"/>
      <c r="G216" s="613"/>
      <c r="H216" s="613"/>
      <c r="I216" s="613"/>
      <c r="J216" s="611"/>
      <c r="K216" s="612"/>
      <c r="L216" s="614"/>
      <c r="M216" s="615"/>
    </row>
    <row r="217" spans="2:13" ht="43.5">
      <c r="B217" s="586" t="s">
        <v>988</v>
      </c>
      <c r="C217" s="613"/>
      <c r="D217" s="613">
        <v>702370</v>
      </c>
      <c r="E217" s="613"/>
      <c r="F217" s="613"/>
      <c r="G217" s="613"/>
      <c r="H217" s="613"/>
      <c r="I217" s="613"/>
      <c r="J217" s="611">
        <f t="shared" si="3"/>
        <v>702370</v>
      </c>
      <c r="K217" s="612" t="s">
        <v>43</v>
      </c>
      <c r="L217" s="614" t="s">
        <v>758</v>
      </c>
      <c r="M217" s="615"/>
    </row>
    <row r="218" spans="2:13" ht="21.75">
      <c r="B218" s="629" t="s">
        <v>914</v>
      </c>
      <c r="C218" s="613"/>
      <c r="D218" s="613"/>
      <c r="E218" s="613"/>
      <c r="F218" s="613"/>
      <c r="G218" s="613"/>
      <c r="H218" s="613"/>
      <c r="I218" s="613"/>
      <c r="J218" s="611"/>
      <c r="K218" s="612"/>
      <c r="L218" s="614"/>
      <c r="M218" s="615"/>
    </row>
    <row r="219" spans="2:13" ht="43.5">
      <c r="B219" s="586" t="s">
        <v>989</v>
      </c>
      <c r="C219" s="613"/>
      <c r="D219" s="613"/>
      <c r="E219" s="613"/>
      <c r="F219" s="613">
        <v>215500</v>
      </c>
      <c r="G219" s="613"/>
      <c r="H219" s="613"/>
      <c r="I219" s="613"/>
      <c r="J219" s="611">
        <f t="shared" si="3"/>
        <v>215500</v>
      </c>
      <c r="K219" s="612" t="s">
        <v>43</v>
      </c>
      <c r="L219" s="614" t="s">
        <v>317</v>
      </c>
      <c r="M219" s="615"/>
    </row>
    <row r="220" spans="2:13" ht="65.25">
      <c r="B220" s="586" t="s">
        <v>915</v>
      </c>
      <c r="C220" s="613">
        <v>10000</v>
      </c>
      <c r="D220" s="613"/>
      <c r="E220" s="613"/>
      <c r="F220" s="613"/>
      <c r="G220" s="613"/>
      <c r="H220" s="613"/>
      <c r="I220" s="613"/>
      <c r="J220" s="611">
        <f t="shared" si="3"/>
        <v>10000</v>
      </c>
      <c r="K220" s="612" t="s">
        <v>32</v>
      </c>
      <c r="L220" s="614" t="s">
        <v>759</v>
      </c>
      <c r="M220" s="615"/>
    </row>
    <row r="221" spans="2:13" ht="26.25" customHeight="1">
      <c r="B221" s="621" t="s">
        <v>916</v>
      </c>
      <c r="C221" s="613"/>
      <c r="D221" s="613"/>
      <c r="E221" s="613"/>
      <c r="F221" s="613">
        <v>76000</v>
      </c>
      <c r="G221" s="613"/>
      <c r="H221" s="613"/>
      <c r="I221" s="613"/>
      <c r="J221" s="611">
        <f t="shared" si="3"/>
        <v>76000</v>
      </c>
      <c r="K221" s="612" t="s">
        <v>32</v>
      </c>
      <c r="L221" s="614" t="s">
        <v>760</v>
      </c>
      <c r="M221" s="615"/>
    </row>
    <row r="222" spans="2:13" ht="43.5">
      <c r="B222" s="614" t="s">
        <v>917</v>
      </c>
      <c r="C222" s="613">
        <v>12400</v>
      </c>
      <c r="D222" s="613"/>
      <c r="E222" s="613"/>
      <c r="F222" s="613"/>
      <c r="G222" s="613"/>
      <c r="H222" s="613"/>
      <c r="I222" s="613"/>
      <c r="J222" s="611">
        <f t="shared" si="3"/>
        <v>12400</v>
      </c>
      <c r="K222" s="612" t="s">
        <v>746</v>
      </c>
      <c r="L222" s="614" t="s">
        <v>761</v>
      </c>
      <c r="M222" s="615"/>
    </row>
    <row r="223" spans="2:13" ht="42">
      <c r="B223" s="629" t="s">
        <v>990</v>
      </c>
      <c r="C223" s="613"/>
      <c r="D223" s="613"/>
      <c r="E223" s="613"/>
      <c r="F223" s="613"/>
      <c r="G223" s="613"/>
      <c r="H223" s="613"/>
      <c r="I223" s="613"/>
      <c r="J223" s="611"/>
      <c r="K223" s="631"/>
      <c r="L223" s="631"/>
      <c r="M223" s="615"/>
    </row>
    <row r="224" spans="2:13" ht="21.75">
      <c r="B224" s="621" t="s">
        <v>918</v>
      </c>
      <c r="C224" s="613">
        <v>9000</v>
      </c>
      <c r="D224" s="613"/>
      <c r="E224" s="613"/>
      <c r="F224" s="613"/>
      <c r="G224" s="613"/>
      <c r="H224" s="613">
        <v>18000</v>
      </c>
      <c r="I224" s="613"/>
      <c r="J224" s="611">
        <f t="shared" si="3"/>
        <v>27000</v>
      </c>
      <c r="K224" s="612" t="s">
        <v>763</v>
      </c>
      <c r="L224" s="631" t="s">
        <v>762</v>
      </c>
      <c r="M224" s="615"/>
    </row>
    <row r="225" spans="2:13" ht="42">
      <c r="B225" s="617" t="s">
        <v>919</v>
      </c>
      <c r="C225" s="613"/>
      <c r="D225" s="613"/>
      <c r="E225" s="613"/>
      <c r="F225" s="613"/>
      <c r="G225" s="613"/>
      <c r="H225" s="613"/>
      <c r="I225" s="613"/>
      <c r="J225" s="611"/>
      <c r="K225" s="612"/>
      <c r="L225" s="614"/>
      <c r="M225" s="615"/>
    </row>
    <row r="226" spans="2:13" ht="70.5" customHeight="1">
      <c r="B226" s="614" t="s">
        <v>920</v>
      </c>
      <c r="C226" s="613"/>
      <c r="D226" s="613"/>
      <c r="E226" s="613">
        <v>286000</v>
      </c>
      <c r="F226" s="613"/>
      <c r="G226" s="613"/>
      <c r="H226" s="613"/>
      <c r="I226" s="613"/>
      <c r="J226" s="611">
        <f t="shared" si="3"/>
        <v>286000</v>
      </c>
      <c r="K226" s="612" t="s">
        <v>765</v>
      </c>
      <c r="L226" s="631" t="s">
        <v>764</v>
      </c>
      <c r="M226" s="615"/>
    </row>
    <row r="227" spans="2:13" ht="65.25">
      <c r="B227" s="621" t="s">
        <v>921</v>
      </c>
      <c r="C227" s="613"/>
      <c r="D227" s="613"/>
      <c r="E227" s="613"/>
      <c r="F227" s="613"/>
      <c r="G227" s="613"/>
      <c r="H227" s="613">
        <v>29427</v>
      </c>
      <c r="I227" s="613"/>
      <c r="J227" s="611">
        <f t="shared" si="3"/>
        <v>29427</v>
      </c>
      <c r="K227" s="612" t="s">
        <v>767</v>
      </c>
      <c r="L227" s="614" t="s">
        <v>766</v>
      </c>
      <c r="M227" s="615"/>
    </row>
    <row r="228" spans="2:13" ht="43.5">
      <c r="B228" s="614" t="s">
        <v>922</v>
      </c>
      <c r="C228" s="613"/>
      <c r="D228" s="613"/>
      <c r="E228" s="613"/>
      <c r="F228" s="613"/>
      <c r="G228" s="613"/>
      <c r="H228" s="613"/>
      <c r="I228" s="613">
        <v>26761.75</v>
      </c>
      <c r="J228" s="611">
        <f t="shared" si="3"/>
        <v>26761.75</v>
      </c>
      <c r="K228" s="612" t="s">
        <v>43</v>
      </c>
      <c r="L228" s="614" t="s">
        <v>101</v>
      </c>
      <c r="M228" s="615"/>
    </row>
    <row r="229" spans="2:13" ht="21.75">
      <c r="B229" s="617" t="s">
        <v>923</v>
      </c>
      <c r="C229" s="613"/>
      <c r="D229" s="613"/>
      <c r="E229" s="613"/>
      <c r="F229" s="613"/>
      <c r="G229" s="613"/>
      <c r="H229" s="613"/>
      <c r="I229" s="613"/>
      <c r="J229" s="611"/>
      <c r="K229" s="612"/>
      <c r="L229" s="614"/>
      <c r="M229" s="615"/>
    </row>
    <row r="230" spans="2:13" ht="87">
      <c r="B230" s="614" t="s">
        <v>924</v>
      </c>
      <c r="C230" s="613">
        <f>600000</f>
        <v>600000</v>
      </c>
      <c r="D230" s="613"/>
      <c r="E230" s="613"/>
      <c r="F230" s="613"/>
      <c r="G230" s="613"/>
      <c r="H230" s="613"/>
      <c r="I230" s="613"/>
      <c r="J230" s="611">
        <f t="shared" si="3"/>
        <v>600000</v>
      </c>
      <c r="K230" s="612" t="s">
        <v>768</v>
      </c>
      <c r="L230" s="631" t="s">
        <v>762</v>
      </c>
      <c r="M230" s="615"/>
    </row>
    <row r="231" spans="2:13" ht="87">
      <c r="B231" s="614" t="s">
        <v>769</v>
      </c>
      <c r="C231" s="613">
        <v>600000</v>
      </c>
      <c r="D231" s="613"/>
      <c r="E231" s="613"/>
      <c r="F231" s="613"/>
      <c r="G231" s="613"/>
      <c r="H231" s="613"/>
      <c r="I231" s="613"/>
      <c r="J231" s="611">
        <f t="shared" si="3"/>
        <v>600000</v>
      </c>
      <c r="K231" s="612" t="s">
        <v>770</v>
      </c>
      <c r="L231" s="631" t="s">
        <v>762</v>
      </c>
      <c r="M231" s="615"/>
    </row>
    <row r="232" spans="2:13" ht="65.25">
      <c r="B232" s="614" t="s">
        <v>925</v>
      </c>
      <c r="C232" s="613"/>
      <c r="D232" s="613">
        <v>400000</v>
      </c>
      <c r="E232" s="613"/>
      <c r="F232" s="613">
        <v>600000</v>
      </c>
      <c r="G232" s="613"/>
      <c r="H232" s="613"/>
      <c r="I232" s="613"/>
      <c r="J232" s="611">
        <f t="shared" si="3"/>
        <v>1000000</v>
      </c>
      <c r="K232" s="612" t="s">
        <v>768</v>
      </c>
      <c r="L232" s="631" t="s">
        <v>771</v>
      </c>
      <c r="M232" s="615"/>
    </row>
    <row r="233" spans="2:13" ht="43.5">
      <c r="B233" s="614" t="s">
        <v>769</v>
      </c>
      <c r="C233" s="613"/>
      <c r="D233" s="613"/>
      <c r="E233" s="613"/>
      <c r="F233" s="613">
        <v>200000</v>
      </c>
      <c r="G233" s="613"/>
      <c r="H233" s="613"/>
      <c r="I233" s="613"/>
      <c r="J233" s="611">
        <f t="shared" si="3"/>
        <v>200000</v>
      </c>
      <c r="K233" s="612" t="s">
        <v>773</v>
      </c>
      <c r="L233" s="631" t="s">
        <v>772</v>
      </c>
      <c r="M233" s="615"/>
    </row>
    <row r="234" spans="2:13" ht="21.75">
      <c r="B234" s="617" t="s">
        <v>926</v>
      </c>
      <c r="C234" s="613"/>
      <c r="D234" s="613"/>
      <c r="E234" s="613"/>
      <c r="F234" s="613"/>
      <c r="G234" s="613"/>
      <c r="H234" s="613"/>
      <c r="I234" s="613"/>
      <c r="J234" s="611">
        <f t="shared" si="3"/>
        <v>0</v>
      </c>
      <c r="K234" s="612"/>
      <c r="L234" s="612"/>
      <c r="M234" s="615"/>
    </row>
    <row r="235" spans="2:13" ht="65.25">
      <c r="B235" s="775" t="s">
        <v>927</v>
      </c>
      <c r="C235" s="613">
        <f>374710+367210+132000+100000+156000+156000+100000+100000</f>
        <v>1485920</v>
      </c>
      <c r="D235" s="613"/>
      <c r="E235" s="613">
        <f>365710+365710+160000+156000+156000</f>
        <v>1203420</v>
      </c>
      <c r="F235" s="613">
        <f>65000+65000+100000+156000</f>
        <v>386000</v>
      </c>
      <c r="G235" s="613">
        <v>538710</v>
      </c>
      <c r="H235" s="613">
        <f>320000+221000+364430+490855+298808+100000+100000+156000+100000+789000</f>
        <v>2940093</v>
      </c>
      <c r="I235" s="613"/>
      <c r="J235" s="759">
        <f t="shared" si="3"/>
        <v>6554143</v>
      </c>
      <c r="K235" s="614" t="s">
        <v>43</v>
      </c>
      <c r="L235" s="776" t="s">
        <v>803</v>
      </c>
      <c r="M235" s="615"/>
    </row>
    <row r="236" spans="2:13" ht="21.75">
      <c r="B236" s="766" t="s">
        <v>1054</v>
      </c>
      <c r="C236" s="773">
        <f>202500+100000+100000</f>
        <v>402500</v>
      </c>
      <c r="D236" s="773"/>
      <c r="E236" s="773">
        <v>272710</v>
      </c>
      <c r="F236" s="773">
        <f>206200+206200+206200+156000+156000</f>
        <v>930600</v>
      </c>
      <c r="G236" s="773"/>
      <c r="H236" s="610">
        <v>4944550</v>
      </c>
      <c r="I236" s="773"/>
      <c r="J236" s="611">
        <f t="shared" si="3"/>
        <v>6550360</v>
      </c>
      <c r="K236" s="631" t="s">
        <v>33</v>
      </c>
      <c r="L236" s="631" t="s">
        <v>802</v>
      </c>
      <c r="M236" s="774"/>
    </row>
    <row r="237" spans="2:13" ht="21.75">
      <c r="B237" s="766" t="s">
        <v>1054</v>
      </c>
      <c r="C237" s="613">
        <v>100000</v>
      </c>
      <c r="D237" s="613"/>
      <c r="E237" s="613"/>
      <c r="F237" s="613">
        <f>33800+33800</f>
        <v>67600</v>
      </c>
      <c r="G237" s="613"/>
      <c r="H237" s="613">
        <v>156000</v>
      </c>
      <c r="I237" s="613"/>
      <c r="J237" s="611">
        <f t="shared" si="3"/>
        <v>323600</v>
      </c>
      <c r="K237" s="631" t="s">
        <v>685</v>
      </c>
      <c r="L237" s="631" t="s">
        <v>800</v>
      </c>
      <c r="M237" s="615"/>
    </row>
    <row r="238" spans="2:13" ht="21.75">
      <c r="B238" s="766" t="s">
        <v>1054</v>
      </c>
      <c r="C238" s="613">
        <v>100000</v>
      </c>
      <c r="D238" s="613"/>
      <c r="E238" s="613"/>
      <c r="F238" s="613"/>
      <c r="G238" s="613">
        <v>87545</v>
      </c>
      <c r="H238" s="613">
        <f>364250+156000+235300+100000</f>
        <v>855550</v>
      </c>
      <c r="I238" s="613"/>
      <c r="J238" s="611">
        <f t="shared" si="3"/>
        <v>1043095</v>
      </c>
      <c r="K238" s="631" t="s">
        <v>775</v>
      </c>
      <c r="L238" s="631" t="s">
        <v>801</v>
      </c>
      <c r="M238" s="615"/>
    </row>
    <row r="239" spans="2:13" ht="21.75">
      <c r="B239" s="766" t="s">
        <v>1054</v>
      </c>
      <c r="C239" s="613">
        <f>156000+156000+100000+100000</f>
        <v>512000</v>
      </c>
      <c r="D239" s="613"/>
      <c r="E239" s="613">
        <v>100000</v>
      </c>
      <c r="F239" s="613"/>
      <c r="G239" s="613">
        <v>160000</v>
      </c>
      <c r="H239" s="613">
        <f>156000+156000</f>
        <v>312000</v>
      </c>
      <c r="I239" s="613"/>
      <c r="J239" s="611">
        <f t="shared" si="3"/>
        <v>1084000</v>
      </c>
      <c r="K239" s="612" t="s">
        <v>778</v>
      </c>
      <c r="L239" s="631" t="s">
        <v>782</v>
      </c>
      <c r="M239" s="615"/>
    </row>
    <row r="240" spans="2:13" ht="43.5">
      <c r="B240" s="766" t="s">
        <v>1054</v>
      </c>
      <c r="C240" s="613">
        <v>100000</v>
      </c>
      <c r="D240" s="613"/>
      <c r="E240" s="613">
        <f>66945+100000</f>
        <v>166945</v>
      </c>
      <c r="F240" s="613"/>
      <c r="G240" s="613"/>
      <c r="H240" s="613"/>
      <c r="I240" s="613"/>
      <c r="J240" s="611">
        <f t="shared" si="3"/>
        <v>266945</v>
      </c>
      <c r="K240" s="612" t="s">
        <v>326</v>
      </c>
      <c r="L240" s="631" t="s">
        <v>762</v>
      </c>
      <c r="M240" s="612"/>
    </row>
    <row r="241" spans="2:13" ht="21.75">
      <c r="B241" s="766" t="s">
        <v>1054</v>
      </c>
      <c r="C241" s="613"/>
      <c r="D241" s="613"/>
      <c r="E241" s="613"/>
      <c r="F241" s="613"/>
      <c r="G241" s="613">
        <v>207480</v>
      </c>
      <c r="H241" s="613"/>
      <c r="I241" s="613"/>
      <c r="J241" s="611">
        <f t="shared" si="3"/>
        <v>207480</v>
      </c>
      <c r="K241" s="612" t="s">
        <v>777</v>
      </c>
      <c r="L241" s="631" t="s">
        <v>772</v>
      </c>
      <c r="M241" s="615"/>
    </row>
    <row r="242" spans="2:13" ht="21.75">
      <c r="B242" s="766" t="s">
        <v>1054</v>
      </c>
      <c r="C242" s="613">
        <v>100000</v>
      </c>
      <c r="D242" s="613"/>
      <c r="E242" s="613"/>
      <c r="F242" s="613">
        <v>214000</v>
      </c>
      <c r="G242" s="613"/>
      <c r="H242" s="613">
        <v>214000</v>
      </c>
      <c r="I242" s="613"/>
      <c r="J242" s="611">
        <f t="shared" si="3"/>
        <v>528000</v>
      </c>
      <c r="K242" s="612" t="s">
        <v>799</v>
      </c>
      <c r="L242" s="631" t="s">
        <v>762</v>
      </c>
      <c r="M242" s="615"/>
    </row>
    <row r="243" spans="2:13" ht="21.75">
      <c r="B243" s="766" t="s">
        <v>1054</v>
      </c>
      <c r="C243" s="613">
        <f>156000+100000+100000</f>
        <v>356000</v>
      </c>
      <c r="D243" s="613"/>
      <c r="E243" s="613"/>
      <c r="F243" s="613">
        <v>100000</v>
      </c>
      <c r="G243" s="613">
        <f>266600+222500</f>
        <v>489100</v>
      </c>
      <c r="H243" s="613">
        <f>373200+373200+156000+156000+156000+132000+132000</f>
        <v>1478400</v>
      </c>
      <c r="I243" s="613"/>
      <c r="J243" s="611">
        <f t="shared" si="3"/>
        <v>2423500</v>
      </c>
      <c r="K243" s="631" t="s">
        <v>797</v>
      </c>
      <c r="L243" s="631" t="s">
        <v>798</v>
      </c>
      <c r="M243" s="615"/>
    </row>
    <row r="244" spans="2:13" ht="21.75">
      <c r="B244" s="766" t="s">
        <v>1054</v>
      </c>
      <c r="C244" s="613"/>
      <c r="D244" s="613"/>
      <c r="E244" s="613"/>
      <c r="F244" s="613"/>
      <c r="G244" s="613">
        <f>224145+325010</f>
        <v>549155</v>
      </c>
      <c r="H244" s="613">
        <f>315210+17800</f>
        <v>333010</v>
      </c>
      <c r="I244" s="613"/>
      <c r="J244" s="611">
        <f t="shared" si="3"/>
        <v>882165</v>
      </c>
      <c r="K244" s="612" t="s">
        <v>737</v>
      </c>
      <c r="L244" s="631" t="s">
        <v>774</v>
      </c>
      <c r="M244" s="615"/>
    </row>
    <row r="245" spans="2:13" ht="21.75">
      <c r="B245" s="617" t="s">
        <v>928</v>
      </c>
      <c r="C245" s="613"/>
      <c r="D245" s="613"/>
      <c r="E245" s="613"/>
      <c r="F245" s="613"/>
      <c r="G245" s="613"/>
      <c r="H245" s="613"/>
      <c r="I245" s="613"/>
      <c r="J245" s="613"/>
      <c r="K245" s="612"/>
      <c r="L245" s="631"/>
      <c r="M245" s="615"/>
    </row>
    <row r="246" spans="2:13" ht="43.5">
      <c r="B246" s="614" t="s">
        <v>929</v>
      </c>
      <c r="C246" s="613">
        <f>1354700+338675+1611435+80000+80000</f>
        <v>3464810</v>
      </c>
      <c r="D246" s="613">
        <v>677350</v>
      </c>
      <c r="E246" s="613">
        <f>677350+332275+1951110</f>
        <v>2960735</v>
      </c>
      <c r="F246" s="613">
        <f>1354700+997350+670950</f>
        <v>3023000</v>
      </c>
      <c r="G246" s="613"/>
      <c r="H246" s="613">
        <f>286450+80000+446450</f>
        <v>812900</v>
      </c>
      <c r="I246" s="613"/>
      <c r="J246" s="611">
        <f t="shared" si="3"/>
        <v>10938795</v>
      </c>
      <c r="K246" s="631" t="s">
        <v>776</v>
      </c>
      <c r="L246" s="631" t="s">
        <v>779</v>
      </c>
      <c r="M246" s="615"/>
    </row>
    <row r="247" spans="2:13" ht="21.75">
      <c r="B247" s="614" t="s">
        <v>930</v>
      </c>
      <c r="C247" s="613">
        <v>133333.33333333334</v>
      </c>
      <c r="D247" s="613"/>
      <c r="E247" s="613">
        <v>133333.34</v>
      </c>
      <c r="F247" s="613">
        <v>133333.33</v>
      </c>
      <c r="G247" s="613"/>
      <c r="H247" s="613"/>
      <c r="I247" s="613"/>
      <c r="J247" s="611">
        <f t="shared" si="3"/>
        <v>400000.0033333333</v>
      </c>
      <c r="K247" s="631" t="s">
        <v>43</v>
      </c>
      <c r="L247" s="631" t="s">
        <v>762</v>
      </c>
      <c r="M247" s="615"/>
    </row>
    <row r="248" spans="2:13" ht="21.75">
      <c r="B248" s="614" t="s">
        <v>931</v>
      </c>
      <c r="C248" s="613"/>
      <c r="D248" s="613"/>
      <c r="E248" s="613"/>
      <c r="F248" s="613"/>
      <c r="G248" s="613"/>
      <c r="H248" s="613"/>
      <c r="I248" s="613">
        <v>11681.25</v>
      </c>
      <c r="J248" s="611">
        <f t="shared" si="3"/>
        <v>11681.25</v>
      </c>
      <c r="K248" s="631" t="s">
        <v>43</v>
      </c>
      <c r="L248" s="631" t="s">
        <v>295</v>
      </c>
      <c r="M248" s="615"/>
    </row>
    <row r="249" spans="2:13" ht="21.75">
      <c r="B249" s="617" t="s">
        <v>932</v>
      </c>
      <c r="C249" s="613"/>
      <c r="D249" s="613"/>
      <c r="E249" s="613"/>
      <c r="F249" s="613"/>
      <c r="G249" s="613"/>
      <c r="H249" s="613"/>
      <c r="I249" s="613"/>
      <c r="J249" s="611">
        <f t="shared" si="3"/>
        <v>0</v>
      </c>
      <c r="K249" s="631"/>
      <c r="L249" s="631"/>
      <c r="M249" s="615"/>
    </row>
    <row r="250" spans="2:13" ht="65.25">
      <c r="B250" s="614" t="s">
        <v>1050</v>
      </c>
      <c r="C250" s="613">
        <f>586000+107250</f>
        <v>693250</v>
      </c>
      <c r="D250" s="613">
        <v>824065</v>
      </c>
      <c r="E250" s="613"/>
      <c r="F250" s="613"/>
      <c r="G250" s="613">
        <v>45000</v>
      </c>
      <c r="H250" s="613"/>
      <c r="I250" s="613"/>
      <c r="J250" s="611">
        <f t="shared" si="3"/>
        <v>1562315</v>
      </c>
      <c r="K250" s="631" t="s">
        <v>43</v>
      </c>
      <c r="L250" s="631" t="s">
        <v>780</v>
      </c>
      <c r="M250" s="615"/>
    </row>
    <row r="251" spans="2:13" ht="21.75">
      <c r="B251" s="614" t="s">
        <v>933</v>
      </c>
      <c r="C251" s="613"/>
      <c r="D251" s="613"/>
      <c r="E251" s="613"/>
      <c r="F251" s="613"/>
      <c r="G251" s="613"/>
      <c r="H251" s="613"/>
      <c r="I251" s="613">
        <v>12000</v>
      </c>
      <c r="J251" s="611">
        <f t="shared" si="3"/>
        <v>12000</v>
      </c>
      <c r="K251" s="631" t="s">
        <v>43</v>
      </c>
      <c r="L251" s="631" t="s">
        <v>295</v>
      </c>
      <c r="M251" s="615"/>
    </row>
    <row r="252" spans="2:13" ht="21.75">
      <c r="B252" s="617" t="s">
        <v>934</v>
      </c>
      <c r="C252" s="613"/>
      <c r="D252" s="613"/>
      <c r="E252" s="613"/>
      <c r="F252" s="613"/>
      <c r="G252" s="613"/>
      <c r="H252" s="613"/>
      <c r="I252" s="613"/>
      <c r="J252" s="611"/>
      <c r="K252" s="631"/>
      <c r="L252" s="631"/>
      <c r="M252" s="615"/>
    </row>
    <row r="253" spans="2:13" ht="65.25">
      <c r="B253" s="614" t="s">
        <v>935</v>
      </c>
      <c r="C253" s="613">
        <v>65000</v>
      </c>
      <c r="D253" s="613">
        <v>65000</v>
      </c>
      <c r="E253" s="613">
        <v>65000</v>
      </c>
      <c r="F253" s="613"/>
      <c r="G253" s="613"/>
      <c r="H253" s="613">
        <v>65000</v>
      </c>
      <c r="I253" s="613"/>
      <c r="J253" s="611">
        <f t="shared" si="3"/>
        <v>260000</v>
      </c>
      <c r="K253" s="631" t="s">
        <v>33</v>
      </c>
      <c r="L253" s="631" t="s">
        <v>781</v>
      </c>
      <c r="M253" s="615"/>
    </row>
    <row r="254" spans="2:13" ht="48.75" customHeight="1">
      <c r="B254" s="614" t="s">
        <v>936</v>
      </c>
      <c r="C254" s="613">
        <f>284000+568000+568000+568000</f>
        <v>1988000</v>
      </c>
      <c r="D254" s="613"/>
      <c r="E254" s="613"/>
      <c r="F254" s="613"/>
      <c r="G254" s="613"/>
      <c r="H254" s="613"/>
      <c r="I254" s="613"/>
      <c r="J254" s="611">
        <f t="shared" si="3"/>
        <v>1988000</v>
      </c>
      <c r="K254" s="631" t="s">
        <v>33</v>
      </c>
      <c r="L254" s="631" t="s">
        <v>782</v>
      </c>
      <c r="M254" s="615"/>
    </row>
    <row r="255" spans="2:13" ht="42">
      <c r="B255" s="617" t="s">
        <v>937</v>
      </c>
      <c r="C255" s="613"/>
      <c r="D255" s="613"/>
      <c r="E255" s="613"/>
      <c r="F255" s="613"/>
      <c r="G255" s="613"/>
      <c r="H255" s="613"/>
      <c r="I255" s="613"/>
      <c r="J255" s="611"/>
      <c r="K255" s="631"/>
      <c r="L255" s="631"/>
      <c r="M255" s="615"/>
    </row>
    <row r="256" spans="2:13" ht="43.5">
      <c r="B256" s="614" t="s">
        <v>938</v>
      </c>
      <c r="C256" s="613">
        <f>87400+130100</f>
        <v>217500</v>
      </c>
      <c r="D256" s="613">
        <f>17640+311400</f>
        <v>329040</v>
      </c>
      <c r="E256" s="613"/>
      <c r="F256" s="613"/>
      <c r="G256" s="613"/>
      <c r="H256" s="613"/>
      <c r="I256" s="613"/>
      <c r="J256" s="611">
        <f t="shared" si="3"/>
        <v>546540</v>
      </c>
      <c r="K256" s="631" t="s">
        <v>776</v>
      </c>
      <c r="L256" s="631" t="s">
        <v>783</v>
      </c>
      <c r="M256" s="615"/>
    </row>
    <row r="257" spans="2:13" ht="70.5" customHeight="1">
      <c r="B257" s="614" t="s">
        <v>939</v>
      </c>
      <c r="C257" s="613">
        <v>459018</v>
      </c>
      <c r="D257" s="613"/>
      <c r="E257" s="613"/>
      <c r="F257" s="613"/>
      <c r="G257" s="613"/>
      <c r="H257" s="613"/>
      <c r="I257" s="613"/>
      <c r="J257" s="611">
        <f t="shared" si="3"/>
        <v>459018</v>
      </c>
      <c r="K257" s="631" t="s">
        <v>43</v>
      </c>
      <c r="L257" s="631" t="s">
        <v>784</v>
      </c>
      <c r="M257" s="615"/>
    </row>
    <row r="258" spans="2:13" ht="42">
      <c r="B258" s="617" t="s">
        <v>1044</v>
      </c>
      <c r="C258" s="613"/>
      <c r="D258" s="613"/>
      <c r="E258" s="613"/>
      <c r="F258" s="613"/>
      <c r="G258" s="613"/>
      <c r="H258" s="613"/>
      <c r="I258" s="613"/>
      <c r="J258" s="611"/>
      <c r="K258" s="612"/>
      <c r="L258" s="631"/>
      <c r="M258" s="615"/>
    </row>
    <row r="259" spans="2:13" ht="42">
      <c r="B259" s="617" t="s">
        <v>1043</v>
      </c>
      <c r="C259" s="613"/>
      <c r="D259" s="613"/>
      <c r="E259" s="613"/>
      <c r="F259" s="613"/>
      <c r="G259" s="613"/>
      <c r="H259" s="613"/>
      <c r="I259" s="613"/>
      <c r="J259" s="611"/>
      <c r="K259" s="612"/>
      <c r="L259" s="631"/>
      <c r="M259" s="615"/>
    </row>
    <row r="260" spans="2:13" ht="45" customHeight="1">
      <c r="B260" s="614" t="s">
        <v>940</v>
      </c>
      <c r="C260" s="613"/>
      <c r="D260" s="613">
        <f>221570+150000+6550</f>
        <v>378120</v>
      </c>
      <c r="E260" s="613"/>
      <c r="F260" s="613"/>
      <c r="G260" s="613"/>
      <c r="H260" s="613"/>
      <c r="I260" s="613"/>
      <c r="J260" s="611">
        <f t="shared" si="3"/>
        <v>378120</v>
      </c>
      <c r="K260" s="612" t="s">
        <v>297</v>
      </c>
      <c r="L260" s="631" t="s">
        <v>785</v>
      </c>
      <c r="M260" s="615"/>
    </row>
    <row r="261" spans="2:13" ht="43.5">
      <c r="B261" s="614" t="s">
        <v>941</v>
      </c>
      <c r="C261" s="613"/>
      <c r="D261" s="613"/>
      <c r="E261" s="613"/>
      <c r="F261" s="613"/>
      <c r="G261" s="613"/>
      <c r="H261" s="613"/>
      <c r="I261" s="613">
        <f>300*31.7</f>
        <v>9510</v>
      </c>
      <c r="J261" s="611">
        <f t="shared" si="3"/>
        <v>9510</v>
      </c>
      <c r="K261" s="612" t="s">
        <v>786</v>
      </c>
      <c r="L261" s="631" t="s">
        <v>101</v>
      </c>
      <c r="M261" s="615"/>
    </row>
    <row r="262" spans="2:13" ht="65.25">
      <c r="B262" s="614" t="s">
        <v>942</v>
      </c>
      <c r="C262" s="613"/>
      <c r="D262" s="613"/>
      <c r="E262" s="613"/>
      <c r="F262" s="613"/>
      <c r="G262" s="613"/>
      <c r="H262" s="613"/>
      <c r="I262" s="613">
        <f>675*31.7</f>
        <v>21397.5</v>
      </c>
      <c r="J262" s="611">
        <f t="shared" si="3"/>
        <v>21397.5</v>
      </c>
      <c r="K262" s="612" t="s">
        <v>786</v>
      </c>
      <c r="L262" s="631" t="s">
        <v>101</v>
      </c>
      <c r="M262" s="615"/>
    </row>
    <row r="263" spans="2:13" ht="24" customHeight="1">
      <c r="B263" s="614" t="s">
        <v>1008</v>
      </c>
      <c r="C263" s="613"/>
      <c r="D263" s="613"/>
      <c r="E263" s="613"/>
      <c r="F263" s="613"/>
      <c r="G263" s="613"/>
      <c r="H263" s="613"/>
      <c r="I263" s="613">
        <f>650*31.7</f>
        <v>20605</v>
      </c>
      <c r="J263" s="611">
        <f t="shared" si="3"/>
        <v>20605</v>
      </c>
      <c r="K263" s="612" t="s">
        <v>786</v>
      </c>
      <c r="L263" s="631" t="s">
        <v>101</v>
      </c>
      <c r="M263" s="615"/>
    </row>
    <row r="264" spans="2:13" ht="43.5">
      <c r="B264" s="614" t="s">
        <v>943</v>
      </c>
      <c r="C264" s="613"/>
      <c r="D264" s="613"/>
      <c r="E264" s="613"/>
      <c r="F264" s="613"/>
      <c r="G264" s="613"/>
      <c r="H264" s="613"/>
      <c r="I264" s="613">
        <f>300*31.7</f>
        <v>9510</v>
      </c>
      <c r="J264" s="611">
        <f t="shared" si="3"/>
        <v>9510</v>
      </c>
      <c r="K264" s="612" t="s">
        <v>786</v>
      </c>
      <c r="L264" s="631" t="s">
        <v>101</v>
      </c>
      <c r="M264" s="615"/>
    </row>
    <row r="265" spans="2:13" ht="87">
      <c r="B265" s="614" t="s">
        <v>944</v>
      </c>
      <c r="C265" s="613"/>
      <c r="D265" s="613"/>
      <c r="E265" s="613"/>
      <c r="F265" s="613"/>
      <c r="G265" s="613"/>
      <c r="H265" s="613"/>
      <c r="I265" s="613">
        <f>20256</f>
        <v>20256</v>
      </c>
      <c r="J265" s="611">
        <f t="shared" si="3"/>
        <v>20256</v>
      </c>
      <c r="K265" s="612" t="s">
        <v>787</v>
      </c>
      <c r="L265" s="631" t="s">
        <v>101</v>
      </c>
      <c r="M265" s="615"/>
    </row>
    <row r="266" spans="2:13" ht="65.25">
      <c r="B266" s="614" t="s">
        <v>945</v>
      </c>
      <c r="C266" s="613"/>
      <c r="D266" s="613"/>
      <c r="E266" s="613"/>
      <c r="F266" s="613"/>
      <c r="G266" s="613"/>
      <c r="H266" s="613"/>
      <c r="I266" s="613">
        <v>553000</v>
      </c>
      <c r="J266" s="611">
        <f t="shared" si="3"/>
        <v>553000</v>
      </c>
      <c r="K266" s="612" t="s">
        <v>685</v>
      </c>
      <c r="L266" s="631" t="s">
        <v>101</v>
      </c>
      <c r="M266" s="615"/>
    </row>
    <row r="267" spans="2:13" ht="65.25">
      <c r="B267" s="614" t="s">
        <v>946</v>
      </c>
      <c r="C267" s="613"/>
      <c r="D267" s="613"/>
      <c r="E267" s="613"/>
      <c r="F267" s="613"/>
      <c r="G267" s="613"/>
      <c r="H267" s="613"/>
      <c r="I267" s="613">
        <v>100093</v>
      </c>
      <c r="J267" s="611">
        <f aca="true" t="shared" si="4" ref="J267:J279">SUM(C267:I267)</f>
        <v>100093</v>
      </c>
      <c r="K267" s="612" t="s">
        <v>685</v>
      </c>
      <c r="L267" s="631" t="s">
        <v>101</v>
      </c>
      <c r="M267" s="615"/>
    </row>
    <row r="268" spans="2:13" ht="84">
      <c r="B268" s="617" t="s">
        <v>970</v>
      </c>
      <c r="C268" s="613"/>
      <c r="D268" s="613"/>
      <c r="E268" s="613"/>
      <c r="F268" s="613"/>
      <c r="G268" s="613"/>
      <c r="H268" s="613"/>
      <c r="I268" s="613"/>
      <c r="J268" s="611"/>
      <c r="K268" s="612"/>
      <c r="L268" s="631"/>
      <c r="M268" s="615"/>
    </row>
    <row r="269" spans="2:13" ht="65.25">
      <c r="B269" s="614" t="s">
        <v>947</v>
      </c>
      <c r="C269" s="613"/>
      <c r="D269" s="613"/>
      <c r="E269" s="613">
        <v>611452</v>
      </c>
      <c r="F269" s="613"/>
      <c r="G269" s="613"/>
      <c r="H269" s="613">
        <v>611452</v>
      </c>
      <c r="I269" s="613"/>
      <c r="J269" s="611">
        <f t="shared" si="4"/>
        <v>1222904</v>
      </c>
      <c r="K269" s="612" t="s">
        <v>788</v>
      </c>
      <c r="L269" s="631" t="s">
        <v>789</v>
      </c>
      <c r="M269" s="615"/>
    </row>
    <row r="270" spans="2:13" ht="87">
      <c r="B270" s="614" t="s">
        <v>948</v>
      </c>
      <c r="C270" s="613"/>
      <c r="D270" s="613">
        <v>250000</v>
      </c>
      <c r="E270" s="613">
        <v>250000</v>
      </c>
      <c r="F270" s="613"/>
      <c r="G270" s="613"/>
      <c r="H270" s="613"/>
      <c r="I270" s="613"/>
      <c r="J270" s="611">
        <f t="shared" si="4"/>
        <v>500000</v>
      </c>
      <c r="K270" s="612" t="s">
        <v>790</v>
      </c>
      <c r="L270" s="631" t="s">
        <v>228</v>
      </c>
      <c r="M270" s="615"/>
    </row>
    <row r="271" spans="2:13" ht="87">
      <c r="B271" s="614" t="s">
        <v>949</v>
      </c>
      <c r="C271" s="613"/>
      <c r="D271" s="613"/>
      <c r="E271" s="613"/>
      <c r="F271" s="613"/>
      <c r="G271" s="613"/>
      <c r="H271" s="613"/>
      <c r="I271" s="613">
        <v>173415.5</v>
      </c>
      <c r="J271" s="611">
        <f t="shared" si="4"/>
        <v>173415.5</v>
      </c>
      <c r="K271" s="612" t="s">
        <v>790</v>
      </c>
      <c r="L271" s="631" t="s">
        <v>180</v>
      </c>
      <c r="M271" s="615"/>
    </row>
    <row r="272" spans="2:13" ht="65.25" customHeight="1">
      <c r="B272" s="614" t="s">
        <v>971</v>
      </c>
      <c r="C272" s="613">
        <v>22000</v>
      </c>
      <c r="D272" s="613">
        <v>22000</v>
      </c>
      <c r="E272" s="613">
        <v>22000</v>
      </c>
      <c r="F272" s="613">
        <v>22000</v>
      </c>
      <c r="G272" s="613"/>
      <c r="H272" s="613">
        <f>176000-88000</f>
        <v>88000</v>
      </c>
      <c r="I272" s="613"/>
      <c r="J272" s="611">
        <f t="shared" si="4"/>
        <v>176000</v>
      </c>
      <c r="K272" s="612" t="s">
        <v>972</v>
      </c>
      <c r="L272" s="631" t="s">
        <v>55</v>
      </c>
      <c r="M272" s="615" t="s">
        <v>973</v>
      </c>
    </row>
    <row r="273" spans="2:13" ht="42">
      <c r="B273" s="617" t="s">
        <v>950</v>
      </c>
      <c r="C273" s="613"/>
      <c r="D273" s="613"/>
      <c r="E273" s="613"/>
      <c r="F273" s="613"/>
      <c r="G273" s="613"/>
      <c r="H273" s="613"/>
      <c r="I273" s="613"/>
      <c r="J273" s="611"/>
      <c r="K273" s="612"/>
      <c r="L273" s="631"/>
      <c r="M273" s="615"/>
    </row>
    <row r="274" spans="2:13" ht="43.5">
      <c r="B274" s="614" t="s">
        <v>951</v>
      </c>
      <c r="C274" s="613">
        <v>870000</v>
      </c>
      <c r="D274" s="613">
        <v>290000</v>
      </c>
      <c r="E274" s="613">
        <v>290000</v>
      </c>
      <c r="F274" s="613"/>
      <c r="G274" s="613"/>
      <c r="H274" s="613"/>
      <c r="I274" s="613"/>
      <c r="J274" s="611">
        <f t="shared" si="4"/>
        <v>1450000</v>
      </c>
      <c r="K274" s="612" t="s">
        <v>666</v>
      </c>
      <c r="L274" s="631" t="s">
        <v>446</v>
      </c>
      <c r="M274" s="615"/>
    </row>
    <row r="275" spans="2:13" ht="43.5">
      <c r="B275" s="614" t="s">
        <v>458</v>
      </c>
      <c r="C275" s="613"/>
      <c r="D275" s="613"/>
      <c r="E275" s="613"/>
      <c r="F275" s="613"/>
      <c r="G275" s="613"/>
      <c r="H275" s="613"/>
      <c r="I275" s="613">
        <v>101580</v>
      </c>
      <c r="J275" s="611">
        <f t="shared" si="4"/>
        <v>101580</v>
      </c>
      <c r="K275" s="612" t="s">
        <v>791</v>
      </c>
      <c r="L275" s="631" t="s">
        <v>101</v>
      </c>
      <c r="M275" s="615"/>
    </row>
    <row r="276" spans="2:13" ht="21.75">
      <c r="B276" s="614" t="s">
        <v>459</v>
      </c>
      <c r="C276" s="613"/>
      <c r="D276" s="613"/>
      <c r="E276" s="613"/>
      <c r="F276" s="613"/>
      <c r="G276" s="613"/>
      <c r="H276" s="613"/>
      <c r="I276" s="613">
        <v>41120</v>
      </c>
      <c r="J276" s="611">
        <f t="shared" si="4"/>
        <v>41120</v>
      </c>
      <c r="K276" s="612" t="s">
        <v>791</v>
      </c>
      <c r="L276" s="631" t="s">
        <v>101</v>
      </c>
      <c r="M276" s="615"/>
    </row>
    <row r="277" spans="2:13" ht="50.25" customHeight="1">
      <c r="B277" s="614" t="s">
        <v>952</v>
      </c>
      <c r="C277" s="613"/>
      <c r="D277" s="613"/>
      <c r="E277" s="613"/>
      <c r="F277" s="613"/>
      <c r="G277" s="613"/>
      <c r="H277" s="613">
        <v>388028</v>
      </c>
      <c r="I277" s="613"/>
      <c r="J277" s="611">
        <f t="shared" si="4"/>
        <v>388028</v>
      </c>
      <c r="K277" s="612" t="s">
        <v>666</v>
      </c>
      <c r="L277" s="631" t="s">
        <v>792</v>
      </c>
      <c r="M277" s="615"/>
    </row>
    <row r="278" spans="2:13" ht="52.5" customHeight="1">
      <c r="B278" s="614" t="s">
        <v>953</v>
      </c>
      <c r="C278" s="613"/>
      <c r="D278" s="613"/>
      <c r="E278" s="613"/>
      <c r="F278" s="613"/>
      <c r="G278" s="613"/>
      <c r="H278" s="613">
        <v>9119</v>
      </c>
      <c r="I278" s="613"/>
      <c r="J278" s="611">
        <f t="shared" si="4"/>
        <v>9119</v>
      </c>
      <c r="K278" s="612" t="s">
        <v>791</v>
      </c>
      <c r="L278" s="631" t="s">
        <v>408</v>
      </c>
      <c r="M278" s="615"/>
    </row>
    <row r="279" spans="2:13" ht="43.5">
      <c r="B279" s="614" t="s">
        <v>954</v>
      </c>
      <c r="C279" s="613"/>
      <c r="D279" s="613">
        <v>900000</v>
      </c>
      <c r="E279" s="613"/>
      <c r="F279" s="613"/>
      <c r="G279" s="613"/>
      <c r="H279" s="613"/>
      <c r="I279" s="613"/>
      <c r="J279" s="611">
        <f t="shared" si="4"/>
        <v>900000</v>
      </c>
      <c r="K279" s="612" t="s">
        <v>666</v>
      </c>
      <c r="L279" s="631" t="s">
        <v>793</v>
      </c>
      <c r="M279" s="615"/>
    </row>
    <row r="280" spans="2:13" ht="21.75">
      <c r="B280" s="614"/>
      <c r="C280" s="613"/>
      <c r="D280" s="613"/>
      <c r="E280" s="613"/>
      <c r="F280" s="613"/>
      <c r="G280" s="613"/>
      <c r="H280" s="613"/>
      <c r="I280" s="613"/>
      <c r="J280" s="611"/>
      <c r="K280" s="612"/>
      <c r="L280" s="614"/>
      <c r="M280" s="615"/>
    </row>
    <row r="281" spans="2:13" ht="22.5" thickBot="1">
      <c r="B281" s="632" t="s">
        <v>2</v>
      </c>
      <c r="C281" s="633">
        <f aca="true" t="shared" si="5" ref="C281:J281">SUM(C8:C280)</f>
        <v>63665293.965555556</v>
      </c>
      <c r="D281" s="633">
        <f t="shared" si="5"/>
        <v>12958211.52222222</v>
      </c>
      <c r="E281" s="633">
        <f t="shared" si="5"/>
        <v>18032365.762222223</v>
      </c>
      <c r="F281" s="633">
        <f t="shared" si="5"/>
        <v>10747991.352222221</v>
      </c>
      <c r="G281" s="633">
        <f t="shared" si="5"/>
        <v>5738482.022222222</v>
      </c>
      <c r="H281" s="633">
        <f t="shared" si="5"/>
        <v>54619680.27888889</v>
      </c>
      <c r="I281" s="633">
        <f t="shared" si="5"/>
        <v>3839475.39</v>
      </c>
      <c r="J281" s="633">
        <f t="shared" si="5"/>
        <v>169601500.29333335</v>
      </c>
      <c r="K281" s="634"/>
      <c r="L281" s="634"/>
      <c r="M281" s="634"/>
    </row>
    <row r="282" spans="7:8" ht="22.5" thickTop="1">
      <c r="G282" s="30"/>
      <c r="H282" s="99"/>
    </row>
    <row r="283" ht="21.75">
      <c r="G283" s="30"/>
    </row>
    <row r="284" spans="7:8" ht="21.75">
      <c r="G284" s="30"/>
      <c r="H284" s="30"/>
    </row>
  </sheetData>
  <sheetProtection/>
  <mergeCells count="9">
    <mergeCell ref="B1:M1"/>
    <mergeCell ref="B2:M2"/>
    <mergeCell ref="B4:B5"/>
    <mergeCell ref="C4:H4"/>
    <mergeCell ref="I4:I5"/>
    <mergeCell ref="J4:J5"/>
    <mergeCell ref="K4:K5"/>
    <mergeCell ref="L4:L5"/>
    <mergeCell ref="M4:M5"/>
  </mergeCells>
  <printOptions/>
  <pageMargins left="0.45" right="0.45" top="0.5" bottom="0.5" header="0.3" footer="0.3"/>
  <pageSetup horizontalDpi="600" verticalDpi="600" orientation="landscape" paperSize="9" scale="62" r:id="rId3"/>
  <rowBreaks count="14" manualBreakCount="14">
    <brk id="21" min="1" max="12" man="1"/>
    <brk id="44" min="1" max="12" man="1"/>
    <brk id="63" min="1" max="12" man="1"/>
    <brk id="76" min="1" max="12" man="1"/>
    <brk id="93" min="1" max="12" man="1"/>
    <brk id="119" min="1" max="12" man="1"/>
    <brk id="138" min="1" max="12" man="1"/>
    <brk id="155" min="1" max="12" man="1"/>
    <brk id="172" min="1" max="12" man="1"/>
    <brk id="189" min="1" max="12" man="1"/>
    <brk id="207" min="1" max="12" man="1"/>
    <brk id="228" min="1" max="12" man="1"/>
    <brk id="254" min="1" max="12" man="1"/>
    <brk id="270" min="1" max="12" man="1"/>
  </rowBreaks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EC27"/>
  <sheetViews>
    <sheetView showGridLines="0" zoomScalePageLayoutView="0" workbookViewId="0" topLeftCell="A1">
      <pane xSplit="1" ySplit="5" topLeftCell="D9" activePane="bottomRight" state="frozen"/>
      <selection pane="topLeft" activeCell="C65" sqref="C65:J65"/>
      <selection pane="topRight" activeCell="C65" sqref="C65:J65"/>
      <selection pane="bottomLeft" activeCell="C65" sqref="C65:J65"/>
      <selection pane="bottomRight" activeCell="E11" sqref="E11"/>
    </sheetView>
  </sheetViews>
  <sheetFormatPr defaultColWidth="9.140625" defaultRowHeight="21.75"/>
  <cols>
    <col min="1" max="1" width="61.57421875" style="0" customWidth="1"/>
    <col min="2" max="2" width="9.140625" style="0" customWidth="1"/>
    <col min="3" max="5" width="9.421875" style="0" customWidth="1"/>
    <col min="6" max="6" width="12.421875" style="0" customWidth="1"/>
    <col min="7" max="8" width="17.8515625" style="0" customWidth="1"/>
    <col min="9" max="9" width="12.8515625" style="0" customWidth="1"/>
    <col min="10" max="10" width="14.00390625" style="0" customWidth="1"/>
    <col min="11" max="11" width="15.00390625" style="0" customWidth="1"/>
  </cols>
  <sheetData>
    <row r="1" spans="1:11" ht="23.25">
      <c r="A1" s="840" t="s">
        <v>0</v>
      </c>
      <c r="B1" s="840"/>
      <c r="C1" s="840"/>
      <c r="D1" s="840"/>
      <c r="E1" s="840"/>
      <c r="F1" s="840"/>
      <c r="G1" s="840"/>
      <c r="H1" s="840"/>
      <c r="I1" s="840"/>
      <c r="J1" s="840"/>
      <c r="K1" s="840"/>
    </row>
    <row r="2" spans="1:15" ht="24">
      <c r="A2" s="841" t="s">
        <v>512</v>
      </c>
      <c r="B2" s="840"/>
      <c r="C2" s="840"/>
      <c r="D2" s="840"/>
      <c r="E2" s="840"/>
      <c r="F2" s="840"/>
      <c r="G2" s="840"/>
      <c r="H2" s="840"/>
      <c r="I2" s="840"/>
      <c r="J2" s="840"/>
      <c r="K2" s="840"/>
      <c r="L2" s="177"/>
      <c r="M2" s="177"/>
      <c r="N2" s="177"/>
      <c r="O2" s="177"/>
    </row>
    <row r="3" spans="2:11" ht="21.75" customHeight="1"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ht="21.75" customHeight="1">
      <c r="A4" s="842" t="s">
        <v>1</v>
      </c>
      <c r="B4" s="845" t="s">
        <v>13</v>
      </c>
      <c r="C4" s="846"/>
      <c r="D4" s="846"/>
      <c r="E4" s="846"/>
      <c r="F4" s="846"/>
      <c r="G4" s="848" t="s">
        <v>117</v>
      </c>
      <c r="H4" s="848" t="s">
        <v>14</v>
      </c>
      <c r="I4" s="842" t="s">
        <v>6</v>
      </c>
      <c r="J4" s="857" t="s">
        <v>7</v>
      </c>
      <c r="K4" s="857" t="s">
        <v>36</v>
      </c>
    </row>
    <row r="5" spans="1:11" ht="42" customHeight="1">
      <c r="A5" s="844"/>
      <c r="B5" s="23" t="s">
        <v>8</v>
      </c>
      <c r="C5" s="23" t="s">
        <v>9</v>
      </c>
      <c r="D5" s="23" t="s">
        <v>236</v>
      </c>
      <c r="E5" s="23" t="s">
        <v>10</v>
      </c>
      <c r="F5" s="97" t="s">
        <v>41</v>
      </c>
      <c r="G5" s="856"/>
      <c r="H5" s="856"/>
      <c r="I5" s="844"/>
      <c r="J5" s="858"/>
      <c r="K5" s="858"/>
    </row>
    <row r="6" spans="1:11" ht="21.75">
      <c r="A6" s="7" t="s">
        <v>177</v>
      </c>
      <c r="B6" s="56"/>
      <c r="C6" s="56"/>
      <c r="D6" s="56"/>
      <c r="E6" s="56"/>
      <c r="F6" s="56"/>
      <c r="G6" s="56"/>
      <c r="H6" s="56"/>
      <c r="I6" s="9"/>
      <c r="J6" s="9"/>
      <c r="K6" s="10"/>
    </row>
    <row r="7" spans="1:11" ht="21.75">
      <c r="A7" s="127" t="s">
        <v>178</v>
      </c>
      <c r="B7" s="57"/>
      <c r="C7" s="57"/>
      <c r="D7" s="57"/>
      <c r="E7" s="57"/>
      <c r="F7" s="57"/>
      <c r="G7" s="57"/>
      <c r="H7" s="57"/>
      <c r="I7" s="13"/>
      <c r="J7" s="13"/>
      <c r="K7" s="14"/>
    </row>
    <row r="8" spans="1:11" ht="69" customHeight="1">
      <c r="A8" s="139" t="s">
        <v>241</v>
      </c>
      <c r="B8" s="57"/>
      <c r="C8" s="40"/>
      <c r="D8" s="15"/>
      <c r="E8" s="14"/>
      <c r="F8" s="14"/>
      <c r="G8" s="40">
        <v>33300000</v>
      </c>
      <c r="H8" s="40">
        <f>SUM(B8:G8)</f>
        <v>33300000</v>
      </c>
      <c r="I8" s="388" t="s">
        <v>1029</v>
      </c>
      <c r="J8" s="132" t="s">
        <v>179</v>
      </c>
      <c r="K8" s="160" t="s">
        <v>180</v>
      </c>
    </row>
    <row r="9" spans="1:11" ht="48.75" customHeight="1">
      <c r="A9" s="139" t="s">
        <v>346</v>
      </c>
      <c r="B9" s="63"/>
      <c r="C9" s="63"/>
      <c r="D9" s="63"/>
      <c r="E9" s="63"/>
      <c r="F9" s="63"/>
      <c r="G9" s="402">
        <v>33972000</v>
      </c>
      <c r="H9" s="29">
        <f>SUM(B9:G9)</f>
        <v>33972000</v>
      </c>
      <c r="I9" s="388" t="s">
        <v>1029</v>
      </c>
      <c r="J9" s="132" t="s">
        <v>179</v>
      </c>
      <c r="K9" s="160" t="s">
        <v>180</v>
      </c>
    </row>
    <row r="10" spans="1:11" ht="28.5" customHeight="1">
      <c r="A10" s="139" t="s">
        <v>243</v>
      </c>
      <c r="B10" s="63"/>
      <c r="C10" s="63"/>
      <c r="D10" s="63"/>
      <c r="E10" s="63"/>
      <c r="F10" s="63"/>
      <c r="G10" s="402">
        <v>132000000</v>
      </c>
      <c r="H10" s="29">
        <f>SUM(B10:G10)</f>
        <v>132000000</v>
      </c>
      <c r="I10" s="388" t="s">
        <v>1029</v>
      </c>
      <c r="J10" s="132" t="s">
        <v>242</v>
      </c>
      <c r="K10" s="160" t="s">
        <v>101</v>
      </c>
    </row>
    <row r="11" spans="1:11" ht="48" customHeight="1">
      <c r="A11" s="139" t="s">
        <v>992</v>
      </c>
      <c r="B11" s="29"/>
      <c r="C11" s="29"/>
      <c r="D11" s="29"/>
      <c r="E11" s="29"/>
      <c r="F11" s="29"/>
      <c r="G11" s="403">
        <f>1721679200*85/100</f>
        <v>1463427320</v>
      </c>
      <c r="H11" s="29">
        <f>SUM(B11:G11)</f>
        <v>1463427320</v>
      </c>
      <c r="I11" s="388" t="s">
        <v>1029</v>
      </c>
      <c r="J11" s="132" t="s">
        <v>244</v>
      </c>
      <c r="K11" s="160" t="s">
        <v>1036</v>
      </c>
    </row>
    <row r="12" spans="1:11" ht="21.75">
      <c r="A12" s="139"/>
      <c r="B12" s="29"/>
      <c r="C12" s="64"/>
      <c r="D12" s="64"/>
      <c r="E12" s="64"/>
      <c r="F12" s="64"/>
      <c r="G12" s="64"/>
      <c r="H12" s="29"/>
      <c r="I12" s="128"/>
      <c r="J12" s="128"/>
      <c r="K12" s="235"/>
    </row>
    <row r="13" spans="1:11" ht="21.75">
      <c r="A13" s="139"/>
      <c r="B13" s="29"/>
      <c r="C13" s="64"/>
      <c r="D13" s="64"/>
      <c r="E13" s="64"/>
      <c r="F13" s="64"/>
      <c r="G13" s="64"/>
      <c r="H13" s="29"/>
      <c r="I13" s="128"/>
      <c r="J13" s="128"/>
      <c r="K13" s="92"/>
    </row>
    <row r="14" spans="1:11" ht="22.5" thickBot="1">
      <c r="A14" s="19" t="s">
        <v>2</v>
      </c>
      <c r="B14" s="59">
        <f>SUM(B8:B13)</f>
        <v>0</v>
      </c>
      <c r="C14" s="59">
        <f>SUM(C8:C13)</f>
        <v>0</v>
      </c>
      <c r="D14" s="59">
        <f>SUM(D8:D13)</f>
        <v>0</v>
      </c>
      <c r="E14" s="59"/>
      <c r="F14" s="59">
        <f>SUM(F8:F13)</f>
        <v>0</v>
      </c>
      <c r="G14" s="59">
        <f>SUM(G8:G13)</f>
        <v>1662699320</v>
      </c>
      <c r="H14" s="59">
        <f>SUM(H6:H13)</f>
        <v>1662699320</v>
      </c>
      <c r="I14" s="21"/>
      <c r="J14" s="21"/>
      <c r="K14" s="21"/>
    </row>
    <row r="15" spans="1:11" ht="22.5" thickTop="1">
      <c r="A15" s="36"/>
      <c r="B15" s="43"/>
      <c r="C15" s="36"/>
      <c r="D15" s="36"/>
      <c r="E15" s="36"/>
      <c r="F15" s="36"/>
      <c r="G15" s="36"/>
      <c r="H15" s="36"/>
      <c r="I15" s="36"/>
      <c r="J15" s="36"/>
      <c r="K15" s="36"/>
    </row>
    <row r="16" spans="1:10" ht="21.75">
      <c r="A16" s="37"/>
      <c r="G16" s="1"/>
      <c r="H16" s="30"/>
      <c r="J16" s="55"/>
    </row>
    <row r="17" ht="21.75">
      <c r="G17" s="459"/>
    </row>
    <row r="18" ht="21.75">
      <c r="G18" s="267"/>
    </row>
    <row r="27" spans="132:133" ht="21.75">
      <c r="EB27" s="99"/>
      <c r="EC27" s="1"/>
    </row>
  </sheetData>
  <sheetProtection/>
  <mergeCells count="9">
    <mergeCell ref="A1:K1"/>
    <mergeCell ref="A2:K2"/>
    <mergeCell ref="A4:A5"/>
    <mergeCell ref="B4:F4"/>
    <mergeCell ref="G4:G5"/>
    <mergeCell ref="H4:H5"/>
    <mergeCell ref="I4:I5"/>
    <mergeCell ref="J4:J5"/>
    <mergeCell ref="K4:K5"/>
  </mergeCells>
  <printOptions/>
  <pageMargins left="0.433070866141732" right="0" top="1.25984251968504" bottom="0.15748031496063" header="0.78740157480315" footer="0.15748031496063"/>
  <pageSetup horizontalDpi="600" verticalDpi="600" orientation="landscape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35"/>
  </sheetPr>
  <dimension ref="A1:EC27"/>
  <sheetViews>
    <sheetView showGridLines="0" zoomScalePageLayoutView="0" workbookViewId="0" topLeftCell="A1">
      <pane xSplit="1" ySplit="5" topLeftCell="B6" activePane="bottomRight" state="frozen"/>
      <selection pane="topLeft" activeCell="C65" sqref="C65:J65"/>
      <selection pane="topRight" activeCell="C65" sqref="C65:J65"/>
      <selection pane="bottomLeft" activeCell="C65" sqref="C65:J65"/>
      <selection pane="bottomRight" activeCell="I9" sqref="I9"/>
    </sheetView>
  </sheetViews>
  <sheetFormatPr defaultColWidth="9.140625" defaultRowHeight="21.75"/>
  <cols>
    <col min="1" max="1" width="50.00390625" style="277" customWidth="1"/>
    <col min="2" max="2" width="9.7109375" style="277" customWidth="1"/>
    <col min="3" max="3" width="11.421875" style="277" customWidth="1"/>
    <col min="4" max="4" width="9.8515625" style="277" customWidth="1"/>
    <col min="5" max="5" width="10.140625" style="277" customWidth="1"/>
    <col min="6" max="6" width="8.00390625" style="277" customWidth="1"/>
    <col min="7" max="7" width="12.57421875" style="277" customWidth="1"/>
    <col min="8" max="8" width="14.140625" style="277" customWidth="1"/>
    <col min="9" max="9" width="15.00390625" style="277" customWidth="1"/>
    <col min="10" max="10" width="12.00390625" style="277" customWidth="1"/>
    <col min="11" max="11" width="12.7109375" style="277" customWidth="1"/>
    <col min="12" max="12" width="16.00390625" style="277" customWidth="1"/>
    <col min="13" max="16384" width="9.140625" style="277" customWidth="1"/>
  </cols>
  <sheetData>
    <row r="1" spans="1:12" ht="23.25">
      <c r="A1" s="828" t="s">
        <v>0</v>
      </c>
      <c r="B1" s="828"/>
      <c r="C1" s="828"/>
      <c r="D1" s="828"/>
      <c r="E1" s="828"/>
      <c r="F1" s="828"/>
      <c r="G1" s="828"/>
      <c r="H1" s="828"/>
      <c r="I1" s="828"/>
      <c r="J1" s="828"/>
      <c r="K1" s="828"/>
      <c r="L1" s="828"/>
    </row>
    <row r="2" spans="1:16" ht="24">
      <c r="A2" s="829" t="s">
        <v>512</v>
      </c>
      <c r="B2" s="828"/>
      <c r="C2" s="828"/>
      <c r="D2" s="828"/>
      <c r="E2" s="828"/>
      <c r="F2" s="828"/>
      <c r="G2" s="828"/>
      <c r="H2" s="828"/>
      <c r="I2" s="828"/>
      <c r="J2" s="828"/>
      <c r="K2" s="828"/>
      <c r="L2" s="828"/>
      <c r="M2" s="389"/>
      <c r="N2" s="389"/>
      <c r="O2" s="389"/>
      <c r="P2" s="389"/>
    </row>
    <row r="3" spans="2:12" ht="21.75" customHeight="1">
      <c r="B3" s="685"/>
      <c r="C3" s="685"/>
      <c r="D3" s="685"/>
      <c r="E3" s="685"/>
      <c r="F3" s="685"/>
      <c r="G3" s="685"/>
      <c r="H3" s="685"/>
      <c r="I3" s="685"/>
      <c r="J3" s="685"/>
      <c r="K3" s="685"/>
      <c r="L3" s="684"/>
    </row>
    <row r="4" spans="1:12" ht="21.75" customHeight="1">
      <c r="A4" s="875" t="s">
        <v>1</v>
      </c>
      <c r="B4" s="877" t="s">
        <v>13</v>
      </c>
      <c r="C4" s="878"/>
      <c r="D4" s="878"/>
      <c r="E4" s="878"/>
      <c r="F4" s="387"/>
      <c r="G4" s="390"/>
      <c r="H4" s="835" t="s">
        <v>117</v>
      </c>
      <c r="I4" s="835" t="s">
        <v>14</v>
      </c>
      <c r="J4" s="875" t="s">
        <v>6</v>
      </c>
      <c r="K4" s="830" t="s">
        <v>7</v>
      </c>
      <c r="L4" s="830" t="s">
        <v>36</v>
      </c>
    </row>
    <row r="5" spans="1:12" ht="42" customHeight="1">
      <c r="A5" s="876"/>
      <c r="B5" s="683" t="s">
        <v>8</v>
      </c>
      <c r="C5" s="683" t="s">
        <v>9</v>
      </c>
      <c r="D5" s="683" t="s">
        <v>236</v>
      </c>
      <c r="E5" s="683" t="s">
        <v>10</v>
      </c>
      <c r="F5" s="683" t="s">
        <v>23</v>
      </c>
      <c r="G5" s="654" t="s">
        <v>41</v>
      </c>
      <c r="H5" s="836"/>
      <c r="I5" s="836"/>
      <c r="J5" s="876"/>
      <c r="K5" s="831"/>
      <c r="L5" s="831"/>
    </row>
    <row r="6" spans="1:12" ht="21.75">
      <c r="A6" s="278" t="s">
        <v>807</v>
      </c>
      <c r="B6" s="56"/>
      <c r="C6" s="56"/>
      <c r="D6" s="56"/>
      <c r="E6" s="56"/>
      <c r="F6" s="56"/>
      <c r="G6" s="56"/>
      <c r="H6" s="56"/>
      <c r="I6" s="56"/>
      <c r="J6" s="279"/>
      <c r="K6" s="279"/>
      <c r="L6" s="280"/>
    </row>
    <row r="7" spans="1:12" ht="21.75">
      <c r="A7" s="682" t="s">
        <v>301</v>
      </c>
      <c r="B7" s="57"/>
      <c r="C7" s="57"/>
      <c r="D7" s="57"/>
      <c r="E7" s="57"/>
      <c r="F7" s="57"/>
      <c r="G7" s="57"/>
      <c r="H7" s="57"/>
      <c r="I7" s="57"/>
      <c r="J7" s="282"/>
      <c r="K7" s="282"/>
      <c r="L7" s="283"/>
    </row>
    <row r="8" spans="1:12" ht="43.5">
      <c r="A8" s="658" t="s">
        <v>808</v>
      </c>
      <c r="B8" s="57"/>
      <c r="C8" s="57"/>
      <c r="D8" s="57"/>
      <c r="E8" s="57"/>
      <c r="F8" s="57"/>
      <c r="G8" s="40"/>
      <c r="H8" s="40">
        <f>6366539*89/100</f>
        <v>5666219.71</v>
      </c>
      <c r="I8" s="40">
        <f>SUM(B8:H8)</f>
        <v>5666219.71</v>
      </c>
      <c r="J8" s="285" t="s">
        <v>809</v>
      </c>
      <c r="K8" s="285" t="s">
        <v>147</v>
      </c>
      <c r="L8" s="286" t="s">
        <v>1034</v>
      </c>
    </row>
    <row r="9" spans="1:12" ht="43.5">
      <c r="A9" s="658" t="s">
        <v>810</v>
      </c>
      <c r="B9" s="57"/>
      <c r="C9" s="57"/>
      <c r="D9" s="57"/>
      <c r="E9" s="57"/>
      <c r="F9" s="57"/>
      <c r="G9" s="57"/>
      <c r="H9" s="40">
        <v>957000</v>
      </c>
      <c r="I9" s="40">
        <f>SUM(B9:H9)</f>
        <v>957000</v>
      </c>
      <c r="J9" s="285" t="s">
        <v>809</v>
      </c>
      <c r="K9" s="285" t="s">
        <v>811</v>
      </c>
      <c r="L9" s="286" t="s">
        <v>295</v>
      </c>
    </row>
    <row r="10" spans="1:12" ht="65.25">
      <c r="A10" s="658" t="s">
        <v>812</v>
      </c>
      <c r="B10" s="347"/>
      <c r="C10" s="347"/>
      <c r="D10" s="347"/>
      <c r="E10" s="347"/>
      <c r="F10" s="347"/>
      <c r="G10" s="401"/>
      <c r="H10" s="143">
        <v>609600</v>
      </c>
      <c r="I10" s="40">
        <f>SUM(B10:H10)</f>
        <v>609600</v>
      </c>
      <c r="J10" s="285" t="s">
        <v>809</v>
      </c>
      <c r="K10" s="285" t="s">
        <v>811</v>
      </c>
      <c r="L10" s="286" t="s">
        <v>295</v>
      </c>
    </row>
    <row r="11" spans="1:12" ht="21.75">
      <c r="A11" s="658"/>
      <c r="B11" s="347"/>
      <c r="C11" s="347"/>
      <c r="D11" s="347"/>
      <c r="E11" s="347"/>
      <c r="F11" s="347"/>
      <c r="G11" s="398"/>
      <c r="H11" s="347"/>
      <c r="I11" s="40"/>
      <c r="J11" s="680"/>
      <c r="K11" s="681"/>
      <c r="L11" s="285"/>
    </row>
    <row r="12" spans="1:12" ht="21.75">
      <c r="A12" s="287"/>
      <c r="B12" s="143"/>
      <c r="C12" s="143"/>
      <c r="D12" s="143"/>
      <c r="E12" s="143"/>
      <c r="F12" s="143"/>
      <c r="G12" s="327"/>
      <c r="H12" s="347"/>
      <c r="I12" s="40">
        <f>SUM(B12:H12)</f>
        <v>0</v>
      </c>
      <c r="J12" s="680"/>
      <c r="K12" s="285"/>
      <c r="L12" s="285"/>
    </row>
    <row r="13" spans="1:12" ht="21.75">
      <c r="A13" s="682"/>
      <c r="B13" s="347"/>
      <c r="C13" s="347"/>
      <c r="D13" s="347"/>
      <c r="E13" s="347"/>
      <c r="F13" s="347"/>
      <c r="G13" s="327"/>
      <c r="H13" s="347"/>
      <c r="I13" s="57"/>
      <c r="J13" s="680"/>
      <c r="K13" s="681"/>
      <c r="L13" s="285"/>
    </row>
    <row r="14" spans="1:12" ht="21.75">
      <c r="A14" s="287"/>
      <c r="B14" s="347"/>
      <c r="C14" s="143"/>
      <c r="D14" s="347"/>
      <c r="E14" s="347"/>
      <c r="F14" s="143"/>
      <c r="G14" s="327"/>
      <c r="H14" s="347"/>
      <c r="I14" s="40">
        <f>SUM(B14:H14)</f>
        <v>0</v>
      </c>
      <c r="J14" s="680"/>
      <c r="K14" s="285"/>
      <c r="L14" s="285"/>
    </row>
    <row r="15" spans="1:12" ht="21.75">
      <c r="A15" s="658"/>
      <c r="B15" s="57"/>
      <c r="C15" s="57"/>
      <c r="D15" s="57"/>
      <c r="E15" s="57"/>
      <c r="F15" s="57"/>
      <c r="G15" s="40"/>
      <c r="H15" s="40"/>
      <c r="I15" s="40">
        <f>SUM(B15:H15)</f>
        <v>0</v>
      </c>
      <c r="J15" s="285"/>
      <c r="K15" s="285"/>
      <c r="L15" s="283"/>
    </row>
    <row r="16" spans="1:12" ht="21.75">
      <c r="A16" s="287"/>
      <c r="B16" s="347"/>
      <c r="C16" s="347"/>
      <c r="D16" s="347"/>
      <c r="E16" s="347"/>
      <c r="F16" s="347"/>
      <c r="G16" s="347"/>
      <c r="H16" s="40"/>
      <c r="I16" s="40"/>
      <c r="J16" s="680"/>
      <c r="K16" s="285"/>
      <c r="L16" s="285"/>
    </row>
    <row r="17" spans="1:12" ht="22.5" thickBot="1">
      <c r="A17" s="679" t="s">
        <v>2</v>
      </c>
      <c r="B17" s="59">
        <f>SUM(B9:B16)</f>
        <v>0</v>
      </c>
      <c r="C17" s="59">
        <f>SUM(C9:C16)</f>
        <v>0</v>
      </c>
      <c r="D17" s="59">
        <f>SUM(D9:D16)</f>
        <v>0</v>
      </c>
      <c r="E17" s="59">
        <f>SUM(E9:E16)</f>
        <v>0</v>
      </c>
      <c r="F17" s="59">
        <f>SUM(F8:F16)</f>
        <v>0</v>
      </c>
      <c r="G17" s="59">
        <f>SUM(G6:G16)</f>
        <v>0</v>
      </c>
      <c r="H17" s="59"/>
      <c r="I17" s="59">
        <f>SUM(I6:I16)</f>
        <v>7232819.71</v>
      </c>
      <c r="J17" s="294"/>
      <c r="K17" s="294"/>
      <c r="L17" s="294"/>
    </row>
    <row r="18" spans="1:12" ht="22.5" thickTop="1">
      <c r="A18" s="677"/>
      <c r="B18" s="678"/>
      <c r="C18" s="677"/>
      <c r="D18" s="677"/>
      <c r="E18" s="677"/>
      <c r="F18" s="677"/>
      <c r="G18" s="677"/>
      <c r="H18" s="677"/>
      <c r="I18" s="677"/>
      <c r="J18" s="677"/>
      <c r="K18" s="677"/>
      <c r="L18" s="677"/>
    </row>
    <row r="19" spans="1:11" ht="21.75">
      <c r="A19" s="676"/>
      <c r="G19" s="296"/>
      <c r="H19" s="296"/>
      <c r="K19" s="675"/>
    </row>
    <row r="20" ht="21.75">
      <c r="P20" s="674"/>
    </row>
    <row r="27" spans="132:133" ht="21.75">
      <c r="EB27" s="2"/>
      <c r="EC27" s="295"/>
    </row>
  </sheetData>
  <sheetProtection/>
  <mergeCells count="9">
    <mergeCell ref="A1:L1"/>
    <mergeCell ref="A2:L2"/>
    <mergeCell ref="A4:A5"/>
    <mergeCell ref="B4:E4"/>
    <mergeCell ref="H4:H5"/>
    <mergeCell ref="I4:I5"/>
    <mergeCell ref="J4:J5"/>
    <mergeCell ref="K4:K5"/>
    <mergeCell ref="L4:L5"/>
  </mergeCells>
  <printOptions/>
  <pageMargins left="0.69488189" right="0" top="1.49606299212598" bottom="0.15748031496063" header="0.78740157480315" footer="0.15748031496063"/>
  <pageSetup horizontalDpi="600" verticalDpi="600" orientation="landscape" paperSize="9" scale="80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35"/>
  </sheetPr>
  <dimension ref="A1:EC27"/>
  <sheetViews>
    <sheetView showGridLines="0" zoomScalePageLayoutView="0" workbookViewId="0" topLeftCell="A1">
      <pane xSplit="1" ySplit="5" topLeftCell="B6" activePane="bottomRight" state="frozen"/>
      <selection pane="topLeft" activeCell="C65" sqref="C65:J65"/>
      <selection pane="topRight" activeCell="C65" sqref="C65:J65"/>
      <selection pane="bottomLeft" activeCell="C65" sqref="C65:J65"/>
      <selection pane="bottomRight" activeCell="G15" sqref="G15"/>
    </sheetView>
  </sheetViews>
  <sheetFormatPr defaultColWidth="9.140625" defaultRowHeight="21.75"/>
  <cols>
    <col min="1" max="1" width="50.00390625" style="0" customWidth="1"/>
    <col min="2" max="2" width="11.57421875" style="0" customWidth="1"/>
    <col min="3" max="3" width="12.140625" style="0" customWidth="1"/>
    <col min="4" max="4" width="12.421875" style="0" customWidth="1"/>
    <col min="5" max="5" width="10.140625" style="0" customWidth="1"/>
    <col min="6" max="6" width="12.7109375" style="0" customWidth="1"/>
    <col min="7" max="7" width="13.57421875" style="0" customWidth="1"/>
    <col min="8" max="8" width="14.140625" style="0" customWidth="1"/>
    <col min="9" max="9" width="15.00390625" style="0" customWidth="1"/>
    <col min="10" max="10" width="13.140625" style="0" customWidth="1"/>
    <col min="11" max="11" width="13.421875" style="0" customWidth="1"/>
    <col min="12" max="12" width="16.00390625" style="0" customWidth="1"/>
  </cols>
  <sheetData>
    <row r="1" spans="1:12" ht="23.25">
      <c r="A1" s="840" t="s">
        <v>0</v>
      </c>
      <c r="B1" s="840"/>
      <c r="C1" s="840"/>
      <c r="D1" s="840"/>
      <c r="E1" s="840"/>
      <c r="F1" s="840"/>
      <c r="G1" s="840"/>
      <c r="H1" s="840"/>
      <c r="I1" s="840"/>
      <c r="J1" s="840"/>
      <c r="K1" s="840"/>
      <c r="L1" s="840"/>
    </row>
    <row r="2" spans="1:16" ht="24">
      <c r="A2" s="841" t="s">
        <v>512</v>
      </c>
      <c r="B2" s="840"/>
      <c r="C2" s="840"/>
      <c r="D2" s="840"/>
      <c r="E2" s="840"/>
      <c r="F2" s="840"/>
      <c r="G2" s="840"/>
      <c r="H2" s="840"/>
      <c r="I2" s="840"/>
      <c r="J2" s="840"/>
      <c r="K2" s="840"/>
      <c r="L2" s="840"/>
      <c r="M2" s="62"/>
      <c r="N2" s="62"/>
      <c r="O2" s="62"/>
      <c r="P2" s="62"/>
    </row>
    <row r="3" spans="2:12" ht="21.7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21.75" customHeight="1">
      <c r="A4" s="842" t="s">
        <v>1</v>
      </c>
      <c r="B4" s="845" t="s">
        <v>13</v>
      </c>
      <c r="C4" s="846"/>
      <c r="D4" s="846"/>
      <c r="E4" s="846"/>
      <c r="F4" s="96"/>
      <c r="G4" s="268"/>
      <c r="H4" s="848" t="s">
        <v>117</v>
      </c>
      <c r="I4" s="848" t="s">
        <v>14</v>
      </c>
      <c r="J4" s="842" t="s">
        <v>6</v>
      </c>
      <c r="K4" s="857" t="s">
        <v>7</v>
      </c>
      <c r="L4" s="857" t="s">
        <v>36</v>
      </c>
    </row>
    <row r="5" spans="1:12" ht="42" customHeight="1">
      <c r="A5" s="844"/>
      <c r="B5" s="23" t="s">
        <v>8</v>
      </c>
      <c r="C5" s="23" t="s">
        <v>9</v>
      </c>
      <c r="D5" s="23" t="s">
        <v>236</v>
      </c>
      <c r="E5" s="23" t="s">
        <v>10</v>
      </c>
      <c r="F5" s="23" t="s">
        <v>23</v>
      </c>
      <c r="G5" s="97" t="s">
        <v>41</v>
      </c>
      <c r="H5" s="856"/>
      <c r="I5" s="856"/>
      <c r="J5" s="844"/>
      <c r="K5" s="858"/>
      <c r="L5" s="858"/>
    </row>
    <row r="6" spans="1:12" ht="21.75">
      <c r="A6" s="7" t="s">
        <v>302</v>
      </c>
      <c r="B6" s="56"/>
      <c r="C6" s="56"/>
      <c r="D6" s="56"/>
      <c r="E6" s="56"/>
      <c r="F6" s="56"/>
      <c r="G6" s="56"/>
      <c r="H6" s="56"/>
      <c r="I6" s="56"/>
      <c r="J6" s="9"/>
      <c r="K6" s="9"/>
      <c r="L6" s="10"/>
    </row>
    <row r="7" spans="1:12" ht="21.75">
      <c r="A7" s="127" t="s">
        <v>301</v>
      </c>
      <c r="B7" s="57"/>
      <c r="C7" s="57"/>
      <c r="D7" s="57"/>
      <c r="E7" s="57"/>
      <c r="F7" s="57"/>
      <c r="G7" s="57"/>
      <c r="H7" s="57"/>
      <c r="I7" s="57"/>
      <c r="J7" s="13"/>
      <c r="K7" s="13"/>
      <c r="L7" s="14"/>
    </row>
    <row r="8" spans="1:12" ht="87">
      <c r="A8" s="139" t="s">
        <v>430</v>
      </c>
      <c r="B8" s="57"/>
      <c r="C8" s="57"/>
      <c r="D8" s="57"/>
      <c r="E8" s="57"/>
      <c r="F8" s="57"/>
      <c r="G8" s="40"/>
      <c r="H8" s="40">
        <v>5284715.83</v>
      </c>
      <c r="I8" s="237">
        <f>SUM(B8:H8)</f>
        <v>5284715.83</v>
      </c>
      <c r="J8" s="132" t="s">
        <v>43</v>
      </c>
      <c r="K8" s="132" t="s">
        <v>306</v>
      </c>
      <c r="L8" s="160" t="s">
        <v>295</v>
      </c>
    </row>
    <row r="9" spans="1:12" ht="21.75">
      <c r="A9" s="127" t="s">
        <v>433</v>
      </c>
      <c r="B9" s="57"/>
      <c r="C9" s="57"/>
      <c r="D9" s="57"/>
      <c r="E9" s="57"/>
      <c r="F9" s="57"/>
      <c r="G9" s="40"/>
      <c r="H9" s="40"/>
      <c r="I9" s="40"/>
      <c r="J9" s="132"/>
      <c r="K9" s="132"/>
      <c r="L9" s="160"/>
    </row>
    <row r="10" spans="1:12" ht="65.25">
      <c r="A10" s="156" t="s">
        <v>434</v>
      </c>
      <c r="B10" s="57"/>
      <c r="C10" s="57"/>
      <c r="D10" s="57"/>
      <c r="E10" s="57"/>
      <c r="F10" s="57"/>
      <c r="G10" s="57"/>
      <c r="H10" s="40">
        <f>9500*31.7</f>
        <v>301150</v>
      </c>
      <c r="I10" s="40">
        <f>SUM(B10:H10)</f>
        <v>301150</v>
      </c>
      <c r="J10" s="163" t="s">
        <v>304</v>
      </c>
      <c r="K10" s="132" t="s">
        <v>147</v>
      </c>
      <c r="L10" s="160" t="s">
        <v>180</v>
      </c>
    </row>
    <row r="11" spans="1:12" ht="65.25">
      <c r="A11" s="156" t="s">
        <v>432</v>
      </c>
      <c r="B11" s="347"/>
      <c r="C11" s="347"/>
      <c r="D11" s="347"/>
      <c r="E11" s="347"/>
      <c r="F11" s="347"/>
      <c r="G11" s="169"/>
      <c r="H11" s="143">
        <f>90000*31.7</f>
        <v>2853000</v>
      </c>
      <c r="I11" s="40">
        <f>SUM(B11:H11)</f>
        <v>2853000</v>
      </c>
      <c r="J11" s="163" t="s">
        <v>304</v>
      </c>
      <c r="K11" s="132" t="s">
        <v>147</v>
      </c>
      <c r="L11" s="132" t="s">
        <v>305</v>
      </c>
    </row>
    <row r="12" spans="1:12" ht="65.25">
      <c r="A12" s="156" t="s">
        <v>572</v>
      </c>
      <c r="B12" s="143">
        <v>161949.1</v>
      </c>
      <c r="C12" s="143">
        <v>161949.1</v>
      </c>
      <c r="D12" s="143">
        <v>161949.1</v>
      </c>
      <c r="E12" s="143"/>
      <c r="F12" s="143">
        <v>161949.1</v>
      </c>
      <c r="G12" s="327">
        <f>161949.1*12</f>
        <v>1943389.2000000002</v>
      </c>
      <c r="H12" s="347"/>
      <c r="I12" s="40">
        <f>SUM(B12:H12)</f>
        <v>2591185.6</v>
      </c>
      <c r="J12" s="163" t="s">
        <v>304</v>
      </c>
      <c r="K12" s="132" t="s">
        <v>573</v>
      </c>
      <c r="L12" s="132"/>
    </row>
    <row r="13" spans="1:12" ht="21.75">
      <c r="A13" s="127" t="s">
        <v>435</v>
      </c>
      <c r="B13" s="347"/>
      <c r="C13" s="347"/>
      <c r="D13" s="347"/>
      <c r="E13" s="347"/>
      <c r="F13" s="347"/>
      <c r="G13" s="327"/>
      <c r="H13" s="347"/>
      <c r="I13" s="40"/>
      <c r="J13" s="163"/>
      <c r="K13" s="128"/>
      <c r="L13" s="132"/>
    </row>
    <row r="14" spans="1:12" ht="65.25">
      <c r="A14" s="156" t="s">
        <v>436</v>
      </c>
      <c r="B14" s="143">
        <v>7073</v>
      </c>
      <c r="C14" s="143">
        <v>56370</v>
      </c>
      <c r="D14" s="347"/>
      <c r="E14" s="347"/>
      <c r="F14" s="143"/>
      <c r="G14" s="327">
        <f>7325+1200+3200+4130+3550+4200</f>
        <v>23605</v>
      </c>
      <c r="H14" s="347"/>
      <c r="I14" s="40">
        <f>SUM(B14:H14)</f>
        <v>87048</v>
      </c>
      <c r="J14" s="163" t="s">
        <v>303</v>
      </c>
      <c r="K14" s="132" t="s">
        <v>574</v>
      </c>
      <c r="L14" s="132"/>
    </row>
    <row r="15" spans="1:12" ht="65.25">
      <c r="A15" s="139" t="s">
        <v>431</v>
      </c>
      <c r="B15" s="57"/>
      <c r="C15" s="57"/>
      <c r="D15" s="57"/>
      <c r="E15" s="57"/>
      <c r="F15" s="57"/>
      <c r="G15" s="40"/>
      <c r="H15" s="40">
        <v>9197.13</v>
      </c>
      <c r="I15" s="40">
        <f>SUM(B15:H15)</f>
        <v>9197.13</v>
      </c>
      <c r="J15" s="132" t="s">
        <v>303</v>
      </c>
      <c r="K15" s="132"/>
      <c r="L15" s="14"/>
    </row>
    <row r="16" spans="1:12" ht="21.75">
      <c r="A16" s="156"/>
      <c r="B16" s="347"/>
      <c r="C16" s="347"/>
      <c r="D16" s="347"/>
      <c r="E16" s="347"/>
      <c r="F16" s="347"/>
      <c r="G16" s="347"/>
      <c r="H16" s="40"/>
      <c r="I16" s="40"/>
      <c r="J16" s="163"/>
      <c r="K16" s="132"/>
      <c r="L16" s="132"/>
    </row>
    <row r="17" spans="1:12" ht="22.5" thickBot="1">
      <c r="A17" s="19" t="s">
        <v>2</v>
      </c>
      <c r="B17" s="59">
        <f>SUM(B8:B16)</f>
        <v>169022.1</v>
      </c>
      <c r="C17" s="59">
        <f aca="true" t="shared" si="0" ref="C17:I17">SUM(C8:C16)</f>
        <v>218319.1</v>
      </c>
      <c r="D17" s="59">
        <f t="shared" si="0"/>
        <v>161949.1</v>
      </c>
      <c r="E17" s="59">
        <f t="shared" si="0"/>
        <v>0</v>
      </c>
      <c r="F17" s="59">
        <f t="shared" si="0"/>
        <v>161949.1</v>
      </c>
      <c r="G17" s="59">
        <f t="shared" si="0"/>
        <v>1966994.2000000002</v>
      </c>
      <c r="H17" s="59">
        <f t="shared" si="0"/>
        <v>8448062.96</v>
      </c>
      <c r="I17" s="59">
        <f t="shared" si="0"/>
        <v>11126296.56</v>
      </c>
      <c r="J17" s="21"/>
      <c r="K17" s="21"/>
      <c r="L17" s="21"/>
    </row>
    <row r="18" spans="1:12" ht="22.5" thickTop="1">
      <c r="A18" s="36"/>
      <c r="B18" s="43"/>
      <c r="C18" s="36"/>
      <c r="D18" s="36"/>
      <c r="E18" s="36"/>
      <c r="F18" s="36"/>
      <c r="G18" s="36"/>
      <c r="H18" s="36"/>
      <c r="I18" s="36"/>
      <c r="J18" s="36"/>
      <c r="K18" s="36"/>
      <c r="L18" s="36"/>
    </row>
    <row r="19" spans="1:11" ht="21.75">
      <c r="A19" s="37"/>
      <c r="G19" s="30"/>
      <c r="H19" s="30"/>
      <c r="I19" s="30"/>
      <c r="K19" s="55"/>
    </row>
    <row r="20" spans="1:11" ht="21.75">
      <c r="A20" s="37"/>
      <c r="F20" s="202"/>
      <c r="G20" s="1"/>
      <c r="K20" s="55"/>
    </row>
    <row r="21" spans="8:16" ht="21.75">
      <c r="H21" s="30"/>
      <c r="P21" s="202"/>
    </row>
    <row r="22" ht="21.75">
      <c r="H22" s="1"/>
    </row>
    <row r="27" spans="132:133" ht="21.75">
      <c r="EB27" s="99"/>
      <c r="EC27" s="1"/>
    </row>
  </sheetData>
  <sheetProtection/>
  <mergeCells count="9">
    <mergeCell ref="A1:L1"/>
    <mergeCell ref="A2:L2"/>
    <mergeCell ref="A4:A5"/>
    <mergeCell ref="B4:E4"/>
    <mergeCell ref="H4:H5"/>
    <mergeCell ref="I4:I5"/>
    <mergeCell ref="J4:J5"/>
    <mergeCell ref="K4:K5"/>
    <mergeCell ref="L4:L5"/>
  </mergeCells>
  <printOptions/>
  <pageMargins left="0.44488189" right="0" top="1.49606299212598" bottom="0.15748031496063" header="0.78740157480315" footer="0.15748031496063"/>
  <pageSetup horizontalDpi="600" verticalDpi="600" orientation="landscape" paperSize="9" scale="75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B2:EC130"/>
  <sheetViews>
    <sheetView zoomScalePageLayoutView="0" workbookViewId="0" topLeftCell="A133">
      <selection activeCell="H140" sqref="H140"/>
    </sheetView>
  </sheetViews>
  <sheetFormatPr defaultColWidth="9.140625" defaultRowHeight="21.75"/>
  <cols>
    <col min="2" max="2" width="20.00390625" style="0" customWidth="1"/>
    <col min="3" max="3" width="23.57421875" style="0" customWidth="1"/>
  </cols>
  <sheetData>
    <row r="2" spans="2:3" ht="24">
      <c r="B2" s="507" t="s">
        <v>8</v>
      </c>
      <c r="C2" s="508">
        <v>63665293.965555556</v>
      </c>
    </row>
    <row r="3" spans="2:3" ht="24">
      <c r="B3" s="507" t="s">
        <v>9</v>
      </c>
      <c r="C3" s="508">
        <v>12958211.52222222</v>
      </c>
    </row>
    <row r="4" spans="2:3" ht="24">
      <c r="B4" s="507" t="s">
        <v>221</v>
      </c>
      <c r="C4" s="508">
        <v>18032365.762222223</v>
      </c>
    </row>
    <row r="5" spans="2:3" ht="24">
      <c r="B5" s="507" t="s">
        <v>10</v>
      </c>
      <c r="C5" s="508">
        <v>10747991.352222223</v>
      </c>
    </row>
    <row r="6" spans="2:3" ht="21.75">
      <c r="B6" s="434" t="s">
        <v>23</v>
      </c>
      <c r="C6" s="505">
        <v>5738482.022222222</v>
      </c>
    </row>
    <row r="7" spans="2:3" ht="21.75">
      <c r="B7" s="391" t="s">
        <v>103</v>
      </c>
      <c r="C7" s="505">
        <v>481100</v>
      </c>
    </row>
    <row r="8" spans="2:3" ht="21.75">
      <c r="B8" s="391" t="s">
        <v>47</v>
      </c>
      <c r="C8" s="505">
        <v>264827</v>
      </c>
    </row>
    <row r="9" spans="2:3" ht="21.75">
      <c r="B9" s="391" t="s">
        <v>975</v>
      </c>
      <c r="C9" s="505">
        <v>1146700</v>
      </c>
    </row>
    <row r="10" spans="2:3" ht="21.75">
      <c r="B10" s="391" t="s">
        <v>976</v>
      </c>
      <c r="C10" s="505">
        <v>0</v>
      </c>
    </row>
    <row r="11" spans="2:3" ht="21.75">
      <c r="B11" s="391" t="s">
        <v>29</v>
      </c>
      <c r="C11" s="505">
        <v>11391342.67</v>
      </c>
    </row>
    <row r="12" spans="2:3" ht="21.75">
      <c r="B12" s="391" t="s">
        <v>104</v>
      </c>
      <c r="C12" s="505">
        <v>1299266.67</v>
      </c>
    </row>
    <row r="13" spans="2:3" ht="21.75">
      <c r="B13" s="391" t="s">
        <v>38</v>
      </c>
      <c r="C13" s="505">
        <v>1789876.67</v>
      </c>
    </row>
    <row r="14" spans="2:3" ht="21.75">
      <c r="B14" s="391" t="s">
        <v>45</v>
      </c>
      <c r="C14" s="505">
        <v>11090516.879999999</v>
      </c>
    </row>
    <row r="15" spans="2:3" ht="21.75">
      <c r="B15" s="391" t="s">
        <v>105</v>
      </c>
      <c r="C15" s="779">
        <v>2772841</v>
      </c>
    </row>
    <row r="16" spans="2:3" ht="21.75">
      <c r="B16" s="391" t="s">
        <v>106</v>
      </c>
      <c r="C16" s="505">
        <v>1805649.56</v>
      </c>
    </row>
    <row r="17" spans="2:3" ht="21.75">
      <c r="B17" s="391" t="s">
        <v>107</v>
      </c>
      <c r="C17" s="505">
        <v>2649728</v>
      </c>
    </row>
    <row r="18" spans="2:3" ht="21.75">
      <c r="B18" s="391" t="s">
        <v>108</v>
      </c>
      <c r="C18" s="505">
        <v>0</v>
      </c>
    </row>
    <row r="19" spans="2:3" ht="21.75">
      <c r="B19" s="391" t="s">
        <v>109</v>
      </c>
      <c r="C19" s="505">
        <v>0</v>
      </c>
    </row>
    <row r="20" spans="2:3" ht="21.75">
      <c r="B20" s="391" t="s">
        <v>253</v>
      </c>
      <c r="C20" s="506">
        <v>0</v>
      </c>
    </row>
    <row r="21" spans="2:3" ht="21.75">
      <c r="B21" s="392" t="s">
        <v>110</v>
      </c>
      <c r="C21" s="505">
        <v>1710296.9</v>
      </c>
    </row>
    <row r="22" spans="2:3" ht="21.75">
      <c r="B22" s="392" t="s">
        <v>111</v>
      </c>
      <c r="C22" s="505">
        <v>0</v>
      </c>
    </row>
    <row r="23" spans="2:3" ht="21.75">
      <c r="B23" s="392" t="s">
        <v>1041</v>
      </c>
      <c r="C23" s="506">
        <v>9166.67</v>
      </c>
    </row>
    <row r="24" spans="2:3" ht="21.75">
      <c r="B24" s="263" t="s">
        <v>112</v>
      </c>
      <c r="C24" s="506">
        <v>0</v>
      </c>
    </row>
    <row r="25" spans="2:3" ht="21.75">
      <c r="B25" s="392" t="s">
        <v>220</v>
      </c>
      <c r="C25" s="506">
        <v>0</v>
      </c>
    </row>
    <row r="26" spans="2:3" ht="21.75">
      <c r="B26" s="392" t="s">
        <v>167</v>
      </c>
      <c r="C26" s="506">
        <v>9166.67</v>
      </c>
    </row>
    <row r="27" spans="2:133" ht="21.75">
      <c r="B27" s="392" t="s">
        <v>113</v>
      </c>
      <c r="C27" s="505">
        <v>104066.67</v>
      </c>
      <c r="EB27" s="99"/>
      <c r="EC27" s="1"/>
    </row>
    <row r="28" spans="2:3" ht="21.75">
      <c r="B28" s="391" t="s">
        <v>114</v>
      </c>
      <c r="C28" s="505">
        <v>0</v>
      </c>
    </row>
    <row r="29" spans="2:3" ht="21.75">
      <c r="B29" s="393" t="s">
        <v>165</v>
      </c>
      <c r="C29" s="505">
        <v>0</v>
      </c>
    </row>
    <row r="30" spans="2:3" ht="21.75">
      <c r="B30" s="393" t="s">
        <v>148</v>
      </c>
      <c r="C30" s="505">
        <v>210722.22</v>
      </c>
    </row>
    <row r="31" spans="2:3" ht="21.75">
      <c r="B31" s="393" t="s">
        <v>120</v>
      </c>
      <c r="C31" s="505">
        <v>880916.67</v>
      </c>
    </row>
    <row r="32" spans="2:3" ht="21.75">
      <c r="B32" s="393" t="s">
        <v>121</v>
      </c>
      <c r="C32" s="505">
        <v>230100</v>
      </c>
    </row>
    <row r="33" spans="2:3" ht="21.75">
      <c r="B33" s="393" t="s">
        <v>122</v>
      </c>
      <c r="C33" s="505">
        <v>565581.6699999999</v>
      </c>
    </row>
    <row r="34" spans="2:3" ht="21.75">
      <c r="B34" s="393" t="s">
        <v>123</v>
      </c>
      <c r="C34" s="506">
        <v>132250</v>
      </c>
    </row>
    <row r="35" spans="2:3" ht="21.75">
      <c r="B35" s="393" t="s">
        <v>195</v>
      </c>
      <c r="C35" s="505">
        <v>156000</v>
      </c>
    </row>
    <row r="36" spans="2:3" ht="21.75">
      <c r="B36" s="393" t="s">
        <v>194</v>
      </c>
      <c r="C36" s="506">
        <v>0</v>
      </c>
    </row>
    <row r="37" spans="2:3" ht="21.75">
      <c r="B37" s="393" t="s">
        <v>164</v>
      </c>
      <c r="C37" s="505">
        <v>2595000</v>
      </c>
    </row>
    <row r="38" spans="2:3" ht="21.75">
      <c r="B38" s="393" t="s">
        <v>133</v>
      </c>
      <c r="C38" s="505">
        <v>62500</v>
      </c>
    </row>
    <row r="39" spans="2:3" ht="21.75">
      <c r="B39" s="393" t="s">
        <v>166</v>
      </c>
      <c r="C39" s="505">
        <v>436666.67</v>
      </c>
    </row>
    <row r="40" spans="2:3" ht="21.75">
      <c r="B40" s="393" t="s">
        <v>269</v>
      </c>
      <c r="C40" s="506">
        <v>20766.67</v>
      </c>
    </row>
    <row r="41" spans="2:3" ht="21.75">
      <c r="B41" s="393" t="s">
        <v>196</v>
      </c>
      <c r="C41" s="506">
        <v>0</v>
      </c>
    </row>
    <row r="42" spans="2:3" ht="21.75">
      <c r="B42" s="393" t="s">
        <v>216</v>
      </c>
      <c r="C42" s="506">
        <v>20766.67</v>
      </c>
    </row>
    <row r="43" spans="2:3" ht="21.75">
      <c r="B43" s="393" t="s">
        <v>144</v>
      </c>
      <c r="C43" s="505">
        <v>243000</v>
      </c>
    </row>
    <row r="44" spans="2:3" ht="21.75">
      <c r="B44" s="393" t="s">
        <v>145</v>
      </c>
      <c r="C44" s="505">
        <v>84500</v>
      </c>
    </row>
    <row r="45" spans="2:3" ht="21.75">
      <c r="B45" s="393" t="s">
        <v>267</v>
      </c>
      <c r="C45" s="506">
        <v>0</v>
      </c>
    </row>
    <row r="46" spans="2:3" ht="21.75">
      <c r="B46" s="393" t="s">
        <v>182</v>
      </c>
      <c r="C46" s="505">
        <v>0</v>
      </c>
    </row>
    <row r="47" spans="2:3" ht="21.75">
      <c r="B47" s="393" t="s">
        <v>197</v>
      </c>
      <c r="C47" s="506">
        <v>33000</v>
      </c>
    </row>
    <row r="48" spans="2:3" ht="21.75">
      <c r="B48" s="393" t="s">
        <v>198</v>
      </c>
      <c r="C48" s="506">
        <v>0</v>
      </c>
    </row>
    <row r="49" spans="2:3" ht="21.75">
      <c r="B49" s="393" t="s">
        <v>246</v>
      </c>
      <c r="C49" s="505">
        <v>139200</v>
      </c>
    </row>
    <row r="50" spans="2:3" ht="21.75">
      <c r="B50" s="393" t="s">
        <v>428</v>
      </c>
      <c r="C50" s="506">
        <v>0</v>
      </c>
    </row>
    <row r="51" spans="2:3" ht="21.75">
      <c r="B51" s="394" t="s">
        <v>355</v>
      </c>
      <c r="C51" s="506">
        <v>0</v>
      </c>
    </row>
    <row r="52" spans="2:3" ht="21.75">
      <c r="B52" s="394" t="s">
        <v>199</v>
      </c>
      <c r="C52" s="506">
        <v>0</v>
      </c>
    </row>
    <row r="53" spans="2:3" ht="21.75">
      <c r="B53" s="393" t="s">
        <v>181</v>
      </c>
      <c r="C53" s="506">
        <v>0</v>
      </c>
    </row>
    <row r="54" spans="2:3" ht="21.75">
      <c r="B54" s="393" t="s">
        <v>249</v>
      </c>
      <c r="C54" s="506">
        <v>0</v>
      </c>
    </row>
    <row r="55" spans="2:3" ht="21.75">
      <c r="B55" s="393" t="s">
        <v>254</v>
      </c>
      <c r="C55" s="505">
        <v>0</v>
      </c>
    </row>
    <row r="56" spans="2:3" ht="21.75">
      <c r="B56" s="395" t="s">
        <v>278</v>
      </c>
      <c r="C56" s="506">
        <v>388000</v>
      </c>
    </row>
    <row r="57" spans="2:3" ht="21.75">
      <c r="B57" s="393" t="s">
        <v>255</v>
      </c>
      <c r="C57" s="506">
        <v>0</v>
      </c>
    </row>
    <row r="58" spans="2:3" ht="21.75">
      <c r="B58" s="393" t="s">
        <v>193</v>
      </c>
      <c r="C58" s="506">
        <v>0</v>
      </c>
    </row>
    <row r="59" spans="2:3" ht="21.75">
      <c r="B59" s="393" t="s">
        <v>327</v>
      </c>
      <c r="C59" s="506">
        <v>0</v>
      </c>
    </row>
    <row r="60" spans="2:3" ht="21.75">
      <c r="B60" s="393" t="s">
        <v>257</v>
      </c>
      <c r="C60" s="506">
        <v>0</v>
      </c>
    </row>
    <row r="61" spans="2:3" ht="21.75">
      <c r="B61" s="393" t="s">
        <v>356</v>
      </c>
      <c r="C61" s="506">
        <v>0</v>
      </c>
    </row>
    <row r="62" spans="2:3" ht="21.75">
      <c r="B62" s="393" t="s">
        <v>264</v>
      </c>
      <c r="C62" s="505">
        <v>0</v>
      </c>
    </row>
    <row r="63" spans="2:3" ht="23.25">
      <c r="B63" s="396" t="s">
        <v>248</v>
      </c>
      <c r="C63" s="506">
        <v>0</v>
      </c>
    </row>
    <row r="64" spans="2:3" ht="21.75">
      <c r="B64" s="393" t="s">
        <v>247</v>
      </c>
      <c r="C64" s="505">
        <v>0</v>
      </c>
    </row>
    <row r="65" spans="2:3" ht="21.75">
      <c r="B65" s="393" t="s">
        <v>200</v>
      </c>
      <c r="C65" s="506">
        <v>0</v>
      </c>
    </row>
    <row r="66" spans="2:3" ht="21.75">
      <c r="B66" s="393" t="s">
        <v>201</v>
      </c>
      <c r="C66" s="505">
        <v>0</v>
      </c>
    </row>
    <row r="67" spans="2:3" ht="21.75">
      <c r="B67" s="393" t="s">
        <v>328</v>
      </c>
      <c r="C67" s="506">
        <v>0</v>
      </c>
    </row>
    <row r="68" spans="2:3" ht="21.75">
      <c r="B68" s="393" t="s">
        <v>202</v>
      </c>
      <c r="C68" s="506">
        <v>0</v>
      </c>
    </row>
    <row r="69" spans="2:3" ht="21.75">
      <c r="B69" s="393" t="s">
        <v>265</v>
      </c>
      <c r="C69" s="506">
        <v>0</v>
      </c>
    </row>
    <row r="70" spans="2:3" ht="21.75">
      <c r="B70" s="393" t="s">
        <v>266</v>
      </c>
      <c r="C70" s="506">
        <v>0</v>
      </c>
    </row>
    <row r="71" spans="2:3" ht="21.75">
      <c r="B71" s="393" t="s">
        <v>203</v>
      </c>
      <c r="C71" s="505">
        <v>59100</v>
      </c>
    </row>
    <row r="72" spans="2:3" ht="21.75">
      <c r="B72" s="393" t="s">
        <v>205</v>
      </c>
      <c r="C72" s="506">
        <v>0</v>
      </c>
    </row>
    <row r="73" spans="2:3" ht="21.75">
      <c r="B73" s="393" t="s">
        <v>206</v>
      </c>
      <c r="C73" s="506">
        <v>9166.67</v>
      </c>
    </row>
    <row r="74" spans="2:3" ht="21.75">
      <c r="B74" s="393" t="s">
        <v>207</v>
      </c>
      <c r="C74" s="506">
        <v>9166.67</v>
      </c>
    </row>
    <row r="75" spans="2:3" ht="21.75">
      <c r="B75" s="393" t="s">
        <v>204</v>
      </c>
      <c r="C75" s="506">
        <v>0</v>
      </c>
    </row>
    <row r="76" spans="2:3" ht="21.75">
      <c r="B76" s="393" t="s">
        <v>208</v>
      </c>
      <c r="C76" s="505">
        <v>0</v>
      </c>
    </row>
    <row r="77" spans="2:3" ht="21.75">
      <c r="B77" s="393" t="s">
        <v>357</v>
      </c>
      <c r="C77" s="506">
        <v>0</v>
      </c>
    </row>
    <row r="78" spans="2:3" ht="21.75">
      <c r="B78" s="393" t="s">
        <v>219</v>
      </c>
      <c r="C78" s="506">
        <v>0</v>
      </c>
    </row>
    <row r="79" spans="2:3" ht="21.75">
      <c r="B79" s="393" t="s">
        <v>218</v>
      </c>
      <c r="C79" s="505">
        <v>0</v>
      </c>
    </row>
    <row r="80" spans="2:3" ht="21.75">
      <c r="B80" s="393" t="s">
        <v>217</v>
      </c>
      <c r="C80" s="506">
        <v>11600</v>
      </c>
    </row>
    <row r="81" spans="2:3" ht="21.75">
      <c r="B81" s="393" t="s">
        <v>258</v>
      </c>
      <c r="C81" s="506">
        <v>0</v>
      </c>
    </row>
    <row r="82" spans="2:3" ht="21.75">
      <c r="B82" s="393" t="s">
        <v>259</v>
      </c>
      <c r="C82" s="506">
        <v>0</v>
      </c>
    </row>
    <row r="83" spans="2:3" ht="21.75">
      <c r="B83" s="393" t="s">
        <v>215</v>
      </c>
      <c r="C83" s="505">
        <v>0</v>
      </c>
    </row>
    <row r="84" spans="2:3" ht="21.75">
      <c r="B84" s="393" t="s">
        <v>214</v>
      </c>
      <c r="C84" s="506">
        <v>0</v>
      </c>
    </row>
    <row r="85" spans="2:3" ht="21.75">
      <c r="B85" s="393" t="s">
        <v>329</v>
      </c>
      <c r="C85" s="506">
        <v>0</v>
      </c>
    </row>
    <row r="86" spans="2:3" ht="21.75">
      <c r="B86" s="393" t="s">
        <v>209</v>
      </c>
      <c r="C86" s="506">
        <v>9166.67</v>
      </c>
    </row>
    <row r="87" spans="2:3" ht="21.75">
      <c r="B87" s="395" t="s">
        <v>256</v>
      </c>
      <c r="C87" s="505">
        <v>0</v>
      </c>
    </row>
    <row r="88" spans="2:3" ht="21.75">
      <c r="B88" s="393" t="s">
        <v>210</v>
      </c>
      <c r="C88" s="506">
        <v>0</v>
      </c>
    </row>
    <row r="89" spans="2:3" ht="21.75">
      <c r="B89" s="393" t="s">
        <v>211</v>
      </c>
      <c r="C89" s="505">
        <v>0</v>
      </c>
    </row>
    <row r="90" spans="2:3" ht="21.75">
      <c r="B90" s="393" t="s">
        <v>212</v>
      </c>
      <c r="C90" s="506">
        <v>11600</v>
      </c>
    </row>
    <row r="91" spans="2:3" ht="21.75">
      <c r="B91" s="393" t="s">
        <v>213</v>
      </c>
      <c r="C91" s="506">
        <v>11600</v>
      </c>
    </row>
    <row r="92" spans="2:3" ht="21.75">
      <c r="B92" s="393" t="s">
        <v>250</v>
      </c>
      <c r="C92" s="506">
        <v>0</v>
      </c>
    </row>
    <row r="93" spans="2:3" ht="21.75">
      <c r="B93" s="395" t="s">
        <v>251</v>
      </c>
      <c r="C93" s="506">
        <v>0</v>
      </c>
    </row>
    <row r="94" spans="2:3" ht="21.75">
      <c r="B94" s="391" t="s">
        <v>252</v>
      </c>
      <c r="C94" s="506">
        <v>0</v>
      </c>
    </row>
    <row r="95" spans="2:3" ht="21.75">
      <c r="B95" s="397" t="s">
        <v>245</v>
      </c>
      <c r="C95" s="506">
        <v>0</v>
      </c>
    </row>
    <row r="96" spans="2:3" ht="21.75">
      <c r="B96" s="397" t="s">
        <v>260</v>
      </c>
      <c r="C96" s="506">
        <v>0</v>
      </c>
    </row>
    <row r="97" spans="2:3" ht="21.75">
      <c r="B97" s="397" t="s">
        <v>261</v>
      </c>
      <c r="C97" s="506">
        <v>0</v>
      </c>
    </row>
    <row r="98" spans="2:3" ht="21.75">
      <c r="B98" s="397" t="s">
        <v>262</v>
      </c>
      <c r="C98" s="506">
        <v>0</v>
      </c>
    </row>
    <row r="99" spans="2:3" ht="21.75">
      <c r="B99" s="397" t="s">
        <v>323</v>
      </c>
      <c r="C99" s="505">
        <v>0</v>
      </c>
    </row>
    <row r="100" spans="2:3" ht="21.75">
      <c r="B100" s="397" t="s">
        <v>263</v>
      </c>
      <c r="C100" s="506">
        <v>20766.67</v>
      </c>
    </row>
    <row r="101" spans="2:3" ht="21.75">
      <c r="B101" s="397" t="s">
        <v>330</v>
      </c>
      <c r="C101" s="506">
        <v>0</v>
      </c>
    </row>
    <row r="102" spans="2:3" ht="21.75">
      <c r="B102" s="397" t="s">
        <v>1042</v>
      </c>
      <c r="C102" s="506">
        <v>62500</v>
      </c>
    </row>
    <row r="103" spans="2:3" ht="21.75">
      <c r="B103" s="397" t="s">
        <v>277</v>
      </c>
      <c r="C103" s="506">
        <v>0</v>
      </c>
    </row>
    <row r="104" spans="2:3" ht="21.75">
      <c r="B104" s="397" t="s">
        <v>268</v>
      </c>
      <c r="C104" s="506">
        <v>0</v>
      </c>
    </row>
    <row r="105" spans="2:3" ht="21.75">
      <c r="B105" s="397" t="s">
        <v>331</v>
      </c>
      <c r="C105" s="506">
        <v>0</v>
      </c>
    </row>
    <row r="106" spans="2:3" ht="21.75">
      <c r="B106" s="397" t="s">
        <v>332</v>
      </c>
      <c r="C106" s="506">
        <v>134700</v>
      </c>
    </row>
    <row r="107" spans="2:3" ht="21.75">
      <c r="B107" s="397" t="s">
        <v>321</v>
      </c>
      <c r="C107" s="506">
        <v>0</v>
      </c>
    </row>
    <row r="108" spans="2:3" ht="21.75">
      <c r="B108" s="397" t="s">
        <v>322</v>
      </c>
      <c r="C108" s="505">
        <v>9166.67</v>
      </c>
    </row>
    <row r="109" spans="2:3" ht="21.75">
      <c r="B109" s="397" t="s">
        <v>333</v>
      </c>
      <c r="C109" s="506">
        <v>0</v>
      </c>
    </row>
    <row r="110" spans="2:3" ht="21.75">
      <c r="B110" s="397" t="s">
        <v>334</v>
      </c>
      <c r="C110" s="506">
        <v>0</v>
      </c>
    </row>
    <row r="111" spans="2:3" ht="21.75">
      <c r="B111" s="397" t="s">
        <v>335</v>
      </c>
      <c r="C111" s="506">
        <v>0</v>
      </c>
    </row>
    <row r="112" spans="2:3" ht="21.75">
      <c r="B112" s="397" t="s">
        <v>336</v>
      </c>
      <c r="C112" s="506">
        <v>0</v>
      </c>
    </row>
    <row r="113" spans="2:3" ht="21.75">
      <c r="B113" s="397" t="s">
        <v>337</v>
      </c>
      <c r="C113" s="505">
        <v>0</v>
      </c>
    </row>
    <row r="114" spans="2:3" ht="21.75">
      <c r="B114" s="397" t="s">
        <v>338</v>
      </c>
      <c r="C114" s="505">
        <v>0</v>
      </c>
    </row>
    <row r="115" spans="2:3" ht="21.75">
      <c r="B115" s="397" t="s">
        <v>339</v>
      </c>
      <c r="C115" s="506">
        <v>0</v>
      </c>
    </row>
    <row r="116" spans="2:3" ht="21.75">
      <c r="B116" s="397" t="s">
        <v>351</v>
      </c>
      <c r="C116" s="506">
        <v>0</v>
      </c>
    </row>
    <row r="117" spans="2:3" ht="21.75">
      <c r="B117" s="397" t="s">
        <v>340</v>
      </c>
      <c r="C117" s="506">
        <v>0</v>
      </c>
    </row>
    <row r="118" spans="2:3" ht="21.75">
      <c r="B118" s="397" t="s">
        <v>341</v>
      </c>
      <c r="C118" s="506">
        <v>0</v>
      </c>
    </row>
    <row r="119" spans="2:3" ht="21.75">
      <c r="B119" s="397" t="s">
        <v>342</v>
      </c>
      <c r="C119" s="506">
        <v>0</v>
      </c>
    </row>
    <row r="120" spans="2:3" ht="42.75">
      <c r="B120" s="397" t="s">
        <v>343</v>
      </c>
      <c r="C120" s="506">
        <v>0</v>
      </c>
    </row>
    <row r="121" spans="2:3" ht="21.75">
      <c r="B121" s="397" t="s">
        <v>418</v>
      </c>
      <c r="C121" s="505">
        <v>100000</v>
      </c>
    </row>
    <row r="122" spans="2:3" ht="21.75">
      <c r="B122" s="397" t="s">
        <v>486</v>
      </c>
      <c r="C122" s="505">
        <v>55000</v>
      </c>
    </row>
    <row r="123" spans="2:3" ht="21.75">
      <c r="B123" s="397" t="s">
        <v>485</v>
      </c>
      <c r="C123" s="505">
        <v>0</v>
      </c>
    </row>
    <row r="124" spans="2:3" ht="21.75">
      <c r="B124" s="397" t="s">
        <v>1039</v>
      </c>
      <c r="C124" s="505">
        <v>442450</v>
      </c>
    </row>
    <row r="125" spans="2:3" ht="21.75">
      <c r="B125" s="397" t="s">
        <v>483</v>
      </c>
      <c r="C125" s="505">
        <v>0</v>
      </c>
    </row>
    <row r="126" spans="2:3" ht="21.75">
      <c r="B126" s="397" t="s">
        <v>484</v>
      </c>
      <c r="C126" s="505">
        <v>109750</v>
      </c>
    </row>
    <row r="127" spans="2:3" ht="21.75">
      <c r="B127" s="397" t="s">
        <v>1040</v>
      </c>
      <c r="C127" s="505">
        <v>11600</v>
      </c>
    </row>
    <row r="128" spans="2:3" ht="21.75">
      <c r="B128" s="397" t="s">
        <v>1006</v>
      </c>
      <c r="C128" s="505">
        <v>10828831</v>
      </c>
    </row>
    <row r="129" spans="2:3" ht="21.75" customHeight="1">
      <c r="B129" s="791" t="s">
        <v>411</v>
      </c>
      <c r="C129" s="792">
        <v>3839475.39</v>
      </c>
    </row>
    <row r="130" spans="2:3" ht="27.75">
      <c r="B130" s="780" t="s">
        <v>99</v>
      </c>
      <c r="C130" s="781">
        <f>SUM(C2:C129)</f>
        <v>169601500.29444426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EB27:EC27"/>
  <sheetViews>
    <sheetView zoomScalePageLayoutView="0" workbookViewId="0" topLeftCell="A1">
      <selection activeCell="C65" sqref="C65:J65"/>
    </sheetView>
  </sheetViews>
  <sheetFormatPr defaultColWidth="9.140625" defaultRowHeight="21.75"/>
  <sheetData>
    <row r="27" spans="132:133" ht="21.75">
      <c r="EB27" s="99"/>
      <c r="EC27" s="1"/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EB27:EC27"/>
  <sheetViews>
    <sheetView zoomScalePageLayoutView="0" workbookViewId="0" topLeftCell="A1">
      <selection activeCell="C65" sqref="C65:J65"/>
    </sheetView>
  </sheetViews>
  <sheetFormatPr defaultColWidth="9.140625" defaultRowHeight="21.75"/>
  <sheetData>
    <row r="27" spans="132:133" ht="21.75">
      <c r="EB27" s="99"/>
      <c r="EC27" s="1"/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4" sqref="M14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3" sqref="R13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K103"/>
  <sheetViews>
    <sheetView zoomScaleSheetLayoutView="100" zoomScalePageLayoutView="0" workbookViewId="0" topLeftCell="A1">
      <pane xSplit="1" ySplit="5" topLeftCell="B9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104" sqref="E104"/>
    </sheetView>
  </sheetViews>
  <sheetFormatPr defaultColWidth="9.140625" defaultRowHeight="21.75"/>
  <cols>
    <col min="1" max="1" width="44.421875" style="526" customWidth="1"/>
    <col min="2" max="2" width="15.7109375" style="87" customWidth="1"/>
    <col min="3" max="3" width="16.57421875" style="87" customWidth="1"/>
    <col min="4" max="4" width="15.8515625" style="87" customWidth="1"/>
    <col min="5" max="5" width="14.8515625" style="87" customWidth="1"/>
    <col min="6" max="6" width="14.7109375" style="87" customWidth="1"/>
    <col min="7" max="7" width="16.140625" style="87" customWidth="1"/>
    <col min="8" max="8" width="16.8515625" style="87" customWidth="1"/>
    <col min="9" max="9" width="30.57421875" style="87" customWidth="1"/>
    <col min="10" max="10" width="19.57421875" style="87" customWidth="1"/>
    <col min="11" max="11" width="18.00390625" style="87" customWidth="1"/>
    <col min="12" max="16384" width="9.140625" style="87" customWidth="1"/>
  </cols>
  <sheetData>
    <row r="1" spans="1:9" ht="21">
      <c r="A1" s="813" t="s">
        <v>83</v>
      </c>
      <c r="B1" s="813"/>
      <c r="C1" s="813"/>
      <c r="D1" s="813"/>
      <c r="E1" s="813"/>
      <c r="F1" s="813"/>
      <c r="G1" s="813"/>
      <c r="H1" s="813"/>
      <c r="I1" s="813"/>
    </row>
    <row r="2" spans="1:9" ht="26.25" customHeight="1">
      <c r="A2" s="814" t="s">
        <v>511</v>
      </c>
      <c r="B2" s="814"/>
      <c r="C2" s="814"/>
      <c r="D2" s="814"/>
      <c r="E2" s="814"/>
      <c r="F2" s="814"/>
      <c r="G2" s="814"/>
      <c r="H2" s="814"/>
      <c r="I2" s="814"/>
    </row>
    <row r="3" spans="1:9" ht="26.25" customHeight="1">
      <c r="A3" s="525"/>
      <c r="B3" s="374"/>
      <c r="C3" s="374"/>
      <c r="D3" s="374"/>
      <c r="E3" s="374"/>
      <c r="F3" s="374"/>
      <c r="G3" s="375"/>
      <c r="H3" s="376"/>
      <c r="I3" s="377"/>
    </row>
    <row r="4" spans="1:9" ht="23.25" customHeight="1">
      <c r="A4" s="822" t="s">
        <v>84</v>
      </c>
      <c r="B4" s="817" t="s">
        <v>85</v>
      </c>
      <c r="C4" s="818"/>
      <c r="D4" s="818"/>
      <c r="E4" s="818"/>
      <c r="F4" s="818"/>
      <c r="G4" s="819"/>
      <c r="H4" s="820" t="s">
        <v>374</v>
      </c>
      <c r="I4" s="815" t="s">
        <v>86</v>
      </c>
    </row>
    <row r="5" spans="1:9" ht="21">
      <c r="A5" s="823"/>
      <c r="B5" s="378" t="s">
        <v>87</v>
      </c>
      <c r="C5" s="378" t="s">
        <v>88</v>
      </c>
      <c r="D5" s="379" t="s">
        <v>89</v>
      </c>
      <c r="E5" s="380" t="s">
        <v>90</v>
      </c>
      <c r="F5" s="405" t="s">
        <v>91</v>
      </c>
      <c r="G5" s="405" t="s">
        <v>92</v>
      </c>
      <c r="H5" s="821"/>
      <c r="I5" s="821"/>
    </row>
    <row r="6" spans="1:9" ht="23.25">
      <c r="A6" s="424" t="s">
        <v>81</v>
      </c>
      <c r="B6" s="179"/>
      <c r="C6" s="180"/>
      <c r="D6" s="187"/>
      <c r="E6" s="179"/>
      <c r="F6" s="179"/>
      <c r="G6" s="178"/>
      <c r="H6" s="179"/>
      <c r="I6" s="323"/>
    </row>
    <row r="7" spans="1:9" ht="21.75">
      <c r="A7" s="188" t="s">
        <v>270</v>
      </c>
      <c r="B7" s="179"/>
      <c r="C7" s="180"/>
      <c r="D7" s="181"/>
      <c r="E7" s="179"/>
      <c r="F7" s="179"/>
      <c r="G7" s="178">
        <v>1662699320</v>
      </c>
      <c r="H7" s="179">
        <f>SUM(B7:G7)</f>
        <v>1662699320</v>
      </c>
      <c r="I7" s="425" t="s">
        <v>494</v>
      </c>
    </row>
    <row r="8" spans="1:9" ht="41.25" customHeight="1">
      <c r="A8" s="153" t="s">
        <v>271</v>
      </c>
      <c r="B8" s="180"/>
      <c r="C8" s="179"/>
      <c r="D8" s="179"/>
      <c r="E8" s="179"/>
      <c r="F8" s="179"/>
      <c r="G8" s="184"/>
      <c r="H8" s="184"/>
      <c r="I8" s="181"/>
    </row>
    <row r="9" spans="1:9" ht="28.5" customHeight="1">
      <c r="A9" s="806" t="s">
        <v>272</v>
      </c>
      <c r="B9" s="187">
        <v>6490186</v>
      </c>
      <c r="C9" s="264">
        <v>676993173.22</v>
      </c>
      <c r="D9" s="179"/>
      <c r="E9" s="179"/>
      <c r="F9" s="179"/>
      <c r="G9" s="179"/>
      <c r="H9" s="179">
        <f>SUM(B9:G9)</f>
        <v>683483359.22</v>
      </c>
      <c r="I9" s="324" t="s">
        <v>487</v>
      </c>
    </row>
    <row r="10" spans="1:11" ht="22.5" customHeight="1">
      <c r="A10" s="807"/>
      <c r="B10" s="187">
        <v>8971153.850000001</v>
      </c>
      <c r="C10" s="604">
        <v>123400144.08000001</v>
      </c>
      <c r="D10" s="272">
        <v>13965824.84</v>
      </c>
      <c r="E10" s="184"/>
      <c r="F10" s="179"/>
      <c r="G10" s="179">
        <v>202949.84000000003</v>
      </c>
      <c r="H10" s="179">
        <f aca="true" t="shared" si="0" ref="H10:H72">SUM(B10:G10)</f>
        <v>146540072.61</v>
      </c>
      <c r="I10" s="404" t="s">
        <v>279</v>
      </c>
      <c r="K10" s="89"/>
    </row>
    <row r="11" spans="1:11" ht="22.5" customHeight="1">
      <c r="A11" s="346" t="s">
        <v>143</v>
      </c>
      <c r="B11" s="147">
        <v>183943.56</v>
      </c>
      <c r="C11" s="147">
        <v>183943.56</v>
      </c>
      <c r="D11" s="147">
        <v>183943.56</v>
      </c>
      <c r="E11" s="147">
        <v>91971.82</v>
      </c>
      <c r="F11" s="147"/>
      <c r="G11" s="147">
        <v>91971.82</v>
      </c>
      <c r="H11" s="179">
        <f t="shared" si="0"/>
        <v>735774.3200000001</v>
      </c>
      <c r="I11" s="404" t="s">
        <v>279</v>
      </c>
      <c r="K11" s="89"/>
    </row>
    <row r="12" spans="1:9" ht="21.75">
      <c r="A12" s="152" t="s">
        <v>63</v>
      </c>
      <c r="B12" s="437"/>
      <c r="C12" s="437"/>
      <c r="D12" s="437"/>
      <c r="E12" s="437"/>
      <c r="F12" s="322"/>
      <c r="G12" s="322"/>
      <c r="H12" s="179"/>
      <c r="I12" s="181"/>
    </row>
    <row r="13" spans="1:9" ht="21.75">
      <c r="A13" s="521" t="s">
        <v>93</v>
      </c>
      <c r="B13" s="179">
        <v>220000</v>
      </c>
      <c r="C13" s="179"/>
      <c r="D13" s="179"/>
      <c r="E13" s="179"/>
      <c r="F13" s="179"/>
      <c r="G13" s="179"/>
      <c r="H13" s="179">
        <f t="shared" si="0"/>
        <v>220000</v>
      </c>
      <c r="I13" s="425" t="s">
        <v>494</v>
      </c>
    </row>
    <row r="14" spans="1:11" ht="21.75">
      <c r="A14" s="804" t="s">
        <v>128</v>
      </c>
      <c r="B14" s="179">
        <v>8480000</v>
      </c>
      <c r="C14" s="502"/>
      <c r="D14" s="502"/>
      <c r="E14" s="502"/>
      <c r="F14" s="502"/>
      <c r="G14" s="410"/>
      <c r="H14" s="179">
        <f t="shared" si="0"/>
        <v>8480000</v>
      </c>
      <c r="I14" s="182" t="s">
        <v>150</v>
      </c>
      <c r="K14" s="89"/>
    </row>
    <row r="15" spans="1:11" ht="21.75">
      <c r="A15" s="805"/>
      <c r="B15" s="502"/>
      <c r="C15" s="502"/>
      <c r="D15" s="502"/>
      <c r="E15" s="502"/>
      <c r="F15" s="502"/>
      <c r="G15" s="411">
        <v>2704496</v>
      </c>
      <c r="H15" s="179">
        <f t="shared" si="0"/>
        <v>2704496</v>
      </c>
      <c r="I15" s="425" t="s">
        <v>494</v>
      </c>
      <c r="K15" s="89"/>
    </row>
    <row r="16" spans="1:10" ht="46.5">
      <c r="A16" s="754" t="s">
        <v>974</v>
      </c>
      <c r="B16" s="183"/>
      <c r="C16" s="183"/>
      <c r="D16" s="412"/>
      <c r="E16" s="412"/>
      <c r="F16" s="413"/>
      <c r="G16" s="183"/>
      <c r="H16" s="179"/>
      <c r="I16" s="181"/>
      <c r="J16" s="124"/>
    </row>
    <row r="17" spans="1:10" ht="21.75">
      <c r="A17" s="216" t="s">
        <v>94</v>
      </c>
      <c r="B17" s="264">
        <v>254700</v>
      </c>
      <c r="C17" s="264"/>
      <c r="D17" s="264"/>
      <c r="E17" s="264"/>
      <c r="F17" s="412"/>
      <c r="G17" s="264">
        <v>338000</v>
      </c>
      <c r="H17" s="179">
        <f t="shared" si="0"/>
        <v>592700</v>
      </c>
      <c r="I17" s="182" t="s">
        <v>495</v>
      </c>
      <c r="J17" s="124"/>
    </row>
    <row r="18" spans="1:9" ht="21.75">
      <c r="A18" s="259" t="s">
        <v>1000</v>
      </c>
      <c r="B18" s="264">
        <v>6369949.16</v>
      </c>
      <c r="C18" s="264">
        <v>1426229.1666666667</v>
      </c>
      <c r="D18" s="264">
        <v>2980574.1666666665</v>
      </c>
      <c r="E18" s="264">
        <v>3742839.1666666665</v>
      </c>
      <c r="F18" s="264">
        <v>508939.1666666667</v>
      </c>
      <c r="G18" s="264">
        <v>10211739.17</v>
      </c>
      <c r="H18" s="179">
        <f t="shared" si="0"/>
        <v>25240269.996666666</v>
      </c>
      <c r="I18" s="182" t="s">
        <v>495</v>
      </c>
    </row>
    <row r="19" spans="1:9" ht="21.75">
      <c r="A19" s="521" t="s">
        <v>93</v>
      </c>
      <c r="B19" s="184">
        <v>12075222.22</v>
      </c>
      <c r="C19" s="179">
        <v>3370002.222222222</v>
      </c>
      <c r="D19" s="179">
        <v>2850424.622222222</v>
      </c>
      <c r="E19" s="179">
        <v>522722.22</v>
      </c>
      <c r="F19" s="179">
        <v>1367617.224</v>
      </c>
      <c r="G19" s="179">
        <v>5766856.88</v>
      </c>
      <c r="H19" s="179">
        <f t="shared" si="0"/>
        <v>25952845.388444442</v>
      </c>
      <c r="I19" s="182" t="s">
        <v>495</v>
      </c>
    </row>
    <row r="20" spans="1:11" ht="21.75">
      <c r="A20" s="521" t="s">
        <v>998</v>
      </c>
      <c r="B20" s="406">
        <v>279400</v>
      </c>
      <c r="C20" s="180">
        <v>833120</v>
      </c>
      <c r="D20" s="180">
        <v>215616</v>
      </c>
      <c r="E20" s="180">
        <v>290000</v>
      </c>
      <c r="F20" s="180"/>
      <c r="G20" s="179">
        <v>4265000</v>
      </c>
      <c r="H20" s="179">
        <f t="shared" si="0"/>
        <v>5883136</v>
      </c>
      <c r="I20" s="182" t="s">
        <v>495</v>
      </c>
      <c r="J20" s="218"/>
      <c r="K20" s="89"/>
    </row>
    <row r="21" spans="1:11" ht="21.75">
      <c r="A21" s="755" t="s">
        <v>997</v>
      </c>
      <c r="B21" s="406">
        <v>2883900</v>
      </c>
      <c r="C21" s="180">
        <v>250000</v>
      </c>
      <c r="D21" s="180">
        <v>944800</v>
      </c>
      <c r="E21" s="180">
        <v>200000</v>
      </c>
      <c r="F21" s="180">
        <v>87545</v>
      </c>
      <c r="G21" s="179">
        <v>1637550</v>
      </c>
      <c r="H21" s="179">
        <f t="shared" si="0"/>
        <v>6003795</v>
      </c>
      <c r="I21" s="182" t="s">
        <v>495</v>
      </c>
      <c r="J21" s="218"/>
      <c r="K21" s="89"/>
    </row>
    <row r="22" spans="1:11" ht="21" customHeight="1">
      <c r="A22" s="522" t="s">
        <v>102</v>
      </c>
      <c r="B22" s="406">
        <v>10949900</v>
      </c>
      <c r="C22" s="180">
        <v>165000</v>
      </c>
      <c r="D22" s="180">
        <v>1727210</v>
      </c>
      <c r="E22" s="180">
        <v>1423600</v>
      </c>
      <c r="F22" s="180">
        <v>847500</v>
      </c>
      <c r="G22" s="179">
        <v>7936300</v>
      </c>
      <c r="H22" s="179">
        <f t="shared" si="0"/>
        <v>23049510</v>
      </c>
      <c r="I22" s="182" t="s">
        <v>151</v>
      </c>
      <c r="J22" s="89"/>
      <c r="K22" s="89"/>
    </row>
    <row r="23" spans="1:11" ht="21" customHeight="1">
      <c r="A23" s="423" t="s">
        <v>324</v>
      </c>
      <c r="B23" s="155">
        <v>5743559.25</v>
      </c>
      <c r="C23" s="155">
        <v>1548050.6333333729</v>
      </c>
      <c r="D23" s="155">
        <v>2135842.6333332537</v>
      </c>
      <c r="E23" s="155">
        <v>1366681.6433333373</v>
      </c>
      <c r="F23" s="155">
        <v>1469590.62</v>
      </c>
      <c r="G23" s="184">
        <v>7528546.23</v>
      </c>
      <c r="H23" s="179">
        <f t="shared" si="0"/>
        <v>19792271.009999964</v>
      </c>
      <c r="I23" s="182" t="s">
        <v>495</v>
      </c>
      <c r="J23" s="89"/>
      <c r="K23" s="89"/>
    </row>
    <row r="24" spans="1:9" ht="20.25" customHeight="1">
      <c r="A24" s="188" t="s">
        <v>143</v>
      </c>
      <c r="B24" s="262">
        <v>504700</v>
      </c>
      <c r="C24" s="262">
        <v>425074.5</v>
      </c>
      <c r="D24" s="262">
        <v>1052945</v>
      </c>
      <c r="E24" s="262"/>
      <c r="F24" s="262">
        <v>453000</v>
      </c>
      <c r="G24" s="184"/>
      <c r="H24" s="179">
        <f t="shared" si="0"/>
        <v>2435719.5</v>
      </c>
      <c r="I24" s="182" t="s">
        <v>495</v>
      </c>
    </row>
    <row r="25" spans="1:11" ht="21.75">
      <c r="A25" s="810" t="s">
        <v>128</v>
      </c>
      <c r="B25" s="327">
        <v>24603963.33</v>
      </c>
      <c r="C25" s="327">
        <v>4940735</v>
      </c>
      <c r="D25" s="327">
        <v>6124953.34</v>
      </c>
      <c r="E25" s="327">
        <v>3202148.33</v>
      </c>
      <c r="F25" s="327">
        <v>1004290</v>
      </c>
      <c r="G25" s="499">
        <v>16935688</v>
      </c>
      <c r="H25" s="179">
        <f t="shared" si="0"/>
        <v>56811778</v>
      </c>
      <c r="I25" s="182" t="s">
        <v>495</v>
      </c>
      <c r="K25" s="221"/>
    </row>
    <row r="26" spans="1:9" ht="21" customHeight="1">
      <c r="A26" s="805"/>
      <c r="B26" s="184"/>
      <c r="C26" s="184"/>
      <c r="D26" s="184"/>
      <c r="E26" s="184"/>
      <c r="F26" s="184"/>
      <c r="G26" s="406">
        <v>3839475.39</v>
      </c>
      <c r="H26" s="179">
        <f t="shared" si="0"/>
        <v>3839475.39</v>
      </c>
      <c r="I26" s="323" t="s">
        <v>496</v>
      </c>
    </row>
    <row r="27" spans="1:9" ht="21" customHeight="1">
      <c r="A27" s="642" t="s">
        <v>311</v>
      </c>
      <c r="B27" s="503"/>
      <c r="C27" s="503"/>
      <c r="D27" s="503"/>
      <c r="E27" s="503"/>
      <c r="F27" s="504"/>
      <c r="G27" s="503"/>
      <c r="H27" s="179"/>
      <c r="I27" s="181"/>
    </row>
    <row r="28" spans="1:11" ht="23.25">
      <c r="A28" s="414" t="s">
        <v>1007</v>
      </c>
      <c r="B28" s="503"/>
      <c r="C28" s="499">
        <v>690000</v>
      </c>
      <c r="D28" s="503"/>
      <c r="E28" s="503"/>
      <c r="F28" s="504"/>
      <c r="G28" s="503"/>
      <c r="H28" s="179">
        <f t="shared" si="0"/>
        <v>690000</v>
      </c>
      <c r="I28" s="182" t="s">
        <v>150</v>
      </c>
      <c r="K28" s="89"/>
    </row>
    <row r="29" spans="1:9" ht="21.75">
      <c r="A29" s="414" t="s">
        <v>128</v>
      </c>
      <c r="B29" s="181"/>
      <c r="C29" s="179"/>
      <c r="D29" s="179"/>
      <c r="E29" s="179"/>
      <c r="F29" s="497"/>
      <c r="G29" s="497">
        <v>22631797.72</v>
      </c>
      <c r="H29" s="179">
        <f t="shared" si="0"/>
        <v>22631797.72</v>
      </c>
      <c r="I29" s="323" t="s">
        <v>496</v>
      </c>
    </row>
    <row r="30" spans="1:9" ht="21.75">
      <c r="A30" s="186" t="s">
        <v>64</v>
      </c>
      <c r="B30" s="322"/>
      <c r="C30" s="322"/>
      <c r="D30" s="322"/>
      <c r="E30" s="322"/>
      <c r="F30" s="496"/>
      <c r="G30" s="488"/>
      <c r="H30" s="179"/>
      <c r="I30" s="487"/>
    </row>
    <row r="31" spans="1:11" ht="21" customHeight="1">
      <c r="A31" s="414" t="s">
        <v>128</v>
      </c>
      <c r="B31" s="181"/>
      <c r="C31" s="179"/>
      <c r="D31" s="181"/>
      <c r="E31" s="181"/>
      <c r="F31" s="415"/>
      <c r="G31" s="415">
        <v>48422229.94</v>
      </c>
      <c r="H31" s="179">
        <f t="shared" si="0"/>
        <v>48422229.94</v>
      </c>
      <c r="I31" s="323" t="s">
        <v>496</v>
      </c>
      <c r="K31" s="89"/>
    </row>
    <row r="32" spans="1:9" ht="21" customHeight="1">
      <c r="A32" s="186" t="s">
        <v>67</v>
      </c>
      <c r="B32" s="181"/>
      <c r="C32" s="181"/>
      <c r="D32" s="181"/>
      <c r="E32" s="181"/>
      <c r="F32" s="181"/>
      <c r="G32" s="409"/>
      <c r="H32" s="179"/>
      <c r="I32" s="323"/>
    </row>
    <row r="33" spans="1:11" ht="20.25" customHeight="1">
      <c r="A33" s="597" t="s">
        <v>980</v>
      </c>
      <c r="B33" s="179">
        <v>10727500</v>
      </c>
      <c r="C33" s="179">
        <v>4038600</v>
      </c>
      <c r="D33" s="179">
        <v>5641320</v>
      </c>
      <c r="E33" s="179">
        <v>4386580</v>
      </c>
      <c r="F33" s="179"/>
      <c r="G33" s="181"/>
      <c r="H33" s="179">
        <f t="shared" si="0"/>
        <v>24794000</v>
      </c>
      <c r="I33" s="182" t="s">
        <v>979</v>
      </c>
      <c r="K33" s="90"/>
    </row>
    <row r="34" spans="1:9" ht="21" customHeight="1">
      <c r="A34" s="414" t="s">
        <v>128</v>
      </c>
      <c r="B34" s="179"/>
      <c r="C34" s="179"/>
      <c r="D34" s="179"/>
      <c r="E34" s="179"/>
      <c r="F34" s="179"/>
      <c r="G34" s="179">
        <v>2599290.14</v>
      </c>
      <c r="H34" s="179">
        <f t="shared" si="0"/>
        <v>2599290.14</v>
      </c>
      <c r="I34" s="323" t="s">
        <v>496</v>
      </c>
    </row>
    <row r="35" spans="1:11" ht="21" customHeight="1">
      <c r="A35" s="186" t="s">
        <v>95</v>
      </c>
      <c r="B35" s="181"/>
      <c r="C35" s="181"/>
      <c r="D35" s="181"/>
      <c r="E35" s="181"/>
      <c r="F35" s="181"/>
      <c r="G35" s="179"/>
      <c r="H35" s="179"/>
      <c r="I35" s="182"/>
      <c r="K35" s="89"/>
    </row>
    <row r="36" spans="1:11" ht="21" customHeight="1">
      <c r="A36" s="346" t="s">
        <v>132</v>
      </c>
      <c r="B36" s="179">
        <v>1978988</v>
      </c>
      <c r="C36" s="179">
        <v>700678</v>
      </c>
      <c r="D36" s="181"/>
      <c r="E36" s="181"/>
      <c r="F36" s="181"/>
      <c r="G36" s="184"/>
      <c r="H36" s="179">
        <f t="shared" si="0"/>
        <v>2679666</v>
      </c>
      <c r="I36" s="323" t="s">
        <v>225</v>
      </c>
      <c r="K36" s="89"/>
    </row>
    <row r="37" spans="1:9" ht="20.25" customHeight="1">
      <c r="A37" s="811" t="s">
        <v>478</v>
      </c>
      <c r="B37" s="179"/>
      <c r="C37" s="179"/>
      <c r="D37" s="181"/>
      <c r="E37" s="181"/>
      <c r="F37" s="417"/>
      <c r="G37" s="184">
        <v>80600</v>
      </c>
      <c r="H37" s="179">
        <f t="shared" si="0"/>
        <v>80600</v>
      </c>
      <c r="I37" s="182" t="s">
        <v>497</v>
      </c>
    </row>
    <row r="38" spans="1:9" ht="20.25" customHeight="1">
      <c r="A38" s="812"/>
      <c r="B38" s="179"/>
      <c r="C38" s="179"/>
      <c r="D38" s="181"/>
      <c r="E38" s="181"/>
      <c r="F38" s="181"/>
      <c r="G38" s="184">
        <v>5661999.36</v>
      </c>
      <c r="H38" s="179">
        <f t="shared" si="0"/>
        <v>5661999.36</v>
      </c>
      <c r="I38" s="323" t="s">
        <v>496</v>
      </c>
    </row>
    <row r="39" spans="1:9" ht="21" customHeight="1">
      <c r="A39" s="346" t="s">
        <v>481</v>
      </c>
      <c r="B39" s="179"/>
      <c r="C39" s="179"/>
      <c r="D39" s="181"/>
      <c r="E39" s="181"/>
      <c r="F39" s="181"/>
      <c r="G39" s="179">
        <v>4652319.4</v>
      </c>
      <c r="H39" s="179">
        <f t="shared" si="0"/>
        <v>4652319.4</v>
      </c>
      <c r="I39" s="323" t="s">
        <v>496</v>
      </c>
    </row>
    <row r="40" spans="1:9" ht="19.5" customHeight="1">
      <c r="A40" s="346" t="s">
        <v>981</v>
      </c>
      <c r="B40" s="179"/>
      <c r="C40" s="179"/>
      <c r="D40" s="181"/>
      <c r="E40" s="181"/>
      <c r="F40" s="181"/>
      <c r="G40" s="179">
        <v>2227201</v>
      </c>
      <c r="H40" s="179">
        <f t="shared" si="0"/>
        <v>2227201</v>
      </c>
      <c r="I40" s="323" t="s">
        <v>496</v>
      </c>
    </row>
    <row r="41" spans="1:11" ht="21" customHeight="1">
      <c r="A41" s="498" t="s">
        <v>160</v>
      </c>
      <c r="B41" s="181"/>
      <c r="C41" s="179"/>
      <c r="D41" s="179"/>
      <c r="E41" s="179"/>
      <c r="F41" s="179"/>
      <c r="G41" s="184">
        <v>38898550.17</v>
      </c>
      <c r="H41" s="179">
        <f t="shared" si="0"/>
        <v>38898550.17</v>
      </c>
      <c r="I41" s="323" t="s">
        <v>496</v>
      </c>
      <c r="K41" s="89"/>
    </row>
    <row r="42" spans="1:9" ht="21" customHeight="1">
      <c r="A42" s="186" t="s">
        <v>70</v>
      </c>
      <c r="B42" s="180"/>
      <c r="C42" s="180"/>
      <c r="D42" s="180"/>
      <c r="E42" s="180"/>
      <c r="F42" s="180"/>
      <c r="G42" s="184"/>
      <c r="H42" s="179"/>
      <c r="I42" s="323"/>
    </row>
    <row r="43" spans="1:9" ht="21" customHeight="1">
      <c r="A43" s="188" t="s">
        <v>96</v>
      </c>
      <c r="B43" s="184">
        <v>1355022.5</v>
      </c>
      <c r="C43" s="184">
        <v>827972.5</v>
      </c>
      <c r="D43" s="184">
        <v>152582.5</v>
      </c>
      <c r="E43" s="184">
        <v>157582.5</v>
      </c>
      <c r="F43" s="756"/>
      <c r="G43" s="184">
        <v>5960</v>
      </c>
      <c r="H43" s="179">
        <f t="shared" si="0"/>
        <v>2499120</v>
      </c>
      <c r="I43" s="182" t="s">
        <v>477</v>
      </c>
    </row>
    <row r="44" spans="1:11" ht="21" customHeight="1">
      <c r="A44" s="186" t="s">
        <v>71</v>
      </c>
      <c r="B44" s="178"/>
      <c r="C44" s="178"/>
      <c r="D44" s="178"/>
      <c r="E44" s="178"/>
      <c r="F44" s="596"/>
      <c r="G44" s="269"/>
      <c r="H44" s="179"/>
      <c r="I44" s="323"/>
      <c r="K44" s="89"/>
    </row>
    <row r="45" spans="1:11" ht="21" customHeight="1">
      <c r="A45" s="259" t="s">
        <v>1000</v>
      </c>
      <c r="B45" s="178"/>
      <c r="C45" s="178"/>
      <c r="D45" s="178">
        <v>20274.75</v>
      </c>
      <c r="E45" s="178"/>
      <c r="F45" s="596"/>
      <c r="G45" s="269"/>
      <c r="H45" s="179">
        <f t="shared" si="0"/>
        <v>20274.75</v>
      </c>
      <c r="I45" s="182" t="s">
        <v>477</v>
      </c>
      <c r="K45" s="89"/>
    </row>
    <row r="46" spans="1:11" ht="21" customHeight="1">
      <c r="A46" s="414" t="s">
        <v>160</v>
      </c>
      <c r="B46" s="179"/>
      <c r="C46" s="179"/>
      <c r="D46" s="179"/>
      <c r="E46" s="179"/>
      <c r="F46" s="181"/>
      <c r="G46" s="184">
        <v>76610969.62</v>
      </c>
      <c r="H46" s="179">
        <f t="shared" si="0"/>
        <v>76610969.62</v>
      </c>
      <c r="I46" s="323" t="s">
        <v>496</v>
      </c>
      <c r="K46" s="89"/>
    </row>
    <row r="47" spans="1:11" ht="21" customHeight="1">
      <c r="A47" s="416" t="s">
        <v>75</v>
      </c>
      <c r="B47" s="178"/>
      <c r="C47" s="178"/>
      <c r="D47" s="418"/>
      <c r="E47" s="168"/>
      <c r="F47" s="168"/>
      <c r="G47" s="428"/>
      <c r="H47" s="179"/>
      <c r="I47" s="185"/>
      <c r="K47" s="89"/>
    </row>
    <row r="48" spans="1:11" ht="21" customHeight="1">
      <c r="A48" s="216" t="s">
        <v>102</v>
      </c>
      <c r="B48" s="179">
        <v>288296.36</v>
      </c>
      <c r="C48" s="179">
        <v>465948.18</v>
      </c>
      <c r="D48" s="418"/>
      <c r="E48" s="168">
        <v>138296.36</v>
      </c>
      <c r="F48" s="168">
        <v>414889.1</v>
      </c>
      <c r="G48" s="236">
        <v>327505.98</v>
      </c>
      <c r="H48" s="179">
        <f t="shared" si="0"/>
        <v>1634935.98</v>
      </c>
      <c r="I48" s="182" t="s">
        <v>149</v>
      </c>
      <c r="K48" s="89"/>
    </row>
    <row r="49" spans="1:11" ht="21" customHeight="1">
      <c r="A49" s="419" t="s">
        <v>191</v>
      </c>
      <c r="B49" s="179"/>
      <c r="C49" s="179"/>
      <c r="D49" s="418"/>
      <c r="E49" s="168"/>
      <c r="F49" s="168"/>
      <c r="G49" s="168">
        <v>103084601.41</v>
      </c>
      <c r="H49" s="179">
        <f t="shared" si="0"/>
        <v>103084601.41</v>
      </c>
      <c r="I49" s="425" t="s">
        <v>494</v>
      </c>
      <c r="K49" s="89"/>
    </row>
    <row r="50" spans="1:11" ht="21" customHeight="1">
      <c r="A50" s="643" t="s">
        <v>73</v>
      </c>
      <c r="B50" s="179"/>
      <c r="C50" s="179"/>
      <c r="D50" s="418"/>
      <c r="E50" s="168"/>
      <c r="F50" s="168"/>
      <c r="G50" s="420"/>
      <c r="H50" s="179"/>
      <c r="I50" s="421"/>
      <c r="K50" s="89"/>
    </row>
    <row r="51" spans="1:11" ht="21" customHeight="1">
      <c r="A51" s="188" t="s">
        <v>143</v>
      </c>
      <c r="B51" s="179">
        <v>1922836.16</v>
      </c>
      <c r="C51" s="179">
        <v>3347195.62</v>
      </c>
      <c r="D51" s="418">
        <v>1158091.13</v>
      </c>
      <c r="E51" s="168">
        <v>192368</v>
      </c>
      <c r="F51" s="168"/>
      <c r="G51" s="168">
        <v>388856.03</v>
      </c>
      <c r="H51" s="179">
        <f t="shared" si="0"/>
        <v>7009346.94</v>
      </c>
      <c r="I51" s="182" t="s">
        <v>498</v>
      </c>
      <c r="K51" s="89"/>
    </row>
    <row r="52" spans="1:9" ht="21" customHeight="1">
      <c r="A52" s="419" t="s">
        <v>191</v>
      </c>
      <c r="B52" s="179"/>
      <c r="C52" s="179"/>
      <c r="D52" s="418"/>
      <c r="E52" s="168"/>
      <c r="F52" s="168"/>
      <c r="G52" s="420">
        <v>23054613.35</v>
      </c>
      <c r="H52" s="179">
        <f t="shared" si="0"/>
        <v>23054613.35</v>
      </c>
      <c r="I52" s="323" t="s">
        <v>494</v>
      </c>
    </row>
    <row r="53" spans="1:11" ht="23.25">
      <c r="A53" s="644" t="s">
        <v>65</v>
      </c>
      <c r="B53" s="179"/>
      <c r="C53" s="179"/>
      <c r="D53" s="418"/>
      <c r="E53" s="168"/>
      <c r="F53" s="168"/>
      <c r="G53" s="420"/>
      <c r="H53" s="179"/>
      <c r="I53" s="421"/>
      <c r="K53" s="89"/>
    </row>
    <row r="54" spans="1:11" ht="21.75">
      <c r="A54" s="188" t="s">
        <v>325</v>
      </c>
      <c r="B54" s="179">
        <v>29800</v>
      </c>
      <c r="C54" s="179">
        <v>68146</v>
      </c>
      <c r="D54" s="418">
        <v>87421</v>
      </c>
      <c r="E54" s="168">
        <v>68725</v>
      </c>
      <c r="F54" s="168"/>
      <c r="G54" s="168">
        <v>136956</v>
      </c>
      <c r="H54" s="179">
        <f t="shared" si="0"/>
        <v>391048</v>
      </c>
      <c r="I54" s="182" t="s">
        <v>499</v>
      </c>
      <c r="K54" s="89"/>
    </row>
    <row r="55" spans="1:11" ht="21.75">
      <c r="A55" s="419" t="s">
        <v>191</v>
      </c>
      <c r="B55" s="179"/>
      <c r="C55" s="179"/>
      <c r="D55" s="418"/>
      <c r="E55" s="168"/>
      <c r="F55" s="168"/>
      <c r="G55" s="325">
        <v>7941304.390000001</v>
      </c>
      <c r="H55" s="179">
        <f t="shared" si="0"/>
        <v>7941304.390000001</v>
      </c>
      <c r="I55" s="323" t="s">
        <v>494</v>
      </c>
      <c r="K55" s="89"/>
    </row>
    <row r="56" spans="1:11" ht="23.25">
      <c r="A56" s="424" t="s">
        <v>62</v>
      </c>
      <c r="B56" s="179"/>
      <c r="C56" s="179"/>
      <c r="D56" s="187"/>
      <c r="E56" s="168"/>
      <c r="F56" s="168"/>
      <c r="G56" s="422"/>
      <c r="H56" s="179"/>
      <c r="I56" s="426"/>
      <c r="K56" s="89"/>
    </row>
    <row r="57" spans="1:11" ht="21.75">
      <c r="A57" s="419" t="s">
        <v>272</v>
      </c>
      <c r="B57" s="179">
        <v>171359185</v>
      </c>
      <c r="C57" s="179"/>
      <c r="D57" s="187">
        <v>632356916</v>
      </c>
      <c r="E57" s="178"/>
      <c r="F57" s="178"/>
      <c r="G57" s="178">
        <v>174291</v>
      </c>
      <c r="H57" s="179">
        <f t="shared" si="0"/>
        <v>803890392</v>
      </c>
      <c r="I57" s="182" t="s">
        <v>477</v>
      </c>
      <c r="K57" s="89"/>
    </row>
    <row r="58" spans="1:11" ht="21.75">
      <c r="A58" s="419" t="s">
        <v>98</v>
      </c>
      <c r="B58" s="179"/>
      <c r="C58" s="180"/>
      <c r="D58" s="187"/>
      <c r="E58" s="178"/>
      <c r="F58" s="178"/>
      <c r="G58" s="168">
        <v>5425886.380000001</v>
      </c>
      <c r="H58" s="179">
        <f t="shared" si="0"/>
        <v>5425886.380000001</v>
      </c>
      <c r="I58" s="323" t="s">
        <v>494</v>
      </c>
      <c r="K58" s="89"/>
    </row>
    <row r="59" spans="1:11" ht="23.25">
      <c r="A59" s="424" t="s">
        <v>72</v>
      </c>
      <c r="B59" s="179"/>
      <c r="C59" s="180"/>
      <c r="D59" s="187"/>
      <c r="E59" s="179"/>
      <c r="F59" s="179"/>
      <c r="G59" s="422"/>
      <c r="H59" s="179"/>
      <c r="I59" s="323"/>
      <c r="K59" s="89"/>
    </row>
    <row r="60" spans="1:11" ht="21.75">
      <c r="A60" s="806" t="s">
        <v>98</v>
      </c>
      <c r="B60" s="179">
        <v>713502.5</v>
      </c>
      <c r="C60" s="179">
        <v>713502.5</v>
      </c>
      <c r="D60" s="418">
        <v>713502.5</v>
      </c>
      <c r="E60" s="168">
        <v>713502.5</v>
      </c>
      <c r="F60" s="168"/>
      <c r="G60" s="168">
        <v>4994517.5</v>
      </c>
      <c r="H60" s="179">
        <f t="shared" si="0"/>
        <v>7848527.5</v>
      </c>
      <c r="I60" s="421" t="s">
        <v>1005</v>
      </c>
      <c r="K60" s="89"/>
    </row>
    <row r="61" spans="1:11" ht="21.75">
      <c r="A61" s="807"/>
      <c r="B61" s="179"/>
      <c r="C61" s="179"/>
      <c r="D61" s="418"/>
      <c r="E61" s="168"/>
      <c r="F61" s="168"/>
      <c r="G61" s="422">
        <v>926004.1</v>
      </c>
      <c r="H61" s="179">
        <f t="shared" si="0"/>
        <v>926004.1</v>
      </c>
      <c r="I61" s="323" t="s">
        <v>494</v>
      </c>
      <c r="K61" s="89"/>
    </row>
    <row r="62" spans="1:11" ht="23.25">
      <c r="A62" s="424" t="s">
        <v>77</v>
      </c>
      <c r="B62" s="179"/>
      <c r="C62" s="179"/>
      <c r="D62" s="427"/>
      <c r="E62" s="428"/>
      <c r="F62" s="428"/>
      <c r="G62" s="422"/>
      <c r="H62" s="179"/>
      <c r="I62" s="421"/>
      <c r="K62" s="89"/>
    </row>
    <row r="63" spans="1:11" ht="21.75">
      <c r="A63" s="419" t="s">
        <v>98</v>
      </c>
      <c r="B63" s="179"/>
      <c r="C63" s="179"/>
      <c r="D63" s="427"/>
      <c r="E63" s="428"/>
      <c r="F63" s="428"/>
      <c r="G63" s="422">
        <v>600787.85</v>
      </c>
      <c r="H63" s="179">
        <f t="shared" si="0"/>
        <v>600787.85</v>
      </c>
      <c r="I63" s="323" t="s">
        <v>494</v>
      </c>
      <c r="K63" s="89"/>
    </row>
    <row r="64" spans="1:11" ht="23.25">
      <c r="A64" s="424" t="s">
        <v>76</v>
      </c>
      <c r="B64" s="184"/>
      <c r="C64" s="184"/>
      <c r="D64" s="187"/>
      <c r="E64" s="184"/>
      <c r="F64" s="184"/>
      <c r="G64" s="422"/>
      <c r="H64" s="179"/>
      <c r="I64" s="425"/>
      <c r="K64" s="89"/>
    </row>
    <row r="65" spans="1:11" ht="21.75">
      <c r="A65" s="808" t="s">
        <v>274</v>
      </c>
      <c r="B65" s="184">
        <v>7073</v>
      </c>
      <c r="C65" s="184">
        <v>56370</v>
      </c>
      <c r="D65" s="187"/>
      <c r="E65" s="184"/>
      <c r="F65" s="184"/>
      <c r="G65" s="637">
        <v>23605</v>
      </c>
      <c r="H65" s="179">
        <f t="shared" si="0"/>
        <v>87048</v>
      </c>
      <c r="I65" s="638" t="s">
        <v>190</v>
      </c>
      <c r="K65" s="89"/>
    </row>
    <row r="66" spans="1:11" ht="21.75">
      <c r="A66" s="809"/>
      <c r="B66" s="184"/>
      <c r="C66" s="184"/>
      <c r="D66" s="187"/>
      <c r="E66" s="184"/>
      <c r="F66" s="184"/>
      <c r="G66" s="637">
        <v>9197.13</v>
      </c>
      <c r="H66" s="179">
        <f t="shared" si="0"/>
        <v>9197.13</v>
      </c>
      <c r="I66" s="639" t="s">
        <v>494</v>
      </c>
      <c r="K66" s="89"/>
    </row>
    <row r="67" spans="1:9" ht="21.75">
      <c r="A67" s="808" t="s">
        <v>479</v>
      </c>
      <c r="B67" s="184">
        <v>161949.1</v>
      </c>
      <c r="C67" s="184">
        <v>161949.1</v>
      </c>
      <c r="D67" s="187">
        <v>161949.1</v>
      </c>
      <c r="E67" s="184"/>
      <c r="F67" s="184">
        <v>161949.1</v>
      </c>
      <c r="G67" s="637">
        <v>1943389.2000000002</v>
      </c>
      <c r="H67" s="179">
        <f t="shared" si="0"/>
        <v>2591185.6</v>
      </c>
      <c r="I67" s="638" t="s">
        <v>190</v>
      </c>
    </row>
    <row r="68" spans="1:9" ht="21.75">
      <c r="A68" s="809"/>
      <c r="B68" s="184"/>
      <c r="C68" s="184"/>
      <c r="D68" s="187"/>
      <c r="E68" s="184"/>
      <c r="F68" s="184"/>
      <c r="G68" s="640">
        <f>301150+2853000</f>
        <v>3154150</v>
      </c>
      <c r="H68" s="179">
        <f t="shared" si="0"/>
        <v>3154150</v>
      </c>
      <c r="I68" s="639" t="s">
        <v>494</v>
      </c>
    </row>
    <row r="69" spans="1:9" ht="21.75">
      <c r="A69" s="192" t="s">
        <v>98</v>
      </c>
      <c r="B69" s="184"/>
      <c r="C69" s="184"/>
      <c r="D69" s="187"/>
      <c r="E69" s="184"/>
      <c r="F69" s="184"/>
      <c r="G69" s="606">
        <v>5284715.83</v>
      </c>
      <c r="H69" s="179">
        <f t="shared" si="0"/>
        <v>5284715.83</v>
      </c>
      <c r="I69" s="639" t="s">
        <v>494</v>
      </c>
    </row>
    <row r="70" spans="1:9" ht="46.5">
      <c r="A70" s="485" t="s">
        <v>426</v>
      </c>
      <c r="B70" s="180"/>
      <c r="C70" s="180"/>
      <c r="D70" s="486"/>
      <c r="E70" s="180"/>
      <c r="F70" s="180"/>
      <c r="G70" s="422"/>
      <c r="H70" s="179"/>
      <c r="I70" s="185"/>
    </row>
    <row r="71" spans="1:10" ht="21" customHeight="1">
      <c r="A71" s="188" t="s">
        <v>143</v>
      </c>
      <c r="B71" s="320">
        <v>35332</v>
      </c>
      <c r="C71" s="320">
        <v>35332</v>
      </c>
      <c r="D71" s="320">
        <v>35332</v>
      </c>
      <c r="E71" s="320">
        <v>35332</v>
      </c>
      <c r="F71" s="320"/>
      <c r="G71" s="320">
        <f>211992-30107</f>
        <v>181885</v>
      </c>
      <c r="H71" s="179">
        <f t="shared" si="0"/>
        <v>323213</v>
      </c>
      <c r="I71" s="182" t="s">
        <v>190</v>
      </c>
      <c r="J71" s="95"/>
    </row>
    <row r="72" spans="1:10" ht="21" customHeight="1">
      <c r="A72" s="419" t="s">
        <v>191</v>
      </c>
      <c r="B72" s="178"/>
      <c r="C72" s="225"/>
      <c r="D72" s="326"/>
      <c r="E72" s="178"/>
      <c r="F72" s="178"/>
      <c r="G72" s="178">
        <v>8640200</v>
      </c>
      <c r="H72" s="179">
        <f t="shared" si="0"/>
        <v>8640200</v>
      </c>
      <c r="I72" s="425" t="s">
        <v>494</v>
      </c>
      <c r="J72" s="95"/>
    </row>
    <row r="73" spans="1:11" ht="23.25">
      <c r="A73" s="424" t="s">
        <v>488</v>
      </c>
      <c r="B73" s="179"/>
      <c r="C73" s="180"/>
      <c r="D73" s="181"/>
      <c r="E73" s="179"/>
      <c r="F73" s="178"/>
      <c r="G73" s="178"/>
      <c r="H73" s="179"/>
      <c r="I73" s="425"/>
      <c r="J73" s="95"/>
      <c r="K73" s="89"/>
    </row>
    <row r="74" spans="1:11" ht="21.75">
      <c r="A74" s="419" t="s">
        <v>98</v>
      </c>
      <c r="B74" s="179"/>
      <c r="C74" s="180"/>
      <c r="D74" s="181"/>
      <c r="E74" s="179"/>
      <c r="F74" s="178"/>
      <c r="G74" s="178">
        <v>7232819.71</v>
      </c>
      <c r="H74" s="179">
        <f>SUM(B74:G74)</f>
        <v>7232819.71</v>
      </c>
      <c r="I74" s="425" t="s">
        <v>494</v>
      </c>
      <c r="J74" s="95"/>
      <c r="K74" s="89"/>
    </row>
    <row r="75" spans="1:11" ht="21.75">
      <c r="A75" s="189" t="s">
        <v>74</v>
      </c>
      <c r="B75" s="179"/>
      <c r="C75" s="180"/>
      <c r="D75" s="181"/>
      <c r="E75" s="179"/>
      <c r="F75" s="178"/>
      <c r="G75" s="179"/>
      <c r="H75" s="179"/>
      <c r="I75" s="182"/>
      <c r="J75" s="95"/>
      <c r="K75" s="89"/>
    </row>
    <row r="76" spans="1:11" ht="21.75">
      <c r="A76" s="521" t="s">
        <v>93</v>
      </c>
      <c r="B76" s="179"/>
      <c r="C76" s="180">
        <v>7298000</v>
      </c>
      <c r="D76" s="224"/>
      <c r="E76" s="225"/>
      <c r="F76" s="178"/>
      <c r="G76" s="371"/>
      <c r="H76" s="179">
        <f>SUM(B76:G76)</f>
        <v>7298000</v>
      </c>
      <c r="I76" s="182" t="s">
        <v>482</v>
      </c>
      <c r="J76" s="95"/>
      <c r="K76" s="89"/>
    </row>
    <row r="77" spans="1:11" ht="21.75">
      <c r="A77" s="188" t="s">
        <v>1002</v>
      </c>
      <c r="B77" s="179"/>
      <c r="C77" s="260"/>
      <c r="D77" s="179">
        <v>3901158.19</v>
      </c>
      <c r="E77" s="179"/>
      <c r="F77" s="178"/>
      <c r="G77" s="371"/>
      <c r="H77" s="179">
        <f>SUM(B77:G77)</f>
        <v>3901158.19</v>
      </c>
      <c r="I77" s="215" t="s">
        <v>1003</v>
      </c>
      <c r="J77" s="95"/>
      <c r="K77" s="89"/>
    </row>
    <row r="78" spans="1:11" ht="21.75">
      <c r="A78" s="216" t="s">
        <v>192</v>
      </c>
      <c r="B78" s="179"/>
      <c r="C78" s="179"/>
      <c r="D78" s="179"/>
      <c r="E78" s="179"/>
      <c r="F78" s="179"/>
      <c r="G78" s="408">
        <v>3200000</v>
      </c>
      <c r="H78" s="179">
        <f>SUM(B78:G78)</f>
        <v>3200000</v>
      </c>
      <c r="I78" s="215" t="s">
        <v>1004</v>
      </c>
      <c r="J78" s="95"/>
      <c r="K78" s="89"/>
    </row>
    <row r="79" spans="1:11" ht="21.75">
      <c r="A79" s="192" t="s">
        <v>98</v>
      </c>
      <c r="B79" s="184"/>
      <c r="C79" s="184"/>
      <c r="D79" s="184"/>
      <c r="E79" s="229"/>
      <c r="F79" s="500"/>
      <c r="G79" s="261">
        <v>114176308.39999999</v>
      </c>
      <c r="H79" s="179">
        <f>SUM(B79:G79)</f>
        <v>114176308.39999999</v>
      </c>
      <c r="I79" s="425" t="s">
        <v>494</v>
      </c>
      <c r="J79" s="95"/>
      <c r="K79" s="89"/>
    </row>
    <row r="80" spans="1:11" ht="21" customHeight="1">
      <c r="A80" s="520" t="s">
        <v>97</v>
      </c>
      <c r="B80" s="406"/>
      <c r="C80" s="184"/>
      <c r="D80" s="184"/>
      <c r="E80" s="229"/>
      <c r="F80" s="184"/>
      <c r="G80" s="261"/>
      <c r="H80" s="261"/>
      <c r="I80" s="425"/>
      <c r="K80" s="175"/>
    </row>
    <row r="81" spans="1:9" ht="21" customHeight="1">
      <c r="A81" s="430" t="s">
        <v>94</v>
      </c>
      <c r="B81" s="429">
        <v>12491500</v>
      </c>
      <c r="C81" s="429">
        <v>2972900</v>
      </c>
      <c r="D81" s="429">
        <v>3498100</v>
      </c>
      <c r="E81" s="429">
        <v>864100</v>
      </c>
      <c r="F81" s="184">
        <v>154700</v>
      </c>
      <c r="G81" s="184">
        <f>34971000-19826600-154700</f>
        <v>14989700</v>
      </c>
      <c r="H81" s="187">
        <f aca="true" t="shared" si="1" ref="H81:H100">SUM(B81:G81)</f>
        <v>34971000</v>
      </c>
      <c r="I81" s="824" t="s">
        <v>358</v>
      </c>
    </row>
    <row r="82" spans="1:9" ht="21" customHeight="1">
      <c r="A82" s="431" t="s">
        <v>359</v>
      </c>
      <c r="B82" s="429">
        <v>765700</v>
      </c>
      <c r="C82" s="519"/>
      <c r="D82" s="429"/>
      <c r="E82" s="429"/>
      <c r="F82" s="184"/>
      <c r="G82" s="184">
        <f>2341800-765700</f>
        <v>1576100</v>
      </c>
      <c r="H82" s="187">
        <f t="shared" si="1"/>
        <v>2341800</v>
      </c>
      <c r="I82" s="825"/>
    </row>
    <row r="83" spans="1:9" ht="21" customHeight="1">
      <c r="A83" s="430" t="s">
        <v>360</v>
      </c>
      <c r="B83" s="184">
        <v>203800</v>
      </c>
      <c r="C83" s="184">
        <v>801300</v>
      </c>
      <c r="D83" s="184">
        <v>355800</v>
      </c>
      <c r="E83" s="184">
        <v>349100</v>
      </c>
      <c r="F83" s="184"/>
      <c r="G83" s="184">
        <f>5044200-1710000</f>
        <v>3334200</v>
      </c>
      <c r="H83" s="187">
        <f t="shared" si="1"/>
        <v>5044200</v>
      </c>
      <c r="I83" s="407" t="s">
        <v>373</v>
      </c>
    </row>
    <row r="84" spans="1:9" ht="21" customHeight="1">
      <c r="A84" s="431" t="s">
        <v>93</v>
      </c>
      <c r="B84" s="184">
        <v>35252200</v>
      </c>
      <c r="C84" s="184">
        <v>33524100</v>
      </c>
      <c r="D84" s="184">
        <v>12349200</v>
      </c>
      <c r="E84" s="184">
        <v>8524600</v>
      </c>
      <c r="F84" s="184"/>
      <c r="G84" s="184">
        <f>128309100-89650100</f>
        <v>38659000</v>
      </c>
      <c r="H84" s="187">
        <f t="shared" si="1"/>
        <v>128309100</v>
      </c>
      <c r="I84" s="407" t="s">
        <v>373</v>
      </c>
    </row>
    <row r="85" spans="1:9" ht="21" customHeight="1">
      <c r="A85" s="431" t="s">
        <v>361</v>
      </c>
      <c r="B85" s="184">
        <v>255200</v>
      </c>
      <c r="C85" s="184">
        <v>492500</v>
      </c>
      <c r="D85" s="184">
        <v>417800</v>
      </c>
      <c r="E85" s="184">
        <v>333000</v>
      </c>
      <c r="F85" s="184">
        <v>35800</v>
      </c>
      <c r="G85" s="184">
        <f>10959800-1534300</f>
        <v>9425500</v>
      </c>
      <c r="H85" s="187">
        <f t="shared" si="1"/>
        <v>10959800</v>
      </c>
      <c r="I85" s="407" t="s">
        <v>373</v>
      </c>
    </row>
    <row r="86" spans="1:9" ht="21" customHeight="1">
      <c r="A86" s="431" t="s">
        <v>362</v>
      </c>
      <c r="B86" s="184">
        <v>628600</v>
      </c>
      <c r="C86" s="184">
        <v>599900</v>
      </c>
      <c r="D86" s="184">
        <v>733000</v>
      </c>
      <c r="E86" s="184">
        <v>622300</v>
      </c>
      <c r="F86" s="184">
        <v>143100</v>
      </c>
      <c r="G86" s="184">
        <f>9023000-2726900</f>
        <v>6296100</v>
      </c>
      <c r="H86" s="187">
        <f t="shared" si="1"/>
        <v>9023000</v>
      </c>
      <c r="I86" s="407" t="s">
        <v>373</v>
      </c>
    </row>
    <row r="87" spans="1:9" ht="21" customHeight="1">
      <c r="A87" s="431" t="s">
        <v>363</v>
      </c>
      <c r="B87" s="184"/>
      <c r="C87" s="184">
        <v>446700</v>
      </c>
      <c r="D87" s="184">
        <v>1244600</v>
      </c>
      <c r="E87" s="184"/>
      <c r="F87" s="184"/>
      <c r="G87" s="184">
        <f>3632200-1691300</f>
        <v>1940900</v>
      </c>
      <c r="H87" s="187">
        <f t="shared" si="1"/>
        <v>3632200</v>
      </c>
      <c r="I87" s="407" t="s">
        <v>373</v>
      </c>
    </row>
    <row r="88" spans="1:9" ht="21" customHeight="1">
      <c r="A88" s="431" t="s">
        <v>364</v>
      </c>
      <c r="B88" s="184">
        <v>90200</v>
      </c>
      <c r="C88" s="184">
        <v>135300</v>
      </c>
      <c r="D88" s="184">
        <v>135300</v>
      </c>
      <c r="E88" s="184">
        <v>45100</v>
      </c>
      <c r="F88" s="184"/>
      <c r="G88" s="184">
        <f>1037300-405900</f>
        <v>631400</v>
      </c>
      <c r="H88" s="187">
        <f t="shared" si="1"/>
        <v>1037300</v>
      </c>
      <c r="I88" s="407" t="s">
        <v>373</v>
      </c>
    </row>
    <row r="89" spans="1:9" ht="21" customHeight="1">
      <c r="A89" s="431" t="s">
        <v>135</v>
      </c>
      <c r="B89" s="184"/>
      <c r="C89" s="184">
        <v>306800</v>
      </c>
      <c r="D89" s="184"/>
      <c r="E89" s="184"/>
      <c r="F89" s="184"/>
      <c r="G89" s="184">
        <f>451900-306800</f>
        <v>145100</v>
      </c>
      <c r="H89" s="187">
        <f t="shared" si="1"/>
        <v>451900</v>
      </c>
      <c r="I89" s="407" t="s">
        <v>373</v>
      </c>
    </row>
    <row r="90" spans="1:9" ht="21" customHeight="1">
      <c r="A90" s="431" t="s">
        <v>365</v>
      </c>
      <c r="B90" s="184">
        <v>1500600</v>
      </c>
      <c r="C90" s="184">
        <v>866900</v>
      </c>
      <c r="D90" s="184">
        <v>1680000</v>
      </c>
      <c r="E90" s="184">
        <v>476400</v>
      </c>
      <c r="F90" s="184"/>
      <c r="G90" s="184">
        <f>4903600-4523900</f>
        <v>379700</v>
      </c>
      <c r="H90" s="187">
        <f t="shared" si="1"/>
        <v>4903600</v>
      </c>
      <c r="I90" s="407" t="s">
        <v>373</v>
      </c>
    </row>
    <row r="91" spans="1:9" ht="21" customHeight="1">
      <c r="A91" s="431" t="s">
        <v>366</v>
      </c>
      <c r="B91" s="184">
        <v>110000</v>
      </c>
      <c r="C91" s="184">
        <v>1304700</v>
      </c>
      <c r="D91" s="184">
        <v>688800</v>
      </c>
      <c r="E91" s="184">
        <v>195800</v>
      </c>
      <c r="F91" s="184"/>
      <c r="G91" s="184">
        <f>19667600-2299300</f>
        <v>17368300</v>
      </c>
      <c r="H91" s="187">
        <f t="shared" si="1"/>
        <v>19667600</v>
      </c>
      <c r="I91" s="407" t="s">
        <v>373</v>
      </c>
    </row>
    <row r="92" spans="1:9" ht="21" customHeight="1">
      <c r="A92" s="431" t="s">
        <v>367</v>
      </c>
      <c r="B92" s="184">
        <v>1947400</v>
      </c>
      <c r="C92" s="184">
        <v>6181100</v>
      </c>
      <c r="D92" s="184">
        <v>10382000</v>
      </c>
      <c r="E92" s="184">
        <v>694400</v>
      </c>
      <c r="F92" s="184">
        <v>125000</v>
      </c>
      <c r="G92" s="184">
        <f>60933500-19329900</f>
        <v>41603600</v>
      </c>
      <c r="H92" s="187">
        <f t="shared" si="1"/>
        <v>60933500</v>
      </c>
      <c r="I92" s="407" t="s">
        <v>373</v>
      </c>
    </row>
    <row r="93" spans="1:9" ht="21" customHeight="1">
      <c r="A93" s="431" t="s">
        <v>102</v>
      </c>
      <c r="B93" s="184">
        <v>7539600</v>
      </c>
      <c r="C93" s="184">
        <v>9578600</v>
      </c>
      <c r="D93" s="184">
        <v>6674500</v>
      </c>
      <c r="E93" s="184">
        <v>533700</v>
      </c>
      <c r="F93" s="184">
        <v>667100</v>
      </c>
      <c r="G93" s="184">
        <f>64772000-24993500</f>
        <v>39778500</v>
      </c>
      <c r="H93" s="187">
        <f t="shared" si="1"/>
        <v>64772000</v>
      </c>
      <c r="I93" s="407" t="s">
        <v>373</v>
      </c>
    </row>
    <row r="94" spans="1:9" ht="21" customHeight="1">
      <c r="A94" s="431" t="s">
        <v>368</v>
      </c>
      <c r="B94" s="184">
        <f>573300</f>
        <v>573300</v>
      </c>
      <c r="C94" s="184">
        <v>478000</v>
      </c>
      <c r="D94" s="184">
        <v>2508800</v>
      </c>
      <c r="E94" s="184"/>
      <c r="F94" s="184">
        <v>73800</v>
      </c>
      <c r="G94" s="184">
        <f>19939200-3633900</f>
        <v>16305300</v>
      </c>
      <c r="H94" s="187">
        <f t="shared" si="1"/>
        <v>19939200</v>
      </c>
      <c r="I94" s="407" t="s">
        <v>373</v>
      </c>
    </row>
    <row r="95" spans="1:9" ht="21" customHeight="1">
      <c r="A95" s="431" t="s">
        <v>369</v>
      </c>
      <c r="B95" s="184">
        <v>3753600</v>
      </c>
      <c r="C95" s="184">
        <v>330600</v>
      </c>
      <c r="D95" s="184">
        <v>16586600</v>
      </c>
      <c r="E95" s="184">
        <v>266800</v>
      </c>
      <c r="F95" s="184"/>
      <c r="G95" s="184">
        <f>29591300-20937600</f>
        <v>8653700</v>
      </c>
      <c r="H95" s="187">
        <f t="shared" si="1"/>
        <v>29591300</v>
      </c>
      <c r="I95" s="407" t="s">
        <v>373</v>
      </c>
    </row>
    <row r="96" spans="1:9" ht="21" customHeight="1">
      <c r="A96" s="431" t="s">
        <v>491</v>
      </c>
      <c r="B96" s="184">
        <v>1559000</v>
      </c>
      <c r="C96" s="184">
        <v>3305500</v>
      </c>
      <c r="D96" s="184">
        <v>2968300</v>
      </c>
      <c r="E96" s="184">
        <v>2654700</v>
      </c>
      <c r="F96" s="184"/>
      <c r="G96" s="184">
        <f>54713100-10487500</f>
        <v>44225600</v>
      </c>
      <c r="H96" s="187">
        <f t="shared" si="1"/>
        <v>54713100</v>
      </c>
      <c r="I96" s="407"/>
    </row>
    <row r="97" spans="1:9" ht="21" customHeight="1">
      <c r="A97" s="431" t="s">
        <v>370</v>
      </c>
      <c r="B97" s="184"/>
      <c r="C97" s="184">
        <v>369600</v>
      </c>
      <c r="D97" s="184">
        <v>108900</v>
      </c>
      <c r="E97" s="184">
        <v>106100</v>
      </c>
      <c r="F97" s="184"/>
      <c r="G97" s="184">
        <f>8707500-584600</f>
        <v>8122900</v>
      </c>
      <c r="H97" s="187">
        <f t="shared" si="1"/>
        <v>8707500</v>
      </c>
      <c r="I97" s="407" t="s">
        <v>373</v>
      </c>
    </row>
    <row r="98" spans="1:9" ht="21" customHeight="1">
      <c r="A98" s="431" t="s">
        <v>371</v>
      </c>
      <c r="B98" s="184"/>
      <c r="C98" s="184"/>
      <c r="D98" s="184">
        <v>976600</v>
      </c>
      <c r="E98" s="184"/>
      <c r="F98" s="184"/>
      <c r="G98" s="184">
        <f>1212800-976600</f>
        <v>236200</v>
      </c>
      <c r="H98" s="187">
        <f t="shared" si="1"/>
        <v>1212800</v>
      </c>
      <c r="I98" s="407" t="s">
        <v>373</v>
      </c>
    </row>
    <row r="99" spans="1:9" ht="21" customHeight="1">
      <c r="A99" s="431" t="s">
        <v>372</v>
      </c>
      <c r="B99" s="184"/>
      <c r="C99" s="184">
        <v>227200</v>
      </c>
      <c r="D99" s="184">
        <v>190400</v>
      </c>
      <c r="E99" s="184"/>
      <c r="F99" s="184"/>
      <c r="G99" s="184">
        <f>3853200-417600</f>
        <v>3435600</v>
      </c>
      <c r="H99" s="187">
        <f t="shared" si="1"/>
        <v>3853200</v>
      </c>
      <c r="I99" s="407" t="s">
        <v>373</v>
      </c>
    </row>
    <row r="100" spans="1:11" ht="21.75">
      <c r="A100" s="192" t="s">
        <v>191</v>
      </c>
      <c r="B100" s="184"/>
      <c r="C100" s="184"/>
      <c r="D100" s="184"/>
      <c r="E100" s="229"/>
      <c r="F100" s="184"/>
      <c r="G100" s="261">
        <v>41956041.11</v>
      </c>
      <c r="H100" s="261">
        <f t="shared" si="1"/>
        <v>41956041.11</v>
      </c>
      <c r="I100" s="425" t="s">
        <v>494</v>
      </c>
      <c r="J100" s="119" t="s">
        <v>37</v>
      </c>
      <c r="K100" s="372"/>
    </row>
    <row r="101" spans="1:11" ht="21.75" thickBot="1">
      <c r="A101" s="190" t="s">
        <v>99</v>
      </c>
      <c r="B101" s="217">
        <f>SUM(B7:B100)</f>
        <v>343260761.99</v>
      </c>
      <c r="C101" s="217">
        <f aca="true" t="shared" si="2" ref="C101:H101">SUM(C7:C100)</f>
        <v>893860866.2822222</v>
      </c>
      <c r="D101" s="217">
        <f t="shared" si="2"/>
        <v>737909381.3322222</v>
      </c>
      <c r="E101" s="217">
        <f t="shared" si="2"/>
        <v>32198449.540000003</v>
      </c>
      <c r="F101" s="217">
        <f t="shared" si="2"/>
        <v>7514820.210666666</v>
      </c>
      <c r="G101" s="217">
        <f t="shared" si="2"/>
        <v>2515913846.0500007</v>
      </c>
      <c r="H101" s="217">
        <f t="shared" si="2"/>
        <v>4530658125.40511</v>
      </c>
      <c r="I101" s="191"/>
      <c r="K101" s="197"/>
    </row>
    <row r="102" spans="2:8" ht="22.5" thickTop="1">
      <c r="B102" s="197"/>
      <c r="C102" s="197"/>
      <c r="D102" s="197"/>
      <c r="E102" s="197"/>
      <c r="F102" s="197"/>
      <c r="H102" s="89"/>
    </row>
    <row r="103" spans="2:8" ht="21.75">
      <c r="B103" s="89"/>
      <c r="C103" s="89"/>
      <c r="D103" s="89"/>
      <c r="E103" s="89"/>
      <c r="F103" s="89"/>
      <c r="H103" s="90"/>
    </row>
  </sheetData>
  <sheetProtection/>
  <mergeCells count="14">
    <mergeCell ref="A37:A38"/>
    <mergeCell ref="A65:A66"/>
    <mergeCell ref="A67:A68"/>
    <mergeCell ref="A60:A61"/>
    <mergeCell ref="I81:I82"/>
    <mergeCell ref="A9:A10"/>
    <mergeCell ref="A14:A15"/>
    <mergeCell ref="A25:A26"/>
    <mergeCell ref="A1:I1"/>
    <mergeCell ref="A2:I2"/>
    <mergeCell ref="A4:A5"/>
    <mergeCell ref="B4:G4"/>
    <mergeCell ref="H4:H5"/>
    <mergeCell ref="I4:I5"/>
  </mergeCells>
  <printOptions horizontalCentered="1" verticalCentered="1"/>
  <pageMargins left="0.275590551181102" right="0.196850393700787" top="0.301181102" bottom="0.393700787401575" header="0.31496062992126" footer="0.118110236220472"/>
  <pageSetup horizontalDpi="600" verticalDpi="600" orientation="landscape" paperSize="9" scale="77" r:id="rId1"/>
  <rowBreaks count="3" manualBreakCount="3">
    <brk id="32" max="8" man="1"/>
    <brk id="55" max="8" man="1"/>
    <brk id="74" max="8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Z29" sqref="DZ29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Z29" sqref="DZ29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1" sqref="O1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L61"/>
  <sheetViews>
    <sheetView showGridLines="0" zoomScalePageLayoutView="0" workbookViewId="0" topLeftCell="A1">
      <pane xSplit="1" ySplit="5" topLeftCell="B5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H30" sqref="H30"/>
    </sheetView>
  </sheetViews>
  <sheetFormatPr defaultColWidth="9.140625" defaultRowHeight="21.75"/>
  <cols>
    <col min="1" max="1" width="49.7109375" style="651" customWidth="1"/>
    <col min="2" max="2" width="14.8515625" style="651" customWidth="1"/>
    <col min="3" max="3" width="13.57421875" style="651" customWidth="1"/>
    <col min="4" max="4" width="14.8515625" style="651" customWidth="1"/>
    <col min="5" max="5" width="15.00390625" style="651" customWidth="1"/>
    <col min="6" max="6" width="13.57421875" style="651" customWidth="1"/>
    <col min="7" max="7" width="15.00390625" style="651" bestFit="1" customWidth="1"/>
    <col min="8" max="8" width="18.421875" style="651" customWidth="1"/>
    <col min="9" max="9" width="14.8515625" style="651" customWidth="1"/>
    <col min="10" max="10" width="13.140625" style="651" customWidth="1"/>
    <col min="11" max="11" width="15.00390625" style="651" customWidth="1"/>
    <col min="12" max="12" width="12.421875" style="277" customWidth="1"/>
    <col min="13" max="13" width="15.28125" style="277" bestFit="1" customWidth="1"/>
    <col min="14" max="14" width="16.421875" style="277" customWidth="1"/>
    <col min="15" max="16384" width="9.140625" style="277" customWidth="1"/>
  </cols>
  <sheetData>
    <row r="1" spans="1:12" ht="23.25">
      <c r="A1" s="828" t="s">
        <v>0</v>
      </c>
      <c r="B1" s="828"/>
      <c r="C1" s="828"/>
      <c r="D1" s="828"/>
      <c r="E1" s="828"/>
      <c r="F1" s="828"/>
      <c r="G1" s="828"/>
      <c r="H1" s="828"/>
      <c r="I1" s="828"/>
      <c r="J1" s="828"/>
      <c r="K1" s="828"/>
      <c r="L1" s="828"/>
    </row>
    <row r="2" spans="1:12" ht="23.25">
      <c r="A2" s="829" t="s">
        <v>512</v>
      </c>
      <c r="B2" s="828"/>
      <c r="C2" s="828"/>
      <c r="D2" s="828"/>
      <c r="E2" s="828"/>
      <c r="F2" s="828"/>
      <c r="G2" s="828"/>
      <c r="H2" s="828"/>
      <c r="I2" s="828"/>
      <c r="J2" s="828"/>
      <c r="K2" s="828"/>
      <c r="L2" s="828"/>
    </row>
    <row r="3" spans="6:12" ht="21.75" customHeight="1">
      <c r="F3" s="670"/>
      <c r="L3" s="684"/>
    </row>
    <row r="4" spans="1:12" ht="37.5" customHeight="1">
      <c r="A4" s="830" t="s">
        <v>1</v>
      </c>
      <c r="B4" s="832" t="s">
        <v>13</v>
      </c>
      <c r="C4" s="833"/>
      <c r="D4" s="833"/>
      <c r="E4" s="833"/>
      <c r="F4" s="833"/>
      <c r="G4" s="834"/>
      <c r="H4" s="835" t="s">
        <v>80</v>
      </c>
      <c r="I4" s="830" t="s">
        <v>14</v>
      </c>
      <c r="J4" s="830" t="s">
        <v>6</v>
      </c>
      <c r="K4" s="830" t="s">
        <v>507</v>
      </c>
      <c r="L4" s="835" t="s">
        <v>36</v>
      </c>
    </row>
    <row r="5" spans="1:12" ht="27.75" customHeight="1">
      <c r="A5" s="831"/>
      <c r="B5" s="646" t="s">
        <v>8</v>
      </c>
      <c r="C5" s="646" t="s">
        <v>9</v>
      </c>
      <c r="D5" s="646" t="s">
        <v>221</v>
      </c>
      <c r="E5" s="646" t="s">
        <v>10</v>
      </c>
      <c r="F5" s="646" t="s">
        <v>23</v>
      </c>
      <c r="G5" s="686" t="s">
        <v>21</v>
      </c>
      <c r="H5" s="836"/>
      <c r="I5" s="831"/>
      <c r="J5" s="831"/>
      <c r="K5" s="831"/>
      <c r="L5" s="836"/>
    </row>
    <row r="6" spans="1:12" ht="27.75" customHeight="1">
      <c r="A6" s="655" t="s">
        <v>56</v>
      </c>
      <c r="B6" s="655"/>
      <c r="C6" s="65"/>
      <c r="D6" s="65"/>
      <c r="E6" s="65"/>
      <c r="F6" s="65"/>
      <c r="G6" s="65"/>
      <c r="H6" s="65"/>
      <c r="I6" s="65"/>
      <c r="J6" s="656"/>
      <c r="K6" s="656"/>
      <c r="L6" s="280"/>
    </row>
    <row r="7" spans="1:12" ht="27.75" customHeight="1">
      <c r="A7" s="687" t="s">
        <v>239</v>
      </c>
      <c r="B7" s="233"/>
      <c r="C7" s="233"/>
      <c r="D7" s="233"/>
      <c r="E7" s="233"/>
      <c r="F7" s="233"/>
      <c r="G7" s="541"/>
      <c r="H7" s="541"/>
      <c r="I7" s="541"/>
      <c r="J7" s="688"/>
      <c r="K7" s="689"/>
      <c r="L7" s="690"/>
    </row>
    <row r="8" spans="1:12" ht="38.25" customHeight="1">
      <c r="A8" s="691" t="s">
        <v>509</v>
      </c>
      <c r="B8" s="318"/>
      <c r="C8" s="318"/>
      <c r="D8" s="318"/>
      <c r="E8" s="318"/>
      <c r="F8" s="318"/>
      <c r="G8" s="539"/>
      <c r="H8" s="319">
        <f>20000*31.7*18/100</f>
        <v>114120</v>
      </c>
      <c r="I8" s="319">
        <f>SUM(B8:H8)</f>
        <v>114120</v>
      </c>
      <c r="J8" s="692" t="s">
        <v>43</v>
      </c>
      <c r="K8" s="693" t="s">
        <v>101</v>
      </c>
      <c r="L8" s="694">
        <v>0.18</v>
      </c>
    </row>
    <row r="9" spans="1:12" s="699" customFormat="1" ht="65.25">
      <c r="A9" s="695" t="s">
        <v>308</v>
      </c>
      <c r="B9" s="528"/>
      <c r="C9" s="528"/>
      <c r="D9" s="528"/>
      <c r="E9" s="528"/>
      <c r="F9" s="528"/>
      <c r="G9" s="539"/>
      <c r="H9" s="319">
        <f>2000*31.7</f>
        <v>63400</v>
      </c>
      <c r="I9" s="319">
        <f aca="true" t="shared" si="0" ref="I9:I22">SUM(B9:H9)</f>
        <v>63400</v>
      </c>
      <c r="J9" s="696" t="s">
        <v>43</v>
      </c>
      <c r="K9" s="697" t="s">
        <v>180</v>
      </c>
      <c r="L9" s="698"/>
    </row>
    <row r="10" spans="1:12" s="699" customFormat="1" ht="27.75" customHeight="1">
      <c r="A10" s="695" t="s">
        <v>354</v>
      </c>
      <c r="B10" s="528"/>
      <c r="C10" s="528"/>
      <c r="D10" s="528"/>
      <c r="E10" s="528"/>
      <c r="F10" s="528"/>
      <c r="G10" s="539"/>
      <c r="H10" s="319">
        <f>865112*31.7</f>
        <v>27424050.4</v>
      </c>
      <c r="I10" s="319">
        <f t="shared" si="0"/>
        <v>27424050.4</v>
      </c>
      <c r="J10" s="696" t="s">
        <v>43</v>
      </c>
      <c r="K10" s="697" t="s">
        <v>180</v>
      </c>
      <c r="L10" s="698"/>
    </row>
    <row r="11" spans="1:12" ht="27.75" customHeight="1">
      <c r="A11" s="700" t="s">
        <v>502</v>
      </c>
      <c r="B11" s="318"/>
      <c r="C11" s="318"/>
      <c r="D11" s="318"/>
      <c r="E11" s="318"/>
      <c r="F11" s="318"/>
      <c r="G11" s="539"/>
      <c r="H11" s="319">
        <f>2500*31.7</f>
        <v>79250</v>
      </c>
      <c r="I11" s="319">
        <f t="shared" si="0"/>
        <v>79250</v>
      </c>
      <c r="J11" s="692" t="s">
        <v>43</v>
      </c>
      <c r="K11" s="701" t="s">
        <v>180</v>
      </c>
      <c r="L11" s="702"/>
    </row>
    <row r="12" spans="1:12" ht="43.5">
      <c r="A12" s="700" t="s">
        <v>237</v>
      </c>
      <c r="B12" s="318"/>
      <c r="C12" s="318"/>
      <c r="D12" s="318"/>
      <c r="E12" s="318"/>
      <c r="F12" s="318"/>
      <c r="G12" s="539"/>
      <c r="H12" s="319">
        <f>20000*31.7</f>
        <v>634000</v>
      </c>
      <c r="I12" s="319">
        <f t="shared" si="0"/>
        <v>634000</v>
      </c>
      <c r="J12" s="692" t="s">
        <v>43</v>
      </c>
      <c r="K12" s="701" t="s">
        <v>180</v>
      </c>
      <c r="L12" s="702"/>
    </row>
    <row r="13" spans="1:12" ht="27.75" customHeight="1">
      <c r="A13" s="695" t="s">
        <v>501</v>
      </c>
      <c r="B13" s="318"/>
      <c r="C13" s="318"/>
      <c r="D13" s="318"/>
      <c r="E13" s="318"/>
      <c r="F13" s="318"/>
      <c r="G13" s="539"/>
      <c r="H13" s="319">
        <f>112500*31.7</f>
        <v>3566250</v>
      </c>
      <c r="I13" s="319">
        <f t="shared" si="0"/>
        <v>3566250</v>
      </c>
      <c r="J13" s="692" t="s">
        <v>43</v>
      </c>
      <c r="K13" s="701" t="s">
        <v>180</v>
      </c>
      <c r="L13" s="702"/>
    </row>
    <row r="14" spans="1:12" ht="27.75" customHeight="1">
      <c r="A14" s="695" t="s">
        <v>555</v>
      </c>
      <c r="B14" s="318"/>
      <c r="C14" s="318"/>
      <c r="D14" s="318"/>
      <c r="E14" s="318"/>
      <c r="F14" s="318"/>
      <c r="G14" s="539"/>
      <c r="H14" s="319">
        <v>2080500</v>
      </c>
      <c r="I14" s="319">
        <f>SUM(B14:H14)</f>
        <v>2080500</v>
      </c>
      <c r="J14" s="692" t="s">
        <v>43</v>
      </c>
      <c r="K14" s="701" t="s">
        <v>180</v>
      </c>
      <c r="L14" s="702"/>
    </row>
    <row r="15" spans="1:12" s="699" customFormat="1" ht="43.5">
      <c r="A15" s="695" t="s">
        <v>500</v>
      </c>
      <c r="B15" s="528"/>
      <c r="C15" s="528"/>
      <c r="D15" s="528"/>
      <c r="E15" s="528"/>
      <c r="F15" s="528"/>
      <c r="G15" s="539"/>
      <c r="H15" s="319">
        <f>3000*31.7</f>
        <v>95100</v>
      </c>
      <c r="I15" s="319">
        <f t="shared" si="0"/>
        <v>95100</v>
      </c>
      <c r="J15" s="696" t="s">
        <v>43</v>
      </c>
      <c r="K15" s="697" t="s">
        <v>180</v>
      </c>
      <c r="L15" s="698"/>
    </row>
    <row r="16" spans="1:12" s="699" customFormat="1" ht="43.5">
      <c r="A16" s="695" t="s">
        <v>238</v>
      </c>
      <c r="B16" s="528"/>
      <c r="C16" s="528"/>
      <c r="D16" s="528"/>
      <c r="E16" s="528"/>
      <c r="F16" s="528"/>
      <c r="G16" s="539"/>
      <c r="H16" s="319">
        <f>1000*31.7</f>
        <v>31700</v>
      </c>
      <c r="I16" s="319">
        <f t="shared" si="0"/>
        <v>31700</v>
      </c>
      <c r="J16" s="696" t="s">
        <v>43</v>
      </c>
      <c r="K16" s="697" t="s">
        <v>180</v>
      </c>
      <c r="L16" s="698"/>
    </row>
    <row r="17" spans="1:12" s="699" customFormat="1" ht="43.5">
      <c r="A17" s="695" t="s">
        <v>503</v>
      </c>
      <c r="B17" s="528"/>
      <c r="C17" s="528"/>
      <c r="D17" s="528"/>
      <c r="E17" s="528"/>
      <c r="F17" s="528"/>
      <c r="G17" s="539"/>
      <c r="H17" s="319">
        <f>(20000*31.7*88)/100</f>
        <v>557920</v>
      </c>
      <c r="I17" s="319">
        <f t="shared" si="0"/>
        <v>557920</v>
      </c>
      <c r="J17" s="696" t="s">
        <v>43</v>
      </c>
      <c r="K17" s="697" t="s">
        <v>180</v>
      </c>
      <c r="L17" s="703">
        <v>0.88</v>
      </c>
    </row>
    <row r="18" spans="1:12" ht="43.5">
      <c r="A18" s="695" t="s">
        <v>350</v>
      </c>
      <c r="B18" s="318"/>
      <c r="C18" s="318"/>
      <c r="D18" s="318"/>
      <c r="E18" s="318"/>
      <c r="F18" s="318"/>
      <c r="G18" s="539"/>
      <c r="H18" s="319">
        <f>10000*31.7</f>
        <v>317000</v>
      </c>
      <c r="I18" s="319">
        <f t="shared" si="0"/>
        <v>317000</v>
      </c>
      <c r="J18" s="692" t="s">
        <v>43</v>
      </c>
      <c r="K18" s="701" t="s">
        <v>180</v>
      </c>
      <c r="L18" s="702"/>
    </row>
    <row r="19" spans="1:12" s="699" customFormat="1" ht="43.5">
      <c r="A19" s="695" t="s">
        <v>504</v>
      </c>
      <c r="B19" s="528"/>
      <c r="C19" s="528"/>
      <c r="D19" s="528"/>
      <c r="E19" s="528"/>
      <c r="F19" s="528"/>
      <c r="G19" s="539"/>
      <c r="H19" s="319">
        <f>40000*31.01</f>
        <v>1240400</v>
      </c>
      <c r="I19" s="319">
        <f t="shared" si="0"/>
        <v>1240400</v>
      </c>
      <c r="J19" s="696" t="s">
        <v>43</v>
      </c>
      <c r="K19" s="697" t="s">
        <v>180</v>
      </c>
      <c r="L19" s="698"/>
    </row>
    <row r="20" spans="1:12" ht="27.75" customHeight="1">
      <c r="A20" s="700" t="s">
        <v>353</v>
      </c>
      <c r="B20" s="318"/>
      <c r="C20" s="318"/>
      <c r="D20" s="318"/>
      <c r="E20" s="318"/>
      <c r="F20" s="318"/>
      <c r="G20" s="318"/>
      <c r="H20" s="319">
        <f>5000*31.01</f>
        <v>155050</v>
      </c>
      <c r="I20" s="319">
        <f t="shared" si="0"/>
        <v>155050</v>
      </c>
      <c r="J20" s="704" t="s">
        <v>43</v>
      </c>
      <c r="K20" s="701" t="s">
        <v>180</v>
      </c>
      <c r="L20" s="702"/>
    </row>
    <row r="21" spans="1:12" ht="43.5">
      <c r="A21" s="700" t="s">
        <v>352</v>
      </c>
      <c r="B21" s="705"/>
      <c r="C21" s="317"/>
      <c r="D21" s="705"/>
      <c r="E21" s="317"/>
      <c r="F21" s="317"/>
      <c r="G21" s="317"/>
      <c r="H21" s="330">
        <f>10000*31.7</f>
        <v>317000</v>
      </c>
      <c r="I21" s="331">
        <f t="shared" si="0"/>
        <v>317000</v>
      </c>
      <c r="J21" s="692" t="s">
        <v>43</v>
      </c>
      <c r="K21" s="706" t="s">
        <v>180</v>
      </c>
      <c r="L21" s="690"/>
    </row>
    <row r="22" spans="1:12" ht="43.5">
      <c r="A22" s="700" t="s">
        <v>439</v>
      </c>
      <c r="B22" s="707"/>
      <c r="C22" s="332"/>
      <c r="D22" s="707"/>
      <c r="E22" s="332"/>
      <c r="F22" s="332"/>
      <c r="G22" s="332"/>
      <c r="H22" s="302">
        <f>20000*30.7</f>
        <v>614000</v>
      </c>
      <c r="I22" s="331">
        <f t="shared" si="0"/>
        <v>614000</v>
      </c>
      <c r="J22" s="692" t="s">
        <v>43</v>
      </c>
      <c r="K22" s="706" t="s">
        <v>180</v>
      </c>
      <c r="L22" s="702"/>
    </row>
    <row r="23" spans="1:12" s="699" customFormat="1" ht="43.5">
      <c r="A23" s="695" t="s">
        <v>438</v>
      </c>
      <c r="C23" s="531"/>
      <c r="D23" s="663"/>
      <c r="E23" s="531"/>
      <c r="F23" s="531"/>
      <c r="G23" s="531"/>
      <c r="H23" s="532">
        <f>1000*31.7</f>
        <v>31700</v>
      </c>
      <c r="I23" s="527">
        <f>SUM(B23:H23)</f>
        <v>31700</v>
      </c>
      <c r="J23" s="698" t="s">
        <v>43</v>
      </c>
      <c r="K23" s="697" t="s">
        <v>180</v>
      </c>
      <c r="L23" s="698"/>
    </row>
    <row r="24" spans="1:12" ht="21.75">
      <c r="A24" s="700" t="s">
        <v>996</v>
      </c>
      <c r="B24" s="663"/>
      <c r="C24" s="332"/>
      <c r="D24" s="707"/>
      <c r="E24" s="332"/>
      <c r="F24" s="332"/>
      <c r="G24" s="332"/>
      <c r="H24" s="302">
        <f>300000</f>
        <v>300000</v>
      </c>
      <c r="I24" s="319">
        <f>SUM(B24:H24)</f>
        <v>300000</v>
      </c>
      <c r="J24" s="698" t="s">
        <v>43</v>
      </c>
      <c r="K24" s="697" t="s">
        <v>180</v>
      </c>
      <c r="L24" s="702"/>
    </row>
    <row r="25" spans="1:12" ht="21.75">
      <c r="A25" s="700" t="s">
        <v>556</v>
      </c>
      <c r="B25" s="663"/>
      <c r="C25" s="332"/>
      <c r="D25" s="707"/>
      <c r="E25" s="332"/>
      <c r="F25" s="332"/>
      <c r="G25" s="332"/>
      <c r="H25" s="302">
        <f>1240000</f>
        <v>1240000</v>
      </c>
      <c r="I25" s="319">
        <f>SUM(B25:H25)</f>
        <v>1240000</v>
      </c>
      <c r="J25" s="698" t="s">
        <v>43</v>
      </c>
      <c r="K25" s="697" t="s">
        <v>180</v>
      </c>
      <c r="L25" s="690"/>
    </row>
    <row r="26" spans="1:12" ht="43.5">
      <c r="A26" s="700" t="s">
        <v>557</v>
      </c>
      <c r="B26" s="705"/>
      <c r="C26" s="317"/>
      <c r="D26" s="705"/>
      <c r="E26" s="317"/>
      <c r="F26" s="317"/>
      <c r="G26" s="317"/>
      <c r="H26" s="330">
        <v>3100000</v>
      </c>
      <c r="I26" s="319">
        <f>SUM(B26:H26)</f>
        <v>3100000</v>
      </c>
      <c r="J26" s="698" t="s">
        <v>43</v>
      </c>
      <c r="K26" s="697" t="s">
        <v>180</v>
      </c>
      <c r="L26" s="690"/>
    </row>
    <row r="27" spans="1:12" ht="22.5" thickBot="1">
      <c r="A27" s="708" t="s">
        <v>2</v>
      </c>
      <c r="B27" s="709">
        <f>SUM(B8:B25)</f>
        <v>0</v>
      </c>
      <c r="C27" s="709">
        <f>SUM(C8:C24)</f>
        <v>0</v>
      </c>
      <c r="D27" s="709">
        <f>SUM(D8:D24)</f>
        <v>0</v>
      </c>
      <c r="E27" s="709">
        <f>SUM(E8:E24)</f>
        <v>0</v>
      </c>
      <c r="F27" s="709">
        <f>SUM(F8:F24)</f>
        <v>0</v>
      </c>
      <c r="G27" s="709">
        <f>SUM(G8:G24)</f>
        <v>0</v>
      </c>
      <c r="H27" s="365">
        <f>SUM(H8:H26)</f>
        <v>41961440.4</v>
      </c>
      <c r="I27" s="365">
        <f>SUM(I8:I26)</f>
        <v>41961440.4</v>
      </c>
      <c r="J27" s="294"/>
      <c r="K27" s="710"/>
      <c r="L27" s="294"/>
    </row>
    <row r="28" spans="1:12" ht="22.5" thickTop="1">
      <c r="A28" s="711" t="s">
        <v>531</v>
      </c>
      <c r="B28" s="712"/>
      <c r="C28" s="712"/>
      <c r="D28" s="712"/>
      <c r="E28" s="712"/>
      <c r="F28" s="712"/>
      <c r="G28" s="712"/>
      <c r="H28" s="560"/>
      <c r="I28" s="561"/>
      <c r="J28" s="713"/>
      <c r="K28" s="714"/>
      <c r="L28" s="713"/>
    </row>
    <row r="29" spans="1:12" ht="87">
      <c r="A29" s="715" t="s">
        <v>532</v>
      </c>
      <c r="B29" s="716"/>
      <c r="C29" s="716"/>
      <c r="D29" s="716">
        <v>3901158.19</v>
      </c>
      <c r="E29" s="716"/>
      <c r="F29" s="716"/>
      <c r="G29" s="716"/>
      <c r="H29" s="562"/>
      <c r="I29" s="302">
        <f>SUM(B29:H29)</f>
        <v>3901158.19</v>
      </c>
      <c r="J29" s="658" t="s">
        <v>1001</v>
      </c>
      <c r="K29" s="717"/>
      <c r="L29" s="702"/>
    </row>
    <row r="30" spans="1:12" ht="43.5">
      <c r="A30" s="715" t="s">
        <v>533</v>
      </c>
      <c r="B30" s="716"/>
      <c r="C30" s="716">
        <v>7000000</v>
      </c>
      <c r="D30" s="716"/>
      <c r="E30" s="716"/>
      <c r="F30" s="716"/>
      <c r="G30" s="716"/>
      <c r="H30" s="562"/>
      <c r="I30" s="302">
        <f>SUM(B30:H30)</f>
        <v>7000000</v>
      </c>
      <c r="J30" s="718" t="s">
        <v>32</v>
      </c>
      <c r="K30" s="717"/>
      <c r="L30" s="702"/>
    </row>
    <row r="31" spans="1:12" ht="21.75">
      <c r="A31" s="715" t="s">
        <v>1084</v>
      </c>
      <c r="B31" s="719"/>
      <c r="C31" s="719">
        <v>298000</v>
      </c>
      <c r="D31" s="719"/>
      <c r="E31" s="719"/>
      <c r="F31" s="719"/>
      <c r="G31" s="719"/>
      <c r="H31" s="563"/>
      <c r="I31" s="302">
        <f>SUM(B31:H31)</f>
        <v>298000</v>
      </c>
      <c r="J31" s="718" t="s">
        <v>32</v>
      </c>
      <c r="K31" s="706"/>
      <c r="L31" s="720" t="s">
        <v>310</v>
      </c>
    </row>
    <row r="32" spans="1:12" ht="22.5" thickBot="1">
      <c r="A32" s="708" t="s">
        <v>2</v>
      </c>
      <c r="B32" s="709">
        <f>SUM(B29:B31)</f>
        <v>0</v>
      </c>
      <c r="C32" s="709">
        <f aca="true" t="shared" si="1" ref="C32:I32">SUM(C29:C31)</f>
        <v>7298000</v>
      </c>
      <c r="D32" s="709">
        <f t="shared" si="1"/>
        <v>3901158.19</v>
      </c>
      <c r="E32" s="709">
        <f t="shared" si="1"/>
        <v>0</v>
      </c>
      <c r="F32" s="709">
        <f t="shared" si="1"/>
        <v>0</v>
      </c>
      <c r="G32" s="709">
        <f t="shared" si="1"/>
        <v>0</v>
      </c>
      <c r="H32" s="709">
        <f t="shared" si="1"/>
        <v>0</v>
      </c>
      <c r="I32" s="709">
        <f t="shared" si="1"/>
        <v>11199158.19</v>
      </c>
      <c r="J32" s="294"/>
      <c r="K32" s="710"/>
      <c r="L32" s="294"/>
    </row>
    <row r="33" spans="1:12" ht="22.5" thickTop="1">
      <c r="A33" s="687" t="s">
        <v>702</v>
      </c>
      <c r="B33" s="721"/>
      <c r="C33" s="721"/>
      <c r="D33" s="721"/>
      <c r="E33" s="721"/>
      <c r="F33" s="721"/>
      <c r="G33" s="721"/>
      <c r="H33" s="564"/>
      <c r="I33" s="333"/>
      <c r="J33" s="283"/>
      <c r="K33" s="722"/>
      <c r="L33" s="283"/>
    </row>
    <row r="34" spans="1:12" ht="21.75">
      <c r="A34" s="700" t="s">
        <v>703</v>
      </c>
      <c r="B34" s="716"/>
      <c r="C34" s="716"/>
      <c r="D34" s="716"/>
      <c r="E34" s="716"/>
      <c r="F34" s="716"/>
      <c r="G34" s="716">
        <v>3200000</v>
      </c>
      <c r="H34" s="562"/>
      <c r="I34" s="302">
        <f>SUM(B34:H34)</f>
        <v>3200000</v>
      </c>
      <c r="J34" s="718" t="s">
        <v>704</v>
      </c>
      <c r="K34" s="717" t="s">
        <v>18</v>
      </c>
      <c r="L34" s="702"/>
    </row>
    <row r="35" spans="1:12" ht="22.5" thickBot="1">
      <c r="A35" s="708" t="s">
        <v>2</v>
      </c>
      <c r="B35" s="723"/>
      <c r="C35" s="108"/>
      <c r="D35" s="723"/>
      <c r="E35" s="108"/>
      <c r="F35" s="108"/>
      <c r="G35" s="600">
        <f>SUM(G34)</f>
        <v>3200000</v>
      </c>
      <c r="H35" s="365">
        <f>SUM(H34)</f>
        <v>0</v>
      </c>
      <c r="I35" s="365">
        <f>SUM(I34)</f>
        <v>3200000</v>
      </c>
      <c r="J35" s="294"/>
      <c r="K35" s="724"/>
      <c r="L35" s="294"/>
    </row>
    <row r="36" spans="1:12" ht="22.5" thickTop="1">
      <c r="A36" s="687" t="s">
        <v>283</v>
      </c>
      <c r="B36" s="725"/>
      <c r="C36" s="67"/>
      <c r="D36" s="725"/>
      <c r="E36" s="67"/>
      <c r="F36" s="67"/>
      <c r="G36" s="67"/>
      <c r="H36" s="333"/>
      <c r="I36" s="334"/>
      <c r="J36" s="283"/>
      <c r="K36" s="722"/>
      <c r="L36" s="283"/>
    </row>
    <row r="37" spans="1:12" ht="26.25" customHeight="1">
      <c r="A37" s="695" t="s">
        <v>444</v>
      </c>
      <c r="B37" s="707"/>
      <c r="C37" s="332"/>
      <c r="D37" s="707"/>
      <c r="E37" s="332"/>
      <c r="F37" s="332"/>
      <c r="G37" s="332"/>
      <c r="H37" s="302">
        <v>67706823</v>
      </c>
      <c r="I37" s="319">
        <f aca="true" t="shared" si="2" ref="I37:I44">SUM(B37:H37)</f>
        <v>67706823</v>
      </c>
      <c r="J37" s="702" t="s">
        <v>43</v>
      </c>
      <c r="K37" s="717" t="s">
        <v>101</v>
      </c>
      <c r="L37" s="702"/>
    </row>
    <row r="38" spans="1:12" ht="26.25" customHeight="1">
      <c r="A38" s="695" t="s">
        <v>443</v>
      </c>
      <c r="B38" s="707"/>
      <c r="C38" s="332"/>
      <c r="D38" s="707"/>
      <c r="E38" s="332"/>
      <c r="F38" s="332"/>
      <c r="G38" s="332"/>
      <c r="H38" s="302">
        <v>471375</v>
      </c>
      <c r="I38" s="319">
        <f t="shared" si="2"/>
        <v>471375</v>
      </c>
      <c r="J38" s="702" t="s">
        <v>43</v>
      </c>
      <c r="K38" s="717" t="s">
        <v>101</v>
      </c>
      <c r="L38" s="702"/>
    </row>
    <row r="39" spans="1:12" ht="26.25" customHeight="1">
      <c r="A39" s="695" t="s">
        <v>442</v>
      </c>
      <c r="B39" s="707"/>
      <c r="C39" s="332"/>
      <c r="D39" s="707"/>
      <c r="E39" s="332"/>
      <c r="F39" s="332"/>
      <c r="G39" s="332"/>
      <c r="H39" s="302">
        <v>124274</v>
      </c>
      <c r="I39" s="319">
        <f t="shared" si="2"/>
        <v>124274</v>
      </c>
      <c r="J39" s="702" t="s">
        <v>43</v>
      </c>
      <c r="K39" s="717" t="s">
        <v>101</v>
      </c>
      <c r="L39" s="702"/>
    </row>
    <row r="40" spans="1:12" s="699" customFormat="1" ht="64.5" customHeight="1">
      <c r="A40" s="695" t="s">
        <v>510</v>
      </c>
      <c r="B40" s="663"/>
      <c r="C40" s="531"/>
      <c r="D40" s="663"/>
      <c r="E40" s="531"/>
      <c r="F40" s="531"/>
      <c r="G40" s="531"/>
      <c r="H40" s="532">
        <v>964978</v>
      </c>
      <c r="I40" s="527">
        <f t="shared" si="2"/>
        <v>964978</v>
      </c>
      <c r="J40" s="698" t="s">
        <v>43</v>
      </c>
      <c r="K40" s="697" t="s">
        <v>101</v>
      </c>
      <c r="L40" s="698"/>
    </row>
    <row r="41" spans="1:12" ht="26.25" customHeight="1">
      <c r="A41" s="695" t="s">
        <v>441</v>
      </c>
      <c r="B41" s="707"/>
      <c r="C41" s="332"/>
      <c r="D41" s="707"/>
      <c r="E41" s="332"/>
      <c r="F41" s="332"/>
      <c r="G41" s="332"/>
      <c r="H41" s="302">
        <v>500168</v>
      </c>
      <c r="I41" s="319">
        <f t="shared" si="2"/>
        <v>500168</v>
      </c>
      <c r="J41" s="702" t="s">
        <v>43</v>
      </c>
      <c r="K41" s="717" t="s">
        <v>101</v>
      </c>
      <c r="L41" s="702"/>
    </row>
    <row r="42" spans="1:12" s="699" customFormat="1" ht="21.75">
      <c r="A42" s="695" t="s">
        <v>525</v>
      </c>
      <c r="B42" s="726"/>
      <c r="C42" s="529"/>
      <c r="D42" s="726"/>
      <c r="E42" s="529"/>
      <c r="F42" s="529"/>
      <c r="G42" s="529"/>
      <c r="H42" s="530">
        <v>310000</v>
      </c>
      <c r="I42" s="527">
        <f t="shared" si="2"/>
        <v>310000</v>
      </c>
      <c r="J42" s="698" t="s">
        <v>43</v>
      </c>
      <c r="K42" s="697" t="s">
        <v>101</v>
      </c>
      <c r="L42" s="696"/>
    </row>
    <row r="43" spans="1:12" ht="21.75">
      <c r="A43" s="695" t="s">
        <v>440</v>
      </c>
      <c r="B43" s="707"/>
      <c r="C43" s="332"/>
      <c r="D43" s="707"/>
      <c r="E43" s="332"/>
      <c r="F43" s="332"/>
      <c r="G43" s="332"/>
      <c r="H43" s="155">
        <v>1637250</v>
      </c>
      <c r="I43" s="319">
        <f t="shared" si="2"/>
        <v>1637250</v>
      </c>
      <c r="J43" s="702" t="s">
        <v>43</v>
      </c>
      <c r="K43" s="701" t="s">
        <v>101</v>
      </c>
      <c r="L43" s="692"/>
    </row>
    <row r="44" spans="1:12" ht="43.5">
      <c r="A44" s="695" t="s">
        <v>526</v>
      </c>
      <c r="B44" s="705"/>
      <c r="C44" s="317"/>
      <c r="D44" s="705"/>
      <c r="E44" s="317"/>
      <c r="F44" s="317"/>
      <c r="G44" s="317"/>
      <c r="H44" s="460">
        <v>500000</v>
      </c>
      <c r="I44" s="435">
        <f t="shared" si="2"/>
        <v>500000</v>
      </c>
      <c r="J44" s="702" t="s">
        <v>43</v>
      </c>
      <c r="K44" s="727" t="s">
        <v>170</v>
      </c>
      <c r="L44" s="690"/>
    </row>
    <row r="45" spans="1:12" ht="26.25" customHeight="1" thickBot="1">
      <c r="A45" s="708" t="s">
        <v>2</v>
      </c>
      <c r="B45" s="266">
        <f aca="true" t="shared" si="3" ref="B45:G45">SUM(B36:B43)</f>
        <v>0</v>
      </c>
      <c r="C45" s="266">
        <f t="shared" si="3"/>
        <v>0</v>
      </c>
      <c r="D45" s="266">
        <f t="shared" si="3"/>
        <v>0</v>
      </c>
      <c r="E45" s="266">
        <f t="shared" si="3"/>
        <v>0</v>
      </c>
      <c r="F45" s="266">
        <f t="shared" si="3"/>
        <v>0</v>
      </c>
      <c r="G45" s="266">
        <f t="shared" si="3"/>
        <v>0</v>
      </c>
      <c r="H45" s="266">
        <f>SUM(H37:H44)</f>
        <v>72214868</v>
      </c>
      <c r="I45" s="266">
        <f>SUM(I37:I44)</f>
        <v>72214868</v>
      </c>
      <c r="J45" s="728"/>
      <c r="K45" s="724"/>
      <c r="L45" s="294"/>
    </row>
    <row r="46" spans="1:12" ht="26.25" customHeight="1" thickTop="1">
      <c r="A46" s="729" t="s">
        <v>162</v>
      </c>
      <c r="B46" s="725"/>
      <c r="C46" s="67"/>
      <c r="D46" s="725"/>
      <c r="E46" s="67"/>
      <c r="F46" s="67"/>
      <c r="G46" s="67"/>
      <c r="H46" s="66"/>
      <c r="I46" s="317"/>
      <c r="J46" s="730"/>
      <c r="K46" s="731"/>
      <c r="L46" s="283"/>
    </row>
    <row r="47" spans="1:12" s="699" customFormat="1" ht="36.75" customHeight="1">
      <c r="A47" s="732" t="s">
        <v>126</v>
      </c>
      <c r="B47" s="302">
        <v>66670700</v>
      </c>
      <c r="C47" s="332">
        <v>61921700</v>
      </c>
      <c r="D47" s="302">
        <v>61498700</v>
      </c>
      <c r="E47" s="332">
        <v>15666100</v>
      </c>
      <c r="F47" s="332">
        <v>1199500</v>
      </c>
      <c r="G47" s="332">
        <v>257107400</v>
      </c>
      <c r="H47" s="540"/>
      <c r="I47" s="733">
        <f aca="true" t="shared" si="4" ref="I47:I54">SUM(B47:H47)</f>
        <v>464064100</v>
      </c>
      <c r="J47" s="704" t="s">
        <v>43</v>
      </c>
      <c r="K47" s="826" t="s">
        <v>508</v>
      </c>
      <c r="L47" s="827"/>
    </row>
    <row r="48" spans="1:12" ht="26.25" customHeight="1">
      <c r="A48" s="734" t="s">
        <v>127</v>
      </c>
      <c r="B48" s="330"/>
      <c r="C48" s="317"/>
      <c r="D48" s="330"/>
      <c r="E48" s="317"/>
      <c r="F48" s="317"/>
      <c r="G48" s="317"/>
      <c r="H48" s="220"/>
      <c r="I48" s="733"/>
      <c r="J48" s="692"/>
      <c r="K48" s="693"/>
      <c r="L48" s="735"/>
    </row>
    <row r="49" spans="1:12" ht="43.5">
      <c r="A49" s="695" t="s">
        <v>506</v>
      </c>
      <c r="B49" s="532"/>
      <c r="C49" s="531"/>
      <c r="D49" s="736"/>
      <c r="E49" s="531"/>
      <c r="F49" s="531"/>
      <c r="G49" s="531"/>
      <c r="H49" s="533">
        <v>15000000</v>
      </c>
      <c r="I49" s="529">
        <f t="shared" si="4"/>
        <v>15000000</v>
      </c>
      <c r="J49" s="696" t="s">
        <v>43</v>
      </c>
      <c r="K49" s="697" t="s">
        <v>101</v>
      </c>
      <c r="L49" s="737"/>
    </row>
    <row r="50" spans="1:12" ht="21.75">
      <c r="A50" s="695" t="s">
        <v>161</v>
      </c>
      <c r="B50" s="532"/>
      <c r="C50" s="531"/>
      <c r="D50" s="736"/>
      <c r="E50" s="531"/>
      <c r="F50" s="531"/>
      <c r="G50" s="531"/>
      <c r="H50" s="534">
        <v>800000</v>
      </c>
      <c r="I50" s="529">
        <f t="shared" si="4"/>
        <v>800000</v>
      </c>
      <c r="J50" s="696" t="s">
        <v>43</v>
      </c>
      <c r="K50" s="697" t="s">
        <v>101</v>
      </c>
      <c r="L50" s="737"/>
    </row>
    <row r="51" spans="1:12" ht="43.5">
      <c r="A51" s="695" t="s">
        <v>224</v>
      </c>
      <c r="B51" s="532"/>
      <c r="C51" s="531"/>
      <c r="D51" s="736"/>
      <c r="E51" s="531"/>
      <c r="F51" s="531"/>
      <c r="G51" s="531"/>
      <c r="H51" s="534">
        <v>50000</v>
      </c>
      <c r="I51" s="529">
        <f t="shared" si="4"/>
        <v>50000</v>
      </c>
      <c r="J51" s="696" t="s">
        <v>43</v>
      </c>
      <c r="K51" s="697" t="s">
        <v>101</v>
      </c>
      <c r="L51" s="737"/>
    </row>
    <row r="52" spans="1:12" ht="43.5">
      <c r="A52" s="695" t="s">
        <v>445</v>
      </c>
      <c r="B52" s="736"/>
      <c r="C52" s="531"/>
      <c r="D52" s="736"/>
      <c r="E52" s="531"/>
      <c r="F52" s="531"/>
      <c r="G52" s="531"/>
      <c r="H52" s="534">
        <v>15462000</v>
      </c>
      <c r="I52" s="529">
        <f t="shared" si="4"/>
        <v>15462000</v>
      </c>
      <c r="J52" s="696" t="s">
        <v>43</v>
      </c>
      <c r="K52" s="697" t="s">
        <v>101</v>
      </c>
      <c r="L52" s="737"/>
    </row>
    <row r="53" spans="1:12" ht="21.75">
      <c r="A53" s="695" t="s">
        <v>223</v>
      </c>
      <c r="B53" s="736"/>
      <c r="C53" s="531"/>
      <c r="D53" s="736"/>
      <c r="E53" s="531"/>
      <c r="F53" s="531"/>
      <c r="G53" s="531"/>
      <c r="H53" s="534">
        <v>109774.11</v>
      </c>
      <c r="I53" s="529">
        <f t="shared" si="4"/>
        <v>109774.11</v>
      </c>
      <c r="J53" s="696" t="s">
        <v>43</v>
      </c>
      <c r="K53" s="697" t="s">
        <v>101</v>
      </c>
      <c r="L53" s="737"/>
    </row>
    <row r="54" spans="1:12" ht="21.75">
      <c r="A54" s="695" t="s">
        <v>222</v>
      </c>
      <c r="B54" s="736"/>
      <c r="C54" s="531"/>
      <c r="D54" s="736"/>
      <c r="E54" s="531"/>
      <c r="F54" s="531"/>
      <c r="G54" s="531"/>
      <c r="H54" s="534">
        <v>534267</v>
      </c>
      <c r="I54" s="531">
        <f t="shared" si="4"/>
        <v>534267</v>
      </c>
      <c r="J54" s="698" t="s">
        <v>43</v>
      </c>
      <c r="K54" s="697" t="s">
        <v>101</v>
      </c>
      <c r="L54" s="737"/>
    </row>
    <row r="55" spans="1:12" ht="43.5">
      <c r="A55" s="738" t="s">
        <v>524</v>
      </c>
      <c r="B55" s="739"/>
      <c r="C55" s="740"/>
      <c r="D55" s="739"/>
      <c r="E55" s="740"/>
      <c r="F55" s="740"/>
      <c r="G55" s="740"/>
      <c r="H55" s="589">
        <v>10000000</v>
      </c>
      <c r="I55" s="740">
        <f>SUM(B55:H55)</f>
        <v>10000000</v>
      </c>
      <c r="J55" s="741" t="s">
        <v>43</v>
      </c>
      <c r="K55" s="742" t="s">
        <v>101</v>
      </c>
      <c r="L55" s="743"/>
    </row>
    <row r="56" spans="1:12" ht="22.5" thickBot="1">
      <c r="A56" s="744" t="s">
        <v>2</v>
      </c>
      <c r="B56" s="556">
        <f>SUM(B47:B55)</f>
        <v>66670700</v>
      </c>
      <c r="C56" s="556">
        <f aca="true" t="shared" si="5" ref="C56:H56">SUM(C47:C55)</f>
        <v>61921700</v>
      </c>
      <c r="D56" s="556">
        <f t="shared" si="5"/>
        <v>61498700</v>
      </c>
      <c r="E56" s="556">
        <f t="shared" si="5"/>
        <v>15666100</v>
      </c>
      <c r="F56" s="556">
        <f t="shared" si="5"/>
        <v>1199500</v>
      </c>
      <c r="G56" s="556">
        <f t="shared" si="5"/>
        <v>257107400</v>
      </c>
      <c r="H56" s="556">
        <f t="shared" si="5"/>
        <v>41956041.11</v>
      </c>
      <c r="I56" s="557">
        <f>SUM(I47:I55)</f>
        <v>506020141.11</v>
      </c>
      <c r="J56" s="745"/>
      <c r="K56" s="746"/>
      <c r="L56" s="747"/>
    </row>
    <row r="57" spans="1:12" ht="23.25" thickBot="1" thickTop="1">
      <c r="A57" s="744" t="s">
        <v>115</v>
      </c>
      <c r="B57" s="110">
        <f aca="true" t="shared" si="6" ref="B57:I57">B56+B45+B35+B32+B27</f>
        <v>66670700</v>
      </c>
      <c r="C57" s="110">
        <f t="shared" si="6"/>
        <v>69219700</v>
      </c>
      <c r="D57" s="110">
        <f t="shared" si="6"/>
        <v>65399858.19</v>
      </c>
      <c r="E57" s="110">
        <f t="shared" si="6"/>
        <v>15666100</v>
      </c>
      <c r="F57" s="110">
        <f t="shared" si="6"/>
        <v>1199500</v>
      </c>
      <c r="G57" s="110">
        <f t="shared" si="6"/>
        <v>260307400</v>
      </c>
      <c r="H57" s="110">
        <f t="shared" si="6"/>
        <v>156132349.51</v>
      </c>
      <c r="I57" s="110">
        <f t="shared" si="6"/>
        <v>634595607.7</v>
      </c>
      <c r="J57" s="748"/>
      <c r="K57" s="748"/>
      <c r="L57" s="747"/>
    </row>
    <row r="58" spans="7:9" ht="22.5" thickTop="1">
      <c r="G58" s="673"/>
      <c r="H58" s="673"/>
      <c r="I58" s="669"/>
    </row>
    <row r="59" spans="7:9" ht="21.75">
      <c r="G59" s="673"/>
      <c r="H59" s="673"/>
      <c r="I59" s="669"/>
    </row>
    <row r="60" spans="7:9" ht="21.75">
      <c r="G60" s="673"/>
      <c r="H60" s="673"/>
      <c r="I60" s="669"/>
    </row>
    <row r="61" ht="21.75">
      <c r="H61" s="673"/>
    </row>
  </sheetData>
  <sheetProtection/>
  <mergeCells count="10">
    <mergeCell ref="K47:L47"/>
    <mergeCell ref="A1:L1"/>
    <mergeCell ref="A2:L2"/>
    <mergeCell ref="A4:A5"/>
    <mergeCell ref="B4:G4"/>
    <mergeCell ref="H4:H5"/>
    <mergeCell ref="I4:I5"/>
    <mergeCell ref="J4:J5"/>
    <mergeCell ref="K4:K5"/>
    <mergeCell ref="L4:L5"/>
  </mergeCells>
  <printOptions/>
  <pageMargins left="0.196850393700787" right="0" top="0.393700787401575" bottom="0" header="0.236220472440945" footer="0.15748031496063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K18"/>
  <sheetViews>
    <sheetView showGridLines="0" zoomScalePageLayoutView="0" workbookViewId="0" topLeftCell="A13">
      <selection activeCell="C18" sqref="C18"/>
    </sheetView>
  </sheetViews>
  <sheetFormatPr defaultColWidth="9.140625" defaultRowHeight="21.75"/>
  <cols>
    <col min="1" max="1" width="59.7109375" style="0" customWidth="1"/>
    <col min="2" max="2" width="15.00390625" style="0" customWidth="1"/>
    <col min="3" max="3" width="14.8515625" style="0" customWidth="1"/>
    <col min="4" max="4" width="13.57421875" style="0" customWidth="1"/>
    <col min="5" max="5" width="11.7109375" style="0" customWidth="1"/>
    <col min="6" max="7" width="15.7109375" style="0" customWidth="1"/>
    <col min="8" max="8" width="16.00390625" style="0" customWidth="1"/>
    <col min="9" max="9" width="19.421875" style="0" customWidth="1"/>
    <col min="10" max="10" width="18.8515625" style="0" customWidth="1"/>
    <col min="11" max="11" width="17.140625" style="0" customWidth="1"/>
  </cols>
  <sheetData>
    <row r="1" spans="1:11" ht="21.75" customHeight="1">
      <c r="A1" s="840" t="s">
        <v>0</v>
      </c>
      <c r="B1" s="840"/>
      <c r="C1" s="840"/>
      <c r="D1" s="840"/>
      <c r="E1" s="840"/>
      <c r="F1" s="840"/>
      <c r="G1" s="840"/>
      <c r="H1" s="840"/>
      <c r="I1" s="840"/>
      <c r="J1" s="840"/>
      <c r="K1" s="840"/>
    </row>
    <row r="2" spans="1:11" ht="23.25">
      <c r="A2" s="841" t="s">
        <v>512</v>
      </c>
      <c r="B2" s="840"/>
      <c r="C2" s="840"/>
      <c r="D2" s="840"/>
      <c r="E2" s="840"/>
      <c r="F2" s="840"/>
      <c r="G2" s="840"/>
      <c r="H2" s="840"/>
      <c r="I2" s="840"/>
      <c r="J2" s="840"/>
      <c r="K2" s="840"/>
    </row>
    <row r="3" spans="1:11" ht="23.25">
      <c r="A3" s="98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21.75">
      <c r="A4" s="842" t="s">
        <v>1</v>
      </c>
      <c r="B4" s="845" t="s">
        <v>13</v>
      </c>
      <c r="C4" s="846"/>
      <c r="D4" s="846"/>
      <c r="E4" s="846"/>
      <c r="F4" s="847"/>
      <c r="G4" s="134"/>
      <c r="H4" s="848" t="s">
        <v>19</v>
      </c>
      <c r="I4" s="842" t="s">
        <v>6</v>
      </c>
      <c r="J4" s="842" t="s">
        <v>7</v>
      </c>
      <c r="K4" s="851" t="s">
        <v>36</v>
      </c>
    </row>
    <row r="5" spans="1:11" ht="21.75" customHeight="1">
      <c r="A5" s="843"/>
      <c r="B5" s="837" t="s">
        <v>229</v>
      </c>
      <c r="C5" s="838"/>
      <c r="D5" s="838"/>
      <c r="E5" s="838"/>
      <c r="F5" s="839"/>
      <c r="G5" s="273"/>
      <c r="H5" s="849"/>
      <c r="I5" s="843"/>
      <c r="J5" s="843"/>
      <c r="K5" s="852"/>
    </row>
    <row r="6" spans="1:11" ht="21.75">
      <c r="A6" s="844"/>
      <c r="B6" s="28" t="s">
        <v>8</v>
      </c>
      <c r="C6" s="271" t="s">
        <v>230</v>
      </c>
      <c r="D6" s="270" t="s">
        <v>221</v>
      </c>
      <c r="E6" s="28" t="s">
        <v>10</v>
      </c>
      <c r="F6" s="113" t="s">
        <v>21</v>
      </c>
      <c r="G6" s="270" t="s">
        <v>226</v>
      </c>
      <c r="H6" s="850"/>
      <c r="I6" s="850"/>
      <c r="J6" s="850"/>
      <c r="K6" s="853"/>
    </row>
    <row r="7" spans="1:11" ht="23.25" customHeight="1">
      <c r="A7" s="100" t="s">
        <v>20</v>
      </c>
      <c r="B7" s="101"/>
      <c r="C7" s="101"/>
      <c r="D7" s="101"/>
      <c r="E7" s="101"/>
      <c r="F7" s="101"/>
      <c r="G7" s="101"/>
      <c r="H7" s="101"/>
      <c r="I7" s="102"/>
      <c r="J7" s="102"/>
      <c r="K7" s="72"/>
    </row>
    <row r="8" spans="1:11" ht="87">
      <c r="A8" s="535" t="s">
        <v>379</v>
      </c>
      <c r="B8" s="553"/>
      <c r="C8" s="314">
        <v>38224448.4</v>
      </c>
      <c r="D8" s="314"/>
      <c r="E8" s="314"/>
      <c r="F8" s="314"/>
      <c r="G8" s="314">
        <v>89190379.6</v>
      </c>
      <c r="H8" s="143">
        <f aca="true" t="shared" si="0" ref="H8:H17">SUM(B8:G8)</f>
        <v>127414828</v>
      </c>
      <c r="I8" s="552" t="s">
        <v>273</v>
      </c>
      <c r="J8" s="174" t="s">
        <v>159</v>
      </c>
      <c r="K8" s="145" t="s">
        <v>347</v>
      </c>
    </row>
    <row r="9" spans="1:11" ht="130.5">
      <c r="A9" s="535" t="s">
        <v>378</v>
      </c>
      <c r="B9" s="553"/>
      <c r="C9" s="314">
        <v>3625180.81</v>
      </c>
      <c r="D9" s="314"/>
      <c r="E9" s="314"/>
      <c r="F9" s="314"/>
      <c r="G9" s="314">
        <v>14500723.26</v>
      </c>
      <c r="H9" s="143">
        <f t="shared" si="0"/>
        <v>18125904.07</v>
      </c>
      <c r="I9" s="552" t="s">
        <v>273</v>
      </c>
      <c r="J9" s="174" t="s">
        <v>159</v>
      </c>
      <c r="K9" s="145" t="s">
        <v>347</v>
      </c>
    </row>
    <row r="10" spans="1:11" ht="87">
      <c r="A10" s="538" t="s">
        <v>977</v>
      </c>
      <c r="B10" s="553"/>
      <c r="C10" s="314"/>
      <c r="D10" s="314"/>
      <c r="E10" s="314"/>
      <c r="F10" s="314"/>
      <c r="G10" s="553">
        <v>6490186</v>
      </c>
      <c r="H10" s="314">
        <f t="shared" si="0"/>
        <v>6490186</v>
      </c>
      <c r="I10" s="552" t="s">
        <v>273</v>
      </c>
      <c r="J10" s="174" t="s">
        <v>226</v>
      </c>
      <c r="K10" s="156" t="s">
        <v>42</v>
      </c>
    </row>
    <row r="11" spans="1:11" ht="152.25">
      <c r="A11" s="461" t="s">
        <v>514</v>
      </c>
      <c r="B11" s="551"/>
      <c r="C11" s="550">
        <v>69478865.03</v>
      </c>
      <c r="D11" s="550"/>
      <c r="E11" s="550"/>
      <c r="F11" s="550"/>
      <c r="G11" s="550">
        <v>277915460.22</v>
      </c>
      <c r="H11" s="550">
        <f t="shared" si="0"/>
        <v>347394325.25</v>
      </c>
      <c r="I11" s="552" t="s">
        <v>273</v>
      </c>
      <c r="J11" s="174" t="s">
        <v>159</v>
      </c>
      <c r="K11" s="156" t="s">
        <v>42</v>
      </c>
    </row>
    <row r="12" spans="1:11" ht="65.25">
      <c r="A12" s="537" t="s">
        <v>712</v>
      </c>
      <c r="B12" s="551"/>
      <c r="C12" s="550"/>
      <c r="D12" s="550"/>
      <c r="E12" s="550"/>
      <c r="F12" s="550"/>
      <c r="G12" s="550">
        <v>295386610.14</v>
      </c>
      <c r="H12" s="550">
        <f>SUM(B12:G12)</f>
        <v>295386610.14</v>
      </c>
      <c r="I12" s="552" t="s">
        <v>273</v>
      </c>
      <c r="J12" s="174" t="s">
        <v>226</v>
      </c>
      <c r="K12" s="149"/>
    </row>
    <row r="13" spans="1:11" ht="87">
      <c r="A13" s="538" t="s">
        <v>380</v>
      </c>
      <c r="B13" s="550"/>
      <c r="C13" s="550">
        <v>11868700</v>
      </c>
      <c r="D13" s="551"/>
      <c r="E13" s="551"/>
      <c r="F13" s="551"/>
      <c r="G13" s="551"/>
      <c r="H13" s="550">
        <f t="shared" si="0"/>
        <v>11868700</v>
      </c>
      <c r="I13" s="552" t="s">
        <v>273</v>
      </c>
      <c r="J13" s="174" t="s">
        <v>18</v>
      </c>
      <c r="K13" s="145" t="s">
        <v>347</v>
      </c>
    </row>
    <row r="14" spans="1:11" ht="87">
      <c r="A14" s="538" t="s">
        <v>515</v>
      </c>
      <c r="B14" s="550">
        <v>8717466.55</v>
      </c>
      <c r="C14" s="550"/>
      <c r="D14" s="551"/>
      <c r="E14" s="551"/>
      <c r="F14" s="551"/>
      <c r="G14" s="551"/>
      <c r="H14" s="550">
        <f>SUM(B14:G14)</f>
        <v>8717466.55</v>
      </c>
      <c r="I14" s="552" t="s">
        <v>273</v>
      </c>
      <c r="J14" s="174" t="s">
        <v>18</v>
      </c>
      <c r="K14" s="156" t="s">
        <v>42</v>
      </c>
    </row>
    <row r="15" spans="1:11" ht="87">
      <c r="A15" s="537" t="s">
        <v>516</v>
      </c>
      <c r="B15" s="536"/>
      <c r="C15" s="553"/>
      <c r="D15" s="553">
        <v>13762875</v>
      </c>
      <c r="E15" s="553"/>
      <c r="F15" s="553"/>
      <c r="G15" s="554"/>
      <c r="H15" s="550">
        <f t="shared" si="0"/>
        <v>13762875</v>
      </c>
      <c r="I15" s="552" t="s">
        <v>273</v>
      </c>
      <c r="J15" s="174" t="s">
        <v>18</v>
      </c>
      <c r="K15" s="156" t="s">
        <v>42</v>
      </c>
    </row>
    <row r="16" spans="1:11" ht="65.25">
      <c r="A16" s="146" t="s">
        <v>978</v>
      </c>
      <c r="B16" s="147">
        <f>45985.89*4</f>
        <v>183943.56</v>
      </c>
      <c r="C16" s="147">
        <f>45985.89*4</f>
        <v>183943.56</v>
      </c>
      <c r="D16" s="147">
        <f>45985.89*4</f>
        <v>183943.56</v>
      </c>
      <c r="E16" s="147">
        <v>91971.82</v>
      </c>
      <c r="F16" s="147">
        <v>91971.82</v>
      </c>
      <c r="G16" s="436"/>
      <c r="H16" s="187">
        <f t="shared" si="0"/>
        <v>735774.3200000001</v>
      </c>
      <c r="I16" s="346" t="s">
        <v>143</v>
      </c>
      <c r="J16" s="174" t="s">
        <v>517</v>
      </c>
      <c r="K16" s="164"/>
    </row>
    <row r="17" spans="1:11" ht="65.25">
      <c r="A17" s="546" t="s">
        <v>518</v>
      </c>
      <c r="B17" s="548">
        <f>50737.46*5</f>
        <v>253687.3</v>
      </c>
      <c r="C17" s="548">
        <f>50737.46*4</f>
        <v>202949.84</v>
      </c>
      <c r="D17" s="548">
        <f>50737.46*4</f>
        <v>202949.84</v>
      </c>
      <c r="E17" s="548"/>
      <c r="F17" s="548">
        <f>50737.46*4</f>
        <v>202949.84</v>
      </c>
      <c r="G17" s="547"/>
      <c r="H17" s="548">
        <f t="shared" si="0"/>
        <v>862536.82</v>
      </c>
      <c r="I17" s="555" t="s">
        <v>273</v>
      </c>
      <c r="J17" s="549" t="s">
        <v>517</v>
      </c>
      <c r="K17" s="581"/>
    </row>
    <row r="18" spans="1:11" ht="22.5" thickBot="1">
      <c r="A18" s="438" t="s">
        <v>2</v>
      </c>
      <c r="B18" s="544">
        <f>SUM(B8:B17)</f>
        <v>9155097.410000002</v>
      </c>
      <c r="C18" s="544">
        <f aca="true" t="shared" si="1" ref="C18:H18">SUM(C8:C17)</f>
        <v>123584087.64000002</v>
      </c>
      <c r="D18" s="544">
        <f t="shared" si="1"/>
        <v>14149768.4</v>
      </c>
      <c r="E18" s="544">
        <f t="shared" si="1"/>
        <v>91971.82</v>
      </c>
      <c r="F18" s="544">
        <f t="shared" si="1"/>
        <v>294921.66000000003</v>
      </c>
      <c r="G18" s="544">
        <f t="shared" si="1"/>
        <v>683483359.22</v>
      </c>
      <c r="H18" s="544">
        <f t="shared" si="1"/>
        <v>830759206.1500001</v>
      </c>
      <c r="I18" s="544"/>
      <c r="J18" s="545"/>
      <c r="K18" s="545"/>
    </row>
    <row r="19" ht="22.5" thickTop="1"/>
  </sheetData>
  <sheetProtection/>
  <mergeCells count="9">
    <mergeCell ref="B5:F5"/>
    <mergeCell ref="A1:K1"/>
    <mergeCell ref="A2:K2"/>
    <mergeCell ref="A4:A6"/>
    <mergeCell ref="B4:F4"/>
    <mergeCell ref="H4:H6"/>
    <mergeCell ref="I4:I6"/>
    <mergeCell ref="J4:J6"/>
    <mergeCell ref="K4:K6"/>
  </mergeCells>
  <printOptions horizontalCentered="1" verticalCentered="1"/>
  <pageMargins left="0.118110236220472" right="0" top="0.15748031496063" bottom="0" header="0.905511811023622" footer="0.15748031496063"/>
  <pageSetup horizontalDpi="600" verticalDpi="600" orientation="landscape" paperSize="9" scale="7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L33"/>
  <sheetViews>
    <sheetView showGridLines="0" zoomScalePageLayoutView="0" workbookViewId="0" topLeftCell="A16">
      <selection activeCell="E18" sqref="E18"/>
    </sheetView>
  </sheetViews>
  <sheetFormatPr defaultColWidth="9.140625" defaultRowHeight="21.75"/>
  <cols>
    <col min="1" max="1" width="59.7109375" style="0" customWidth="1"/>
    <col min="2" max="2" width="15.00390625" style="0" customWidth="1"/>
    <col min="3" max="3" width="14.8515625" style="0" customWidth="1"/>
    <col min="4" max="4" width="13.57421875" style="0" customWidth="1"/>
    <col min="5" max="5" width="11.7109375" style="0" customWidth="1"/>
    <col min="6" max="6" width="15.7109375" style="0" customWidth="1"/>
    <col min="7" max="7" width="16.00390625" style="0" customWidth="1"/>
    <col min="8" max="8" width="19.421875" style="0" customWidth="1"/>
    <col min="9" max="9" width="18.8515625" style="0" customWidth="1"/>
    <col min="10" max="10" width="17.140625" style="0" customWidth="1"/>
    <col min="12" max="12" width="11.00390625" style="0" bestFit="1" customWidth="1"/>
  </cols>
  <sheetData>
    <row r="1" spans="1:10" ht="21.75" customHeight="1">
      <c r="A1" s="840" t="s">
        <v>0</v>
      </c>
      <c r="B1" s="840"/>
      <c r="C1" s="840"/>
      <c r="D1" s="840"/>
      <c r="E1" s="840"/>
      <c r="F1" s="840"/>
      <c r="G1" s="840"/>
      <c r="H1" s="840"/>
      <c r="I1" s="840"/>
      <c r="J1" s="840"/>
    </row>
    <row r="2" spans="1:10" ht="23.25">
      <c r="A2" s="841" t="s">
        <v>512</v>
      </c>
      <c r="B2" s="840"/>
      <c r="C2" s="840"/>
      <c r="D2" s="840"/>
      <c r="E2" s="840"/>
      <c r="F2" s="840"/>
      <c r="G2" s="840"/>
      <c r="H2" s="840"/>
      <c r="I2" s="840"/>
      <c r="J2" s="840"/>
    </row>
    <row r="3" spans="1:10" ht="23.25">
      <c r="A3" s="98"/>
      <c r="B3" s="4"/>
      <c r="C3" s="4"/>
      <c r="D3" s="4"/>
      <c r="E3" s="4"/>
      <c r="F3" s="4"/>
      <c r="G3" s="4"/>
      <c r="H3" s="4"/>
      <c r="I3" s="4"/>
      <c r="J3" s="4"/>
    </row>
    <row r="4" spans="1:10" ht="21.75">
      <c r="A4" s="842" t="s">
        <v>1</v>
      </c>
      <c r="B4" s="845" t="s">
        <v>13</v>
      </c>
      <c r="C4" s="846"/>
      <c r="D4" s="846"/>
      <c r="E4" s="846"/>
      <c r="F4" s="847"/>
      <c r="G4" s="848" t="s">
        <v>19</v>
      </c>
      <c r="H4" s="842" t="s">
        <v>6</v>
      </c>
      <c r="I4" s="842" t="s">
        <v>7</v>
      </c>
      <c r="J4" s="851" t="s">
        <v>36</v>
      </c>
    </row>
    <row r="5" spans="1:10" ht="21.75" customHeight="1">
      <c r="A5" s="843"/>
      <c r="B5" s="837" t="s">
        <v>796</v>
      </c>
      <c r="C5" s="838"/>
      <c r="D5" s="838"/>
      <c r="E5" s="838"/>
      <c r="F5" s="839"/>
      <c r="G5" s="849"/>
      <c r="H5" s="843"/>
      <c r="I5" s="843"/>
      <c r="J5" s="852"/>
    </row>
    <row r="6" spans="1:10" ht="21.75">
      <c r="A6" s="844"/>
      <c r="B6" s="28" t="s">
        <v>8</v>
      </c>
      <c r="C6" s="271" t="s">
        <v>230</v>
      </c>
      <c r="D6" s="270" t="s">
        <v>221</v>
      </c>
      <c r="E6" s="28" t="s">
        <v>10</v>
      </c>
      <c r="F6" s="113" t="s">
        <v>21</v>
      </c>
      <c r="G6" s="850"/>
      <c r="H6" s="850"/>
      <c r="I6" s="850"/>
      <c r="J6" s="853"/>
    </row>
    <row r="7" spans="1:10" ht="23.25" customHeight="1">
      <c r="A7" s="100" t="s">
        <v>20</v>
      </c>
      <c r="B7" s="101"/>
      <c r="C7" s="101"/>
      <c r="D7" s="101"/>
      <c r="E7" s="101"/>
      <c r="F7" s="101"/>
      <c r="G7" s="101"/>
      <c r="H7" s="102"/>
      <c r="I7" s="102"/>
      <c r="J7" s="72"/>
    </row>
    <row r="8" spans="1:10" ht="87">
      <c r="A8" s="535" t="s">
        <v>379</v>
      </c>
      <c r="B8" s="553"/>
      <c r="C8" s="314">
        <v>127414828</v>
      </c>
      <c r="D8" s="314"/>
      <c r="E8" s="314"/>
      <c r="F8" s="314"/>
      <c r="G8" s="143">
        <f aca="true" t="shared" si="0" ref="G8:G17">SUM(B8:F8)</f>
        <v>127414828</v>
      </c>
      <c r="H8" s="552" t="s">
        <v>273</v>
      </c>
      <c r="I8" s="174" t="s">
        <v>159</v>
      </c>
      <c r="J8" s="145" t="s">
        <v>347</v>
      </c>
    </row>
    <row r="9" spans="1:10" ht="130.5">
      <c r="A9" s="535" t="s">
        <v>378</v>
      </c>
      <c r="B9" s="553"/>
      <c r="C9" s="314">
        <v>18125904.07</v>
      </c>
      <c r="D9" s="314"/>
      <c r="E9" s="314"/>
      <c r="F9" s="314"/>
      <c r="G9" s="143">
        <f t="shared" si="0"/>
        <v>18125904.07</v>
      </c>
      <c r="H9" s="552" t="s">
        <v>273</v>
      </c>
      <c r="I9" s="174" t="s">
        <v>159</v>
      </c>
      <c r="J9" s="145" t="s">
        <v>347</v>
      </c>
    </row>
    <row r="10" spans="1:10" ht="87">
      <c r="A10" s="538" t="s">
        <v>977</v>
      </c>
      <c r="B10" s="314">
        <v>6490186</v>
      </c>
      <c r="C10" s="314"/>
      <c r="D10" s="314"/>
      <c r="E10" s="314"/>
      <c r="F10" s="314"/>
      <c r="G10" s="314">
        <f t="shared" si="0"/>
        <v>6490186</v>
      </c>
      <c r="H10" s="552" t="s">
        <v>273</v>
      </c>
      <c r="I10" s="174" t="s">
        <v>226</v>
      </c>
      <c r="J10" s="156" t="s">
        <v>42</v>
      </c>
    </row>
    <row r="11" spans="1:10" ht="152.25">
      <c r="A11" s="461" t="s">
        <v>514</v>
      </c>
      <c r="B11" s="551"/>
      <c r="C11" s="550">
        <v>347394325.25</v>
      </c>
      <c r="D11" s="550"/>
      <c r="E11" s="550"/>
      <c r="F11" s="550"/>
      <c r="G11" s="550">
        <f t="shared" si="0"/>
        <v>347394325.25</v>
      </c>
      <c r="H11" s="552" t="s">
        <v>273</v>
      </c>
      <c r="I11" s="174" t="s">
        <v>159</v>
      </c>
      <c r="J11" s="156" t="s">
        <v>42</v>
      </c>
    </row>
    <row r="12" spans="1:10" ht="65.25">
      <c r="A12" s="537" t="s">
        <v>712</v>
      </c>
      <c r="B12" s="551"/>
      <c r="C12" s="550">
        <v>295386610.14</v>
      </c>
      <c r="D12" s="550"/>
      <c r="E12" s="550"/>
      <c r="F12" s="550"/>
      <c r="G12" s="550">
        <f t="shared" si="0"/>
        <v>295386610.14</v>
      </c>
      <c r="H12" s="552" t="s">
        <v>273</v>
      </c>
      <c r="I12" s="174" t="s">
        <v>226</v>
      </c>
      <c r="J12" s="149"/>
    </row>
    <row r="13" spans="1:10" ht="87">
      <c r="A13" s="538" t="s">
        <v>380</v>
      </c>
      <c r="B13" s="550"/>
      <c r="C13" s="550">
        <v>11868700</v>
      </c>
      <c r="D13" s="551"/>
      <c r="E13" s="551"/>
      <c r="F13" s="551"/>
      <c r="G13" s="550">
        <f t="shared" si="0"/>
        <v>11868700</v>
      </c>
      <c r="H13" s="552" t="s">
        <v>273</v>
      </c>
      <c r="I13" s="174" t="s">
        <v>18</v>
      </c>
      <c r="J13" s="145" t="s">
        <v>347</v>
      </c>
    </row>
    <row r="14" spans="1:10" ht="87">
      <c r="A14" s="538" t="s">
        <v>515</v>
      </c>
      <c r="B14" s="550">
        <v>8717466.55</v>
      </c>
      <c r="C14" s="550"/>
      <c r="D14" s="551"/>
      <c r="E14" s="551"/>
      <c r="F14" s="551"/>
      <c r="G14" s="550">
        <f t="shared" si="0"/>
        <v>8717466.55</v>
      </c>
      <c r="H14" s="552" t="s">
        <v>273</v>
      </c>
      <c r="I14" s="174" t="s">
        <v>18</v>
      </c>
      <c r="J14" s="156" t="s">
        <v>42</v>
      </c>
    </row>
    <row r="15" spans="1:10" ht="87">
      <c r="A15" s="537" t="s">
        <v>516</v>
      </c>
      <c r="B15" s="536"/>
      <c r="C15" s="553"/>
      <c r="D15" s="553">
        <v>13762875</v>
      </c>
      <c r="E15" s="553"/>
      <c r="F15" s="553"/>
      <c r="G15" s="550">
        <f t="shared" si="0"/>
        <v>13762875</v>
      </c>
      <c r="H15" s="552" t="s">
        <v>273</v>
      </c>
      <c r="I15" s="174" t="s">
        <v>18</v>
      </c>
      <c r="J15" s="156" t="s">
        <v>42</v>
      </c>
    </row>
    <row r="16" spans="1:12" ht="65.25">
      <c r="A16" s="146" t="s">
        <v>978</v>
      </c>
      <c r="B16" s="147">
        <f>45985.89*4</f>
        <v>183943.56</v>
      </c>
      <c r="C16" s="147">
        <f>45985.89*4</f>
        <v>183943.56</v>
      </c>
      <c r="D16" s="147">
        <f>45985.89*4</f>
        <v>183943.56</v>
      </c>
      <c r="E16" s="147">
        <v>91971.82</v>
      </c>
      <c r="F16" s="147">
        <v>91971.82</v>
      </c>
      <c r="G16" s="187">
        <f t="shared" si="0"/>
        <v>735774.3200000001</v>
      </c>
      <c r="H16" s="346" t="s">
        <v>143</v>
      </c>
      <c r="I16" s="174" t="s">
        <v>517</v>
      </c>
      <c r="J16" s="164"/>
      <c r="L16" s="30"/>
    </row>
    <row r="17" spans="1:12" ht="65.25">
      <c r="A17" s="546" t="s">
        <v>518</v>
      </c>
      <c r="B17" s="548">
        <f>50737.46*5</f>
        <v>253687.3</v>
      </c>
      <c r="C17" s="548">
        <f>50737.46*4</f>
        <v>202949.84</v>
      </c>
      <c r="D17" s="548">
        <f>50737.46*4</f>
        <v>202949.84</v>
      </c>
      <c r="E17" s="548"/>
      <c r="F17" s="548">
        <f>50737.46*4</f>
        <v>202949.84</v>
      </c>
      <c r="G17" s="548">
        <f t="shared" si="0"/>
        <v>862536.82</v>
      </c>
      <c r="H17" s="555" t="s">
        <v>273</v>
      </c>
      <c r="I17" s="549" t="s">
        <v>517</v>
      </c>
      <c r="J17" s="581"/>
      <c r="L17" s="30"/>
    </row>
    <row r="18" spans="1:10" ht="22.5" thickBot="1">
      <c r="A18" s="438" t="s">
        <v>2</v>
      </c>
      <c r="B18" s="544">
        <f aca="true" t="shared" si="1" ref="B18:G18">SUM(B8:B17)</f>
        <v>15645283.410000002</v>
      </c>
      <c r="C18" s="544">
        <f t="shared" si="1"/>
        <v>800577260.86</v>
      </c>
      <c r="D18" s="544">
        <f t="shared" si="1"/>
        <v>14149768.4</v>
      </c>
      <c r="E18" s="544">
        <f t="shared" si="1"/>
        <v>91971.82</v>
      </c>
      <c r="F18" s="544">
        <f t="shared" si="1"/>
        <v>294921.66000000003</v>
      </c>
      <c r="G18" s="544">
        <f t="shared" si="1"/>
        <v>830759206.1500001</v>
      </c>
      <c r="H18" s="544"/>
      <c r="I18" s="545"/>
      <c r="J18" s="545"/>
    </row>
    <row r="19" ht="22.5" thickTop="1"/>
    <row r="20" spans="6:7" ht="21.75">
      <c r="F20" s="1"/>
      <c r="G20" s="99"/>
    </row>
    <row r="21" spans="2:7" ht="21.75">
      <c r="B21" s="30"/>
      <c r="C21" s="1"/>
      <c r="G21" s="99"/>
    </row>
    <row r="22" spans="5:7" ht="21.75">
      <c r="E22" s="202"/>
      <c r="G22" s="99"/>
    </row>
    <row r="23" ht="21.75">
      <c r="G23" s="99"/>
    </row>
    <row r="24" ht="21.75">
      <c r="G24" s="99"/>
    </row>
    <row r="25" ht="21.75">
      <c r="G25" s="99"/>
    </row>
    <row r="26" ht="21.75">
      <c r="G26" s="99"/>
    </row>
    <row r="27" ht="21.75">
      <c r="G27" s="99"/>
    </row>
    <row r="28" ht="21.75">
      <c r="G28" s="99"/>
    </row>
    <row r="29" ht="21.75">
      <c r="G29" s="99"/>
    </row>
    <row r="30" ht="21.75">
      <c r="G30" s="99"/>
    </row>
    <row r="31" ht="21.75">
      <c r="G31" s="99"/>
    </row>
    <row r="32" ht="21.75">
      <c r="G32" s="99"/>
    </row>
    <row r="33" ht="21.75">
      <c r="G33" s="1"/>
    </row>
  </sheetData>
  <sheetProtection/>
  <mergeCells count="9">
    <mergeCell ref="A1:J1"/>
    <mergeCell ref="A2:J2"/>
    <mergeCell ref="A4:A6"/>
    <mergeCell ref="B4:F4"/>
    <mergeCell ref="G4:G6"/>
    <mergeCell ref="H4:H6"/>
    <mergeCell ref="I4:I6"/>
    <mergeCell ref="J4:J6"/>
    <mergeCell ref="B5:F5"/>
  </mergeCells>
  <printOptions horizontalCentered="1" verticalCentered="1"/>
  <pageMargins left="0.118110236220472" right="0" top="0.15748031496063" bottom="0" header="0.905511811023622" footer="0.15748031496063"/>
  <pageSetup horizontalDpi="600" verticalDpi="600" orientation="landscape" paperSize="9" scale="7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L48"/>
  <sheetViews>
    <sheetView showGridLines="0" zoomScalePageLayoutView="0" workbookViewId="0" topLeftCell="A40">
      <selection activeCell="C49" sqref="C49"/>
    </sheetView>
  </sheetViews>
  <sheetFormatPr defaultColWidth="9.140625" defaultRowHeight="21.75"/>
  <cols>
    <col min="1" max="1" width="76.140625" style="0" customWidth="1"/>
    <col min="2" max="2" width="8.00390625" style="0" customWidth="1"/>
    <col min="3" max="3" width="11.8515625" style="0" customWidth="1"/>
    <col min="4" max="4" width="10.421875" style="0" customWidth="1"/>
    <col min="5" max="5" width="8.7109375" style="0" bestFit="1" customWidth="1"/>
    <col min="6" max="6" width="17.28125" style="0" customWidth="1"/>
    <col min="7" max="7" width="15.28125" style="0" customWidth="1"/>
    <col min="8" max="8" width="11.28125" style="0" customWidth="1"/>
    <col min="9" max="9" width="15.00390625" style="0" customWidth="1"/>
    <col min="10" max="10" width="14.57421875" style="0" customWidth="1"/>
    <col min="12" max="12" width="11.00390625" style="0" bestFit="1" customWidth="1"/>
  </cols>
  <sheetData>
    <row r="1" spans="1:10" ht="23.25">
      <c r="A1" s="840" t="s">
        <v>0</v>
      </c>
      <c r="B1" s="840"/>
      <c r="C1" s="840"/>
      <c r="D1" s="840"/>
      <c r="E1" s="840"/>
      <c r="F1" s="840"/>
      <c r="G1" s="840"/>
      <c r="H1" s="840"/>
      <c r="I1" s="840"/>
      <c r="J1" s="840"/>
    </row>
    <row r="2" spans="1:10" ht="23.25">
      <c r="A2" s="841" t="s">
        <v>512</v>
      </c>
      <c r="B2" s="840"/>
      <c r="C2" s="840"/>
      <c r="D2" s="840"/>
      <c r="E2" s="840"/>
      <c r="F2" s="840"/>
      <c r="G2" s="840"/>
      <c r="H2" s="840"/>
      <c r="I2" s="840"/>
      <c r="J2" s="840"/>
    </row>
    <row r="3" ht="30" customHeight="1">
      <c r="A3" s="570"/>
    </row>
    <row r="4" spans="1:10" ht="21.75">
      <c r="A4" s="842" t="s">
        <v>1</v>
      </c>
      <c r="B4" s="845" t="s">
        <v>13</v>
      </c>
      <c r="C4" s="854"/>
      <c r="D4" s="854"/>
      <c r="E4" s="855"/>
      <c r="F4" s="848" t="s">
        <v>80</v>
      </c>
      <c r="G4" s="848" t="s">
        <v>14</v>
      </c>
      <c r="H4" s="842" t="s">
        <v>6</v>
      </c>
      <c r="I4" s="857" t="s">
        <v>7</v>
      </c>
      <c r="J4" s="842" t="s">
        <v>5</v>
      </c>
    </row>
    <row r="5" spans="1:12" ht="45" customHeight="1">
      <c r="A5" s="844"/>
      <c r="B5" s="23" t="s">
        <v>8</v>
      </c>
      <c r="C5" s="23" t="s">
        <v>9</v>
      </c>
      <c r="D5" s="23" t="s">
        <v>221</v>
      </c>
      <c r="E5" s="23" t="s">
        <v>10</v>
      </c>
      <c r="F5" s="856"/>
      <c r="G5" s="856"/>
      <c r="H5" s="844"/>
      <c r="I5" s="858"/>
      <c r="J5" s="844"/>
      <c r="L5" s="99"/>
    </row>
    <row r="6" spans="1:10" ht="22.5" customHeight="1">
      <c r="A6" s="7" t="s">
        <v>312</v>
      </c>
      <c r="B6" s="8"/>
      <c r="C6" s="8"/>
      <c r="D6" s="8"/>
      <c r="E6" s="8"/>
      <c r="F6" s="8"/>
      <c r="G6" s="8"/>
      <c r="H6" s="9"/>
      <c r="I6" s="9"/>
      <c r="J6" s="10"/>
    </row>
    <row r="7" spans="1:10" ht="22.5" customHeight="1">
      <c r="A7" s="11" t="s">
        <v>313</v>
      </c>
      <c r="B7" s="12"/>
      <c r="C7" s="12"/>
      <c r="D7" s="12"/>
      <c r="E7" s="12"/>
      <c r="F7" s="12"/>
      <c r="G7" s="12"/>
      <c r="H7" s="13"/>
      <c r="I7" s="13"/>
      <c r="J7" s="14"/>
    </row>
    <row r="8" spans="1:10" ht="22.5" customHeight="1">
      <c r="A8" s="115" t="s">
        <v>16</v>
      </c>
      <c r="B8" s="25"/>
      <c r="C8" s="17"/>
      <c r="D8" s="17"/>
      <c r="E8" s="26"/>
      <c r="F8" s="481">
        <f>1389856*18/100</f>
        <v>250174.08</v>
      </c>
      <c r="G8" s="168">
        <f aca="true" t="shared" si="0" ref="G8:G24">SUM(B8:F8)</f>
        <v>250174.08</v>
      </c>
      <c r="H8" s="164" t="s">
        <v>17</v>
      </c>
      <c r="I8" s="353" t="s">
        <v>11</v>
      </c>
      <c r="J8" s="354">
        <v>0.18</v>
      </c>
    </row>
    <row r="9" spans="1:10" ht="22.5" customHeight="1">
      <c r="A9" s="115" t="s">
        <v>391</v>
      </c>
      <c r="B9" s="25"/>
      <c r="C9" s="17"/>
      <c r="D9" s="17"/>
      <c r="E9" s="26"/>
      <c r="F9" s="168">
        <v>3037200</v>
      </c>
      <c r="G9" s="168">
        <f>SUM(B9:F9)</f>
        <v>3037200</v>
      </c>
      <c r="H9" s="164" t="s">
        <v>17</v>
      </c>
      <c r="I9" s="353" t="s">
        <v>11</v>
      </c>
      <c r="J9" s="354"/>
    </row>
    <row r="10" spans="1:12" ht="22.5" customHeight="1">
      <c r="A10" s="159" t="s">
        <v>561</v>
      </c>
      <c r="B10" s="15"/>
      <c r="C10" s="15"/>
      <c r="D10" s="15"/>
      <c r="E10" s="15"/>
      <c r="F10" s="184">
        <f>2000000*16/100</f>
        <v>320000</v>
      </c>
      <c r="G10" s="148">
        <f t="shared" si="0"/>
        <v>320000</v>
      </c>
      <c r="H10" s="164" t="s">
        <v>43</v>
      </c>
      <c r="I10" s="353" t="s">
        <v>11</v>
      </c>
      <c r="J10" s="354">
        <v>0.16</v>
      </c>
      <c r="L10" s="202"/>
    </row>
    <row r="11" spans="1:12" ht="22.5" customHeight="1">
      <c r="A11" s="75" t="s">
        <v>189</v>
      </c>
      <c r="B11" s="25"/>
      <c r="C11" s="17"/>
      <c r="D11" s="17"/>
      <c r="E11" s="26"/>
      <c r="F11" s="168">
        <f>4304935.86*16/100</f>
        <v>688789.7376000001</v>
      </c>
      <c r="G11" s="168">
        <f>SUM(B11:F11)</f>
        <v>688789.7376000001</v>
      </c>
      <c r="H11" s="164" t="s">
        <v>43</v>
      </c>
      <c r="I11" s="353" t="s">
        <v>11</v>
      </c>
      <c r="J11" s="354">
        <v>0.16</v>
      </c>
      <c r="L11" s="202"/>
    </row>
    <row r="12" spans="1:12" ht="22.5" customHeight="1">
      <c r="A12" s="159" t="s">
        <v>470</v>
      </c>
      <c r="B12" s="15"/>
      <c r="C12" s="15"/>
      <c r="D12" s="15"/>
      <c r="E12" s="15"/>
      <c r="F12" s="148">
        <f>163276*16/100</f>
        <v>26124.16</v>
      </c>
      <c r="G12" s="148">
        <f>SUM(B12:F12)</f>
        <v>26124.16</v>
      </c>
      <c r="H12" s="164" t="s">
        <v>43</v>
      </c>
      <c r="I12" s="353" t="s">
        <v>11</v>
      </c>
      <c r="J12" s="354">
        <v>0.16</v>
      </c>
      <c r="L12" s="202"/>
    </row>
    <row r="13" spans="1:12" ht="22.5" customHeight="1">
      <c r="A13" s="11" t="s">
        <v>471</v>
      </c>
      <c r="B13" s="15"/>
      <c r="C13" s="15"/>
      <c r="D13" s="15"/>
      <c r="E13" s="15"/>
      <c r="F13" s="184"/>
      <c r="G13" s="148"/>
      <c r="H13" s="164"/>
      <c r="I13" s="353"/>
      <c r="J13" s="354"/>
      <c r="L13" s="202"/>
    </row>
    <row r="14" spans="1:10" ht="43.5">
      <c r="A14" s="75" t="s">
        <v>157</v>
      </c>
      <c r="B14" s="15"/>
      <c r="C14" s="15"/>
      <c r="D14" s="15"/>
      <c r="E14" s="15"/>
      <c r="F14" s="148">
        <f>14603730.28</f>
        <v>14603730.28</v>
      </c>
      <c r="G14" s="148">
        <f t="shared" si="0"/>
        <v>14603730.28</v>
      </c>
      <c r="H14" s="164" t="s">
        <v>43</v>
      </c>
      <c r="I14" s="353" t="s">
        <v>11</v>
      </c>
      <c r="J14" s="354"/>
    </row>
    <row r="15" spans="1:10" ht="22.5" customHeight="1">
      <c r="A15" s="11" t="s">
        <v>994</v>
      </c>
      <c r="B15" s="26"/>
      <c r="C15" s="17"/>
      <c r="D15" s="17"/>
      <c r="E15" s="26"/>
      <c r="F15" s="168"/>
      <c r="G15" s="168">
        <f t="shared" si="0"/>
        <v>0</v>
      </c>
      <c r="H15" s="164" t="s">
        <v>43</v>
      </c>
      <c r="I15" s="353" t="s">
        <v>11</v>
      </c>
      <c r="J15" s="354"/>
    </row>
    <row r="16" spans="1:10" ht="22.5" customHeight="1">
      <c r="A16" s="75" t="s">
        <v>563</v>
      </c>
      <c r="B16" s="75"/>
      <c r="C16" s="75"/>
      <c r="D16" s="75"/>
      <c r="E16" s="75"/>
      <c r="F16" s="569">
        <f>70365</f>
        <v>70365</v>
      </c>
      <c r="G16" s="168">
        <f t="shared" si="0"/>
        <v>70365</v>
      </c>
      <c r="H16" s="164" t="s">
        <v>43</v>
      </c>
      <c r="I16" s="353" t="s">
        <v>11</v>
      </c>
      <c r="J16" s="568"/>
    </row>
    <row r="17" spans="1:10" ht="22.5" customHeight="1">
      <c r="A17" s="75" t="s">
        <v>564</v>
      </c>
      <c r="B17" s="75"/>
      <c r="C17" s="75"/>
      <c r="D17" s="75"/>
      <c r="E17" s="75"/>
      <c r="F17" s="569">
        <v>44537.66</v>
      </c>
      <c r="G17" s="168">
        <f t="shared" si="0"/>
        <v>44537.66</v>
      </c>
      <c r="H17" s="164" t="s">
        <v>43</v>
      </c>
      <c r="I17" s="353" t="s">
        <v>11</v>
      </c>
      <c r="J17" s="568"/>
    </row>
    <row r="18" spans="1:10" ht="22.5" customHeight="1">
      <c r="A18" s="75" t="s">
        <v>566</v>
      </c>
      <c r="B18" s="75"/>
      <c r="C18" s="75"/>
      <c r="D18" s="75"/>
      <c r="E18" s="75"/>
      <c r="F18" s="569">
        <v>332700</v>
      </c>
      <c r="G18" s="168">
        <f t="shared" si="0"/>
        <v>332700</v>
      </c>
      <c r="H18" s="164" t="s">
        <v>43</v>
      </c>
      <c r="I18" s="353" t="s">
        <v>11</v>
      </c>
      <c r="J18" s="568"/>
    </row>
    <row r="19" spans="1:10" ht="22.5" customHeight="1">
      <c r="A19" s="75" t="s">
        <v>565</v>
      </c>
      <c r="B19" s="75"/>
      <c r="C19" s="75"/>
      <c r="D19" s="75"/>
      <c r="E19" s="75"/>
      <c r="F19" s="569">
        <v>49231</v>
      </c>
      <c r="G19" s="168">
        <f t="shared" si="0"/>
        <v>49231</v>
      </c>
      <c r="H19" s="164" t="s">
        <v>43</v>
      </c>
      <c r="I19" s="353" t="s">
        <v>11</v>
      </c>
      <c r="J19" s="568"/>
    </row>
    <row r="20" spans="1:10" ht="22.5" customHeight="1">
      <c r="A20" s="75" t="s">
        <v>567</v>
      </c>
      <c r="B20" s="75"/>
      <c r="C20" s="75"/>
      <c r="D20" s="75"/>
      <c r="E20" s="75"/>
      <c r="F20" s="569">
        <v>508800</v>
      </c>
      <c r="G20" s="168">
        <f t="shared" si="0"/>
        <v>508800</v>
      </c>
      <c r="H20" s="164" t="s">
        <v>43</v>
      </c>
      <c r="I20" s="353" t="s">
        <v>11</v>
      </c>
      <c r="J20" s="568"/>
    </row>
    <row r="21" spans="1:10" ht="22.5" customHeight="1">
      <c r="A21" s="11" t="s">
        <v>995</v>
      </c>
      <c r="B21" s="75"/>
      <c r="C21" s="75"/>
      <c r="D21" s="75"/>
      <c r="E21" s="75"/>
      <c r="F21" s="569"/>
      <c r="G21" s="168"/>
      <c r="H21" s="164"/>
      <c r="I21" s="353"/>
      <c r="J21" s="568"/>
    </row>
    <row r="22" spans="1:10" ht="22.5" customHeight="1">
      <c r="A22" s="159" t="s">
        <v>570</v>
      </c>
      <c r="B22" s="75"/>
      <c r="C22" s="569">
        <v>690000</v>
      </c>
      <c r="D22" s="75"/>
      <c r="E22" s="75"/>
      <c r="F22" s="569"/>
      <c r="G22" s="168">
        <f>SUM(B22:F22)</f>
        <v>690000</v>
      </c>
      <c r="H22" s="164" t="s">
        <v>17</v>
      </c>
      <c r="I22" s="174" t="s">
        <v>571</v>
      </c>
      <c r="J22" s="568"/>
    </row>
    <row r="23" spans="1:10" ht="22.5" customHeight="1">
      <c r="A23" s="456" t="s">
        <v>568</v>
      </c>
      <c r="B23" s="75"/>
      <c r="C23" s="75"/>
      <c r="D23" s="75"/>
      <c r="E23" s="75"/>
      <c r="F23" s="569"/>
      <c r="G23" s="168"/>
      <c r="H23" s="164"/>
      <c r="I23" s="353"/>
      <c r="J23" s="568"/>
    </row>
    <row r="24" spans="1:10" ht="22.5" customHeight="1">
      <c r="A24" s="75" t="s">
        <v>569</v>
      </c>
      <c r="B24" s="565"/>
      <c r="C24" s="566"/>
      <c r="D24" s="566"/>
      <c r="E24" s="565"/>
      <c r="F24" s="567">
        <v>167255.6</v>
      </c>
      <c r="G24" s="168">
        <f t="shared" si="0"/>
        <v>167255.6</v>
      </c>
      <c r="H24" s="164" t="s">
        <v>43</v>
      </c>
      <c r="I24" s="353" t="s">
        <v>11</v>
      </c>
      <c r="J24" s="568"/>
    </row>
    <row r="25" spans="1:10" ht="22.5" customHeight="1">
      <c r="A25" s="114" t="s">
        <v>48</v>
      </c>
      <c r="B25" s="18"/>
      <c r="C25" s="18"/>
      <c r="D25" s="18"/>
      <c r="E25" s="18"/>
      <c r="F25" s="356"/>
      <c r="G25" s="356"/>
      <c r="H25" s="357"/>
      <c r="I25" s="358"/>
      <c r="J25" s="359"/>
    </row>
    <row r="26" spans="1:10" ht="22.5" customHeight="1">
      <c r="A26" s="75" t="s">
        <v>1030</v>
      </c>
      <c r="B26" s="18"/>
      <c r="C26" s="18"/>
      <c r="D26" s="18"/>
      <c r="E26" s="18"/>
      <c r="F26" s="356">
        <f>6064547.33*4/100</f>
        <v>242581.8932</v>
      </c>
      <c r="G26" s="356">
        <f>SUM(B26:F26)</f>
        <v>242581.8932</v>
      </c>
      <c r="H26" s="164" t="s">
        <v>17</v>
      </c>
      <c r="I26" s="353" t="s">
        <v>11</v>
      </c>
      <c r="J26" s="354">
        <v>0.04</v>
      </c>
    </row>
    <row r="27" spans="1:10" ht="22.5" customHeight="1">
      <c r="A27" s="75" t="s">
        <v>49</v>
      </c>
      <c r="B27" s="18"/>
      <c r="C27" s="18"/>
      <c r="D27" s="18"/>
      <c r="E27" s="18"/>
      <c r="F27" s="356">
        <f>378000*4/100</f>
        <v>15120</v>
      </c>
      <c r="G27" s="356">
        <f>SUM(B27:F27)</f>
        <v>15120</v>
      </c>
      <c r="H27" s="164" t="s">
        <v>43</v>
      </c>
      <c r="I27" s="353" t="s">
        <v>11</v>
      </c>
      <c r="J27" s="354">
        <v>0.04</v>
      </c>
    </row>
    <row r="28" spans="1:10" ht="43.5">
      <c r="A28" s="75" t="s">
        <v>50</v>
      </c>
      <c r="B28" s="18"/>
      <c r="C28" s="18"/>
      <c r="D28" s="18"/>
      <c r="E28" s="18"/>
      <c r="F28" s="356">
        <f>94500*4/100</f>
        <v>3780</v>
      </c>
      <c r="G28" s="356">
        <f>SUM(B28:F28)</f>
        <v>3780</v>
      </c>
      <c r="H28" s="164" t="s">
        <v>43</v>
      </c>
      <c r="I28" s="353" t="s">
        <v>11</v>
      </c>
      <c r="J28" s="354">
        <v>0.04</v>
      </c>
    </row>
    <row r="29" spans="1:10" ht="22.5" customHeight="1">
      <c r="A29" s="75" t="s">
        <v>51</v>
      </c>
      <c r="B29" s="18"/>
      <c r="C29" s="18"/>
      <c r="D29" s="18"/>
      <c r="E29" s="125"/>
      <c r="F29" s="356">
        <f>612307.65</f>
        <v>612307.65</v>
      </c>
      <c r="G29" s="356">
        <f>SUM(B29:F29)</f>
        <v>612307.65</v>
      </c>
      <c r="H29" s="164" t="s">
        <v>43</v>
      </c>
      <c r="I29" s="353" t="s">
        <v>11</v>
      </c>
      <c r="J29" s="354"/>
    </row>
    <row r="30" spans="1:10" ht="22.5" customHeight="1">
      <c r="A30" s="456" t="s">
        <v>472</v>
      </c>
      <c r="B30" s="18"/>
      <c r="C30" s="15"/>
      <c r="D30" s="15"/>
      <c r="E30" s="237"/>
      <c r="F30" s="148"/>
      <c r="G30" s="148"/>
      <c r="H30" s="164"/>
      <c r="I30" s="353"/>
      <c r="J30" s="354"/>
    </row>
    <row r="31" spans="1:10" ht="22.5" customHeight="1">
      <c r="A31" s="115" t="s">
        <v>16</v>
      </c>
      <c r="B31" s="25"/>
      <c r="C31" s="17"/>
      <c r="D31" s="481"/>
      <c r="E31" s="26"/>
      <c r="F31" s="481">
        <f>155382.2*18/100</f>
        <v>27968.796000000002</v>
      </c>
      <c r="G31" s="168">
        <f>SUM(B31:F31)</f>
        <v>27968.796000000002</v>
      </c>
      <c r="H31" s="164" t="s">
        <v>17</v>
      </c>
      <c r="I31" s="353" t="s">
        <v>11</v>
      </c>
      <c r="J31" s="354">
        <v>0.18</v>
      </c>
    </row>
    <row r="32" spans="1:10" ht="22.5" customHeight="1">
      <c r="A32" s="456" t="s">
        <v>392</v>
      </c>
      <c r="B32" s="18"/>
      <c r="C32" s="18"/>
      <c r="D32" s="18"/>
      <c r="E32" s="125"/>
      <c r="F32" s="356"/>
      <c r="G32" s="356"/>
      <c r="H32" s="164"/>
      <c r="I32" s="353"/>
      <c r="J32" s="354"/>
    </row>
    <row r="33" spans="1:10" ht="22.5" customHeight="1">
      <c r="A33" s="75" t="s">
        <v>562</v>
      </c>
      <c r="B33" s="18"/>
      <c r="C33" s="18"/>
      <c r="D33" s="18"/>
      <c r="E33" s="125"/>
      <c r="F33" s="356">
        <v>153541.92</v>
      </c>
      <c r="G33" s="356">
        <f aca="true" t="shared" si="1" ref="G33:G39">SUM(B33:F33)</f>
        <v>153541.92</v>
      </c>
      <c r="H33" s="164" t="s">
        <v>43</v>
      </c>
      <c r="I33" s="353" t="s">
        <v>11</v>
      </c>
      <c r="J33" s="354"/>
    </row>
    <row r="34" spans="1:10" ht="22.5" customHeight="1">
      <c r="A34" s="75" t="s">
        <v>393</v>
      </c>
      <c r="B34" s="18"/>
      <c r="C34" s="18"/>
      <c r="D34" s="18"/>
      <c r="E34" s="125"/>
      <c r="F34" s="356">
        <v>47593.2</v>
      </c>
      <c r="G34" s="356">
        <f t="shared" si="1"/>
        <v>47593.2</v>
      </c>
      <c r="H34" s="164" t="s">
        <v>43</v>
      </c>
      <c r="I34" s="353" t="s">
        <v>180</v>
      </c>
      <c r="J34" s="354"/>
    </row>
    <row r="35" spans="1:10" ht="22.5" customHeight="1">
      <c r="A35" s="75" t="s">
        <v>395</v>
      </c>
      <c r="B35" s="18"/>
      <c r="C35" s="18"/>
      <c r="D35" s="18"/>
      <c r="E35" s="125"/>
      <c r="F35" s="356">
        <f>160931.25*16/100</f>
        <v>25749</v>
      </c>
      <c r="G35" s="356">
        <f t="shared" si="1"/>
        <v>25749</v>
      </c>
      <c r="H35" s="164" t="s">
        <v>43</v>
      </c>
      <c r="I35" s="353" t="s">
        <v>11</v>
      </c>
      <c r="J35" s="354">
        <v>0.16</v>
      </c>
    </row>
    <row r="36" spans="1:10" ht="22.5" customHeight="1">
      <c r="A36" s="75" t="s">
        <v>394</v>
      </c>
      <c r="B36" s="18"/>
      <c r="C36" s="18"/>
      <c r="D36" s="18"/>
      <c r="E36" s="125"/>
      <c r="F36" s="356">
        <f>1430330.7*16/100</f>
        <v>228852.91199999998</v>
      </c>
      <c r="G36" s="356">
        <f t="shared" si="1"/>
        <v>228852.91199999998</v>
      </c>
      <c r="H36" s="164" t="s">
        <v>43</v>
      </c>
      <c r="I36" s="353" t="s">
        <v>11</v>
      </c>
      <c r="J36" s="354">
        <v>0.16</v>
      </c>
    </row>
    <row r="37" spans="1:10" ht="43.5">
      <c r="A37" s="75" t="s">
        <v>396</v>
      </c>
      <c r="B37" s="18"/>
      <c r="C37" s="18"/>
      <c r="D37" s="18"/>
      <c r="E37" s="125"/>
      <c r="F37" s="356">
        <v>24123.56</v>
      </c>
      <c r="G37" s="356">
        <f t="shared" si="1"/>
        <v>24123.56</v>
      </c>
      <c r="H37" s="164" t="s">
        <v>43</v>
      </c>
      <c r="I37" s="353" t="s">
        <v>11</v>
      </c>
      <c r="J37" s="354"/>
    </row>
    <row r="38" spans="1:10" ht="22.5" customHeight="1">
      <c r="A38" s="75" t="s">
        <v>397</v>
      </c>
      <c r="B38" s="18"/>
      <c r="C38" s="18"/>
      <c r="D38" s="18"/>
      <c r="E38" s="125"/>
      <c r="F38" s="356">
        <v>364270.59</v>
      </c>
      <c r="G38" s="356">
        <f t="shared" si="1"/>
        <v>364270.59</v>
      </c>
      <c r="H38" s="164" t="s">
        <v>43</v>
      </c>
      <c r="I38" s="353" t="s">
        <v>11</v>
      </c>
      <c r="J38" s="354"/>
    </row>
    <row r="39" spans="1:10" ht="22.5" customHeight="1">
      <c r="A39" s="75" t="s">
        <v>398</v>
      </c>
      <c r="B39" s="18"/>
      <c r="C39" s="18"/>
      <c r="D39" s="18"/>
      <c r="E39" s="125"/>
      <c r="F39" s="356">
        <f>166875*16/100</f>
        <v>26700</v>
      </c>
      <c r="G39" s="356">
        <f t="shared" si="1"/>
        <v>26700</v>
      </c>
      <c r="H39" s="164" t="s">
        <v>43</v>
      </c>
      <c r="I39" s="353" t="s">
        <v>11</v>
      </c>
      <c r="J39" s="354">
        <v>0.16</v>
      </c>
    </row>
    <row r="40" spans="1:10" ht="22.5" customHeight="1">
      <c r="A40" s="114" t="s">
        <v>52</v>
      </c>
      <c r="B40" s="18"/>
      <c r="C40" s="18"/>
      <c r="D40" s="18"/>
      <c r="E40" s="18"/>
      <c r="F40" s="356"/>
      <c r="G40" s="356"/>
      <c r="H40" s="164"/>
      <c r="I40" s="353"/>
      <c r="J40" s="355"/>
    </row>
    <row r="41" spans="1:10" ht="22.5" customHeight="1">
      <c r="A41" s="75" t="s">
        <v>53</v>
      </c>
      <c r="B41" s="18"/>
      <c r="C41" s="18"/>
      <c r="D41" s="18"/>
      <c r="E41" s="18"/>
      <c r="F41" s="356">
        <v>31660.68</v>
      </c>
      <c r="G41" s="356">
        <f>SUM(B41:F41)</f>
        <v>31660.68</v>
      </c>
      <c r="H41" s="164" t="s">
        <v>43</v>
      </c>
      <c r="I41" s="353" t="s">
        <v>11</v>
      </c>
      <c r="J41" s="360"/>
    </row>
    <row r="42" spans="1:10" ht="22.5" customHeight="1">
      <c r="A42" s="74" t="s">
        <v>54</v>
      </c>
      <c r="B42" s="15"/>
      <c r="C42" s="15"/>
      <c r="D42" s="15"/>
      <c r="E42" s="15"/>
      <c r="F42" s="356">
        <v>728640</v>
      </c>
      <c r="G42" s="148">
        <f>SUM(B42:F42)</f>
        <v>728640</v>
      </c>
      <c r="H42" s="164" t="s">
        <v>43</v>
      </c>
      <c r="I42" s="353" t="s">
        <v>11</v>
      </c>
      <c r="J42" s="360"/>
    </row>
    <row r="43" spans="1:10" ht="22.5" thickBot="1">
      <c r="A43" s="103" t="s">
        <v>2</v>
      </c>
      <c r="B43" s="599">
        <f aca="true" t="shared" si="2" ref="B43:G43">SUM(B7:B42)</f>
        <v>0</v>
      </c>
      <c r="C43" s="20">
        <f t="shared" si="2"/>
        <v>690000</v>
      </c>
      <c r="D43" s="599">
        <f t="shared" si="2"/>
        <v>0</v>
      </c>
      <c r="E43" s="599">
        <f t="shared" si="2"/>
        <v>0</v>
      </c>
      <c r="F43" s="20">
        <f t="shared" si="2"/>
        <v>22631797.7188</v>
      </c>
      <c r="G43" s="20">
        <f t="shared" si="2"/>
        <v>23321797.7188</v>
      </c>
      <c r="H43" s="151"/>
      <c r="I43" s="151"/>
      <c r="J43" s="361"/>
    </row>
    <row r="44" ht="22.5" thickTop="1"/>
    <row r="45" spans="6:9" ht="21.75">
      <c r="F45" s="1"/>
      <c r="I45" s="22"/>
    </row>
    <row r="46" ht="21.75">
      <c r="F46" s="1"/>
    </row>
    <row r="47" ht="21.75">
      <c r="F47" s="1"/>
    </row>
    <row r="48" ht="21.75">
      <c r="F48" s="1"/>
    </row>
  </sheetData>
  <sheetProtection/>
  <mergeCells count="9">
    <mergeCell ref="A1:J1"/>
    <mergeCell ref="A2:J2"/>
    <mergeCell ref="A4:A5"/>
    <mergeCell ref="B4:E4"/>
    <mergeCell ref="F4:F5"/>
    <mergeCell ref="G4:G5"/>
    <mergeCell ref="H4:H5"/>
    <mergeCell ref="I4:I5"/>
    <mergeCell ref="J4:J5"/>
  </mergeCells>
  <printOptions horizontalCentered="1" verticalCentered="1"/>
  <pageMargins left="0.31496062992126" right="0.354330708661417" top="0.196850393700787" bottom="0.118110236220472" header="0.669291338582677" footer="0.15748031496063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Q17"/>
  <sheetViews>
    <sheetView showGridLines="0" zoomScalePageLayoutView="0" workbookViewId="0" topLeftCell="A10">
      <selection activeCell="F17" sqref="F17"/>
    </sheetView>
  </sheetViews>
  <sheetFormatPr defaultColWidth="9.140625" defaultRowHeight="21.75"/>
  <cols>
    <col min="1" max="1" width="52.140625" style="0" customWidth="1"/>
    <col min="2" max="2" width="14.57421875" style="0" bestFit="1" customWidth="1"/>
    <col min="3" max="3" width="12.7109375" style="0" customWidth="1"/>
    <col min="4" max="4" width="13.140625" style="0" customWidth="1"/>
    <col min="5" max="5" width="12.421875" style="0" customWidth="1"/>
    <col min="6" max="6" width="13.57421875" style="0" customWidth="1"/>
    <col min="7" max="7" width="15.140625" style="0" customWidth="1"/>
    <col min="8" max="8" width="14.140625" style="0" customWidth="1"/>
    <col min="9" max="9" width="11.57421875" style="51" customWidth="1"/>
    <col min="10" max="10" width="15.28125" style="0" customWidth="1"/>
    <col min="11" max="11" width="13.28125" style="0" customWidth="1"/>
    <col min="12" max="12" width="10.00390625" style="0" bestFit="1" customWidth="1"/>
    <col min="13" max="13" width="12.421875" style="0" bestFit="1" customWidth="1"/>
    <col min="14" max="14" width="13.7109375" style="0" customWidth="1"/>
    <col min="15" max="15" width="12.421875" style="0" bestFit="1" customWidth="1"/>
    <col min="16" max="16" width="10.00390625" style="0" bestFit="1" customWidth="1"/>
    <col min="17" max="17" width="11.00390625" style="0" bestFit="1" customWidth="1"/>
  </cols>
  <sheetData>
    <row r="1" spans="1:11" ht="23.25">
      <c r="A1" s="840" t="s">
        <v>0</v>
      </c>
      <c r="B1" s="840"/>
      <c r="C1" s="840"/>
      <c r="D1" s="840"/>
      <c r="E1" s="840"/>
      <c r="F1" s="840"/>
      <c r="G1" s="840"/>
      <c r="H1" s="840"/>
      <c r="I1" s="840"/>
      <c r="J1" s="840"/>
      <c r="K1" s="840"/>
    </row>
    <row r="2" spans="1:11" ht="23.25">
      <c r="A2" s="841" t="s">
        <v>512</v>
      </c>
      <c r="B2" s="840"/>
      <c r="C2" s="840"/>
      <c r="D2" s="840"/>
      <c r="E2" s="840"/>
      <c r="F2" s="840"/>
      <c r="G2" s="840"/>
      <c r="H2" s="840"/>
      <c r="I2" s="840"/>
      <c r="J2" s="840"/>
      <c r="K2" s="840"/>
    </row>
    <row r="3" spans="1:2" ht="23.25" customHeight="1">
      <c r="A3" s="49"/>
      <c r="B3" s="50"/>
    </row>
    <row r="4" spans="1:11" ht="21.75" customHeight="1">
      <c r="A4" s="842" t="s">
        <v>1</v>
      </c>
      <c r="B4" s="845" t="s">
        <v>13</v>
      </c>
      <c r="C4" s="846"/>
      <c r="D4" s="846"/>
      <c r="E4" s="846"/>
      <c r="F4" s="847"/>
      <c r="G4" s="848" t="s">
        <v>80</v>
      </c>
      <c r="H4" s="848" t="s">
        <v>156</v>
      </c>
      <c r="I4" s="848" t="s">
        <v>6</v>
      </c>
      <c r="J4" s="857" t="s">
        <v>7</v>
      </c>
      <c r="K4" s="857" t="s">
        <v>36</v>
      </c>
    </row>
    <row r="5" spans="1:17" ht="42.75" customHeight="1">
      <c r="A5" s="844"/>
      <c r="B5" s="23" t="s">
        <v>8</v>
      </c>
      <c r="C5" s="23" t="s">
        <v>9</v>
      </c>
      <c r="D5" s="23" t="s">
        <v>221</v>
      </c>
      <c r="E5" s="23" t="s">
        <v>10</v>
      </c>
      <c r="F5" s="97" t="s">
        <v>41</v>
      </c>
      <c r="G5" s="856"/>
      <c r="H5" s="856"/>
      <c r="I5" s="856"/>
      <c r="J5" s="858"/>
      <c r="K5" s="858"/>
      <c r="N5" s="99"/>
      <c r="O5" s="99"/>
      <c r="P5" s="99"/>
      <c r="Q5" s="99"/>
    </row>
    <row r="6" spans="1:17" ht="21.75">
      <c r="A6" s="7" t="s">
        <v>31</v>
      </c>
      <c r="B6" s="8"/>
      <c r="C6" s="8"/>
      <c r="D6" s="8"/>
      <c r="E6" s="8"/>
      <c r="F6" s="8"/>
      <c r="G6" s="214"/>
      <c r="H6" s="214"/>
      <c r="I6" s="299"/>
      <c r="J6" s="300"/>
      <c r="K6" s="10"/>
      <c r="N6" s="99"/>
      <c r="O6" s="99"/>
      <c r="P6" s="99"/>
      <c r="Q6" s="99"/>
    </row>
    <row r="7" spans="1:17" ht="21.75">
      <c r="A7" s="127" t="s">
        <v>240</v>
      </c>
      <c r="B7" s="12"/>
      <c r="C7" s="12"/>
      <c r="D7" s="12"/>
      <c r="E7" s="12"/>
      <c r="F7" s="12"/>
      <c r="G7" s="142"/>
      <c r="H7" s="142"/>
      <c r="I7" s="138"/>
      <c r="J7" s="128"/>
      <c r="K7" s="128"/>
      <c r="N7" s="99"/>
      <c r="O7" s="99"/>
      <c r="P7" s="99"/>
      <c r="Q7" s="99"/>
    </row>
    <row r="8" spans="1:17" ht="21.75">
      <c r="A8" s="321" t="s">
        <v>520</v>
      </c>
      <c r="B8" s="57">
        <v>220000</v>
      </c>
      <c r="C8" s="12"/>
      <c r="D8" s="12"/>
      <c r="E8" s="12"/>
      <c r="F8" s="12"/>
      <c r="G8" s="142"/>
      <c r="H8" s="143">
        <f aca="true" t="shared" si="0" ref="H8:H13">SUM(B8:G8)</f>
        <v>220000</v>
      </c>
      <c r="I8" s="259" t="s">
        <v>32</v>
      </c>
      <c r="J8" s="132" t="s">
        <v>521</v>
      </c>
      <c r="K8" s="78"/>
      <c r="N8" s="99"/>
      <c r="O8" s="99"/>
      <c r="P8" s="99"/>
      <c r="Q8" s="99"/>
    </row>
    <row r="9" spans="1:17" ht="65.25">
      <c r="A9" s="543" t="s">
        <v>456</v>
      </c>
      <c r="B9" s="143"/>
      <c r="C9" s="143"/>
      <c r="D9" s="143"/>
      <c r="E9" s="143"/>
      <c r="F9" s="143"/>
      <c r="G9" s="143">
        <v>2392</v>
      </c>
      <c r="H9" s="143">
        <f t="shared" si="0"/>
        <v>2392</v>
      </c>
      <c r="I9" s="259" t="s">
        <v>32</v>
      </c>
      <c r="J9" s="163" t="s">
        <v>147</v>
      </c>
      <c r="K9" s="164"/>
      <c r="N9" s="99"/>
      <c r="O9" s="99"/>
      <c r="P9" s="99"/>
      <c r="Q9" s="99"/>
    </row>
    <row r="10" spans="1:17" ht="44.25" customHeight="1">
      <c r="A10" s="321" t="s">
        <v>455</v>
      </c>
      <c r="B10" s="143"/>
      <c r="C10" s="143"/>
      <c r="D10" s="143"/>
      <c r="E10" s="143"/>
      <c r="F10" s="143"/>
      <c r="G10" s="143">
        <v>7604</v>
      </c>
      <c r="H10" s="143">
        <f t="shared" si="0"/>
        <v>7604</v>
      </c>
      <c r="I10" s="138" t="s">
        <v>43</v>
      </c>
      <c r="J10" s="163" t="s">
        <v>147</v>
      </c>
      <c r="K10" s="339"/>
      <c r="N10" s="99"/>
      <c r="O10" s="99"/>
      <c r="P10" s="99"/>
      <c r="Q10" s="99"/>
    </row>
    <row r="11" spans="1:17" ht="20.25" customHeight="1">
      <c r="A11" s="127" t="s">
        <v>155</v>
      </c>
      <c r="B11" s="40"/>
      <c r="C11" s="301"/>
      <c r="D11" s="40"/>
      <c r="E11" s="40"/>
      <c r="F11" s="40"/>
      <c r="G11" s="144"/>
      <c r="H11" s="143">
        <f t="shared" si="0"/>
        <v>0</v>
      </c>
      <c r="I11" s="138"/>
      <c r="J11" s="132"/>
      <c r="K11" s="14"/>
      <c r="N11" s="99"/>
      <c r="O11" s="99"/>
      <c r="P11" s="99"/>
      <c r="Q11" s="99"/>
    </row>
    <row r="12" spans="1:17" ht="65.25">
      <c r="A12" s="542" t="s">
        <v>519</v>
      </c>
      <c r="B12" s="40">
        <v>8480000</v>
      </c>
      <c r="C12" s="301"/>
      <c r="D12" s="40"/>
      <c r="E12" s="40"/>
      <c r="F12" s="40"/>
      <c r="G12" s="144"/>
      <c r="H12" s="143">
        <f t="shared" si="0"/>
        <v>8480000</v>
      </c>
      <c r="I12" s="138" t="s">
        <v>43</v>
      </c>
      <c r="J12" s="132" t="s">
        <v>287</v>
      </c>
      <c r="K12" s="14"/>
      <c r="N12" s="99"/>
      <c r="O12" s="99"/>
      <c r="P12" s="99"/>
      <c r="Q12" s="99"/>
    </row>
    <row r="13" spans="1:17" ht="43.5">
      <c r="A13" s="338" t="s">
        <v>403</v>
      </c>
      <c r="B13" s="40"/>
      <c r="C13" s="301"/>
      <c r="D13" s="40"/>
      <c r="E13" s="40"/>
      <c r="F13" s="40"/>
      <c r="G13" s="144">
        <v>2694500</v>
      </c>
      <c r="H13" s="143">
        <f t="shared" si="0"/>
        <v>2694500</v>
      </c>
      <c r="I13" s="259" t="s">
        <v>32</v>
      </c>
      <c r="J13" s="163" t="s">
        <v>147</v>
      </c>
      <c r="K13" s="14"/>
      <c r="N13" s="99"/>
      <c r="O13" s="99"/>
      <c r="P13" s="99"/>
      <c r="Q13" s="99"/>
    </row>
    <row r="14" spans="1:11" ht="22.5" thickBot="1">
      <c r="A14" s="19" t="s">
        <v>34</v>
      </c>
      <c r="B14" s="20">
        <f>SUM(B8:B13)</f>
        <v>8700000</v>
      </c>
      <c r="C14" s="20">
        <f aca="true" t="shared" si="1" ref="C14:H14">SUM(C8:C13)</f>
        <v>0</v>
      </c>
      <c r="D14" s="20">
        <f t="shared" si="1"/>
        <v>0</v>
      </c>
      <c r="E14" s="20">
        <f t="shared" si="1"/>
        <v>0</v>
      </c>
      <c r="F14" s="20">
        <f t="shared" si="1"/>
        <v>0</v>
      </c>
      <c r="G14" s="20">
        <f t="shared" si="1"/>
        <v>2704496</v>
      </c>
      <c r="H14" s="20">
        <f t="shared" si="1"/>
        <v>11404496</v>
      </c>
      <c r="I14" s="52"/>
      <c r="J14" s="21"/>
      <c r="K14" s="21"/>
    </row>
    <row r="15" spans="1:11" ht="22.5" thickTop="1">
      <c r="A15" s="303"/>
      <c r="B15" s="43"/>
      <c r="C15" s="36"/>
      <c r="D15" s="36"/>
      <c r="E15" s="36"/>
      <c r="F15" s="36"/>
      <c r="G15" s="36"/>
      <c r="H15" s="53"/>
      <c r="I15" s="54"/>
      <c r="J15" s="36"/>
      <c r="K15" s="36"/>
    </row>
    <row r="16" spans="6:8" ht="21.75">
      <c r="F16" s="1"/>
      <c r="G16" s="30"/>
      <c r="H16" s="1"/>
    </row>
    <row r="17" spans="3:8" ht="21.75">
      <c r="C17" s="1"/>
      <c r="G17" s="30"/>
      <c r="H17" s="1"/>
    </row>
  </sheetData>
  <sheetProtection/>
  <mergeCells count="9">
    <mergeCell ref="A1:K1"/>
    <mergeCell ref="A2:K2"/>
    <mergeCell ref="A4:A5"/>
    <mergeCell ref="B4:F4"/>
    <mergeCell ref="G4:G5"/>
    <mergeCell ref="H4:H5"/>
    <mergeCell ref="I4:I5"/>
    <mergeCell ref="J4:J5"/>
    <mergeCell ref="K4:K5"/>
  </mergeCells>
  <printOptions/>
  <pageMargins left="0.511811023622047" right="0.551181102362205" top="0.905511811023622" bottom="0" header="1.06299212598425" footer="0.15748031496063"/>
  <pageSetup fitToHeight="3"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4:J32"/>
  <sheetViews>
    <sheetView showGridLines="0" zoomScalePageLayoutView="0" workbookViewId="0" topLeftCell="A10">
      <selection activeCell="D20" sqref="D20"/>
    </sheetView>
  </sheetViews>
  <sheetFormatPr defaultColWidth="9.140625" defaultRowHeight="21.75"/>
  <cols>
    <col min="1" max="1" width="48.8515625" style="0" customWidth="1"/>
    <col min="2" max="2" width="13.28125" style="0" customWidth="1"/>
    <col min="3" max="3" width="12.8515625" style="0" customWidth="1"/>
    <col min="4" max="4" width="12.57421875" style="0" customWidth="1"/>
    <col min="5" max="5" width="13.421875" style="0" customWidth="1"/>
    <col min="6" max="6" width="15.00390625" style="0" customWidth="1"/>
    <col min="7" max="7" width="16.140625" style="0" customWidth="1"/>
    <col min="8" max="9" width="17.421875" style="0" customWidth="1"/>
    <col min="10" max="10" width="14.57421875" style="0" customWidth="1"/>
    <col min="13" max="13" width="13.28125" style="0" customWidth="1"/>
  </cols>
  <sheetData>
    <row r="4" spans="1:10" ht="23.25">
      <c r="A4" s="840" t="s">
        <v>0</v>
      </c>
      <c r="B4" s="840"/>
      <c r="C4" s="840"/>
      <c r="D4" s="840"/>
      <c r="E4" s="840"/>
      <c r="F4" s="840"/>
      <c r="G4" s="840"/>
      <c r="H4" s="840"/>
      <c r="I4" s="840"/>
      <c r="J4" s="840"/>
    </row>
    <row r="5" spans="1:10" ht="23.25">
      <c r="A5" s="841" t="s">
        <v>512</v>
      </c>
      <c r="B5" s="840"/>
      <c r="C5" s="840"/>
      <c r="D5" s="840"/>
      <c r="E5" s="840"/>
      <c r="F5" s="840"/>
      <c r="G5" s="840"/>
      <c r="H5" s="840"/>
      <c r="I5" s="840"/>
      <c r="J5" s="840"/>
    </row>
    <row r="6" spans="1:10" ht="21.75" customHeight="1">
      <c r="A6" s="46"/>
      <c r="B6" s="46"/>
      <c r="C6" s="46"/>
      <c r="D6" s="46"/>
      <c r="E6" s="46"/>
      <c r="F6" s="46"/>
      <c r="G6" s="46"/>
      <c r="H6" s="46"/>
      <c r="I6" s="46"/>
      <c r="J6" s="46"/>
    </row>
    <row r="7" spans="1:10" ht="21.75">
      <c r="A7" s="842" t="s">
        <v>1</v>
      </c>
      <c r="B7" s="845" t="s">
        <v>13</v>
      </c>
      <c r="C7" s="846"/>
      <c r="D7" s="846"/>
      <c r="E7" s="846"/>
      <c r="F7" s="848" t="s">
        <v>117</v>
      </c>
      <c r="G7" s="848" t="s">
        <v>14</v>
      </c>
      <c r="H7" s="842" t="s">
        <v>6</v>
      </c>
      <c r="I7" s="857" t="s">
        <v>7</v>
      </c>
      <c r="J7" s="857" t="s">
        <v>26</v>
      </c>
    </row>
    <row r="8" spans="1:10" ht="40.5" customHeight="1">
      <c r="A8" s="844"/>
      <c r="B8" s="23" t="s">
        <v>8</v>
      </c>
      <c r="C8" s="23" t="s">
        <v>9</v>
      </c>
      <c r="D8" s="23" t="s">
        <v>221</v>
      </c>
      <c r="E8" s="23" t="s">
        <v>10</v>
      </c>
      <c r="F8" s="856"/>
      <c r="G8" s="856"/>
      <c r="H8" s="844"/>
      <c r="I8" s="858"/>
      <c r="J8" s="858"/>
    </row>
    <row r="9" spans="1:10" ht="24">
      <c r="A9" s="7" t="s">
        <v>27</v>
      </c>
      <c r="B9" s="32"/>
      <c r="C9" s="32"/>
      <c r="D9" s="32"/>
      <c r="E9" s="32"/>
      <c r="F9" s="32"/>
      <c r="G9" s="32"/>
      <c r="H9" s="33"/>
      <c r="I9" s="33"/>
      <c r="J9" s="34"/>
    </row>
    <row r="10" spans="1:10" ht="24">
      <c r="A10" s="203" t="s">
        <v>384</v>
      </c>
      <c r="B10" s="64"/>
      <c r="C10" s="120"/>
      <c r="D10" s="120"/>
      <c r="E10" s="198"/>
      <c r="F10" s="198"/>
      <c r="G10" s="40"/>
      <c r="H10" s="112"/>
      <c r="I10" s="122"/>
      <c r="J10" s="48"/>
    </row>
    <row r="11" spans="1:10" ht="24">
      <c r="A11" s="154" t="s">
        <v>385</v>
      </c>
      <c r="B11" s="462"/>
      <c r="C11" s="462"/>
      <c r="D11" s="462"/>
      <c r="E11" s="462"/>
      <c r="F11" s="204">
        <v>76155265.5</v>
      </c>
      <c r="G11" s="143">
        <f>SUM(B11:F11)</f>
        <v>76155265.5</v>
      </c>
      <c r="H11" s="156" t="s">
        <v>28</v>
      </c>
      <c r="I11" s="174" t="s">
        <v>147</v>
      </c>
      <c r="J11" s="363"/>
    </row>
    <row r="12" spans="1:10" ht="24">
      <c r="A12" s="154" t="s">
        <v>558</v>
      </c>
      <c r="B12" s="462"/>
      <c r="C12" s="462"/>
      <c r="D12" s="462"/>
      <c r="E12" s="462"/>
      <c r="F12" s="204">
        <v>65040</v>
      </c>
      <c r="G12" s="143">
        <f>SUM(B12:F12)</f>
        <v>65040</v>
      </c>
      <c r="H12" s="156" t="s">
        <v>28</v>
      </c>
      <c r="I12" s="174" t="s">
        <v>147</v>
      </c>
      <c r="J12" s="363"/>
    </row>
    <row r="13" spans="1:10" ht="24">
      <c r="A13" s="203" t="s">
        <v>280</v>
      </c>
      <c r="B13" s="64"/>
      <c r="C13" s="64"/>
      <c r="D13" s="64"/>
      <c r="E13" s="64"/>
      <c r="F13" s="451"/>
      <c r="G13" s="143"/>
      <c r="H13" s="156"/>
      <c r="I13" s="174"/>
      <c r="J13" s="363"/>
    </row>
    <row r="14" spans="1:10" ht="24">
      <c r="A14" s="439" t="s">
        <v>281</v>
      </c>
      <c r="B14" s="463"/>
      <c r="C14" s="463"/>
      <c r="D14" s="463"/>
      <c r="E14" s="463"/>
      <c r="F14" s="328">
        <f>355470.55*3/100</f>
        <v>10664.116499999998</v>
      </c>
      <c r="G14" s="314">
        <f>SUM(B14:F14)</f>
        <v>10664.116499999998</v>
      </c>
      <c r="H14" s="440" t="s">
        <v>28</v>
      </c>
      <c r="I14" s="452" t="s">
        <v>147</v>
      </c>
      <c r="J14" s="749">
        <v>0.03</v>
      </c>
    </row>
    <row r="15" spans="1:10" ht="43.5">
      <c r="A15" s="439" t="s">
        <v>560</v>
      </c>
      <c r="B15" s="463"/>
      <c r="C15" s="463"/>
      <c r="D15" s="442">
        <v>20274.75</v>
      </c>
      <c r="E15" s="463"/>
      <c r="F15" s="442"/>
      <c r="G15" s="308">
        <f>SUM(B15:F15)</f>
        <v>20274.75</v>
      </c>
      <c r="H15" s="440" t="s">
        <v>28</v>
      </c>
      <c r="I15" s="452" t="s">
        <v>408</v>
      </c>
      <c r="J15" s="80"/>
    </row>
    <row r="16" spans="1:10" ht="24">
      <c r="A16" s="203" t="s">
        <v>559</v>
      </c>
      <c r="B16" s="463"/>
      <c r="C16" s="463"/>
      <c r="D16" s="463"/>
      <c r="E16" s="463"/>
      <c r="F16" s="442"/>
      <c r="G16" s="464"/>
      <c r="H16" s="440"/>
      <c r="I16" s="452"/>
      <c r="J16" s="80"/>
    </row>
    <row r="17" spans="1:10" ht="43.5">
      <c r="A17" s="439" t="s">
        <v>1031</v>
      </c>
      <c r="B17" s="463"/>
      <c r="C17" s="463"/>
      <c r="D17" s="463"/>
      <c r="E17" s="463"/>
      <c r="F17" s="442">
        <v>380000</v>
      </c>
      <c r="G17" s="308">
        <f>SUM(B17:F17)</f>
        <v>380000</v>
      </c>
      <c r="H17" s="440" t="s">
        <v>28</v>
      </c>
      <c r="I17" s="452" t="s">
        <v>147</v>
      </c>
      <c r="J17" s="80"/>
    </row>
    <row r="18" spans="1:10" ht="24">
      <c r="A18" s="439"/>
      <c r="B18" s="463"/>
      <c r="C18" s="463"/>
      <c r="D18" s="463"/>
      <c r="E18" s="463"/>
      <c r="F18" s="463"/>
      <c r="G18" s="463"/>
      <c r="H18" s="440"/>
      <c r="I18" s="452"/>
      <c r="J18" s="80"/>
    </row>
    <row r="19" spans="1:10" ht="24.75" thickBot="1">
      <c r="A19" s="19" t="s">
        <v>2</v>
      </c>
      <c r="B19" s="85">
        <f>SUM(B10:B18)</f>
        <v>0</v>
      </c>
      <c r="C19" s="85">
        <f>SUM(C10:C18)</f>
        <v>0</v>
      </c>
      <c r="D19" s="85">
        <f>SUM(D10:D18)</f>
        <v>20274.75</v>
      </c>
      <c r="E19" s="85">
        <f>SUM(E10:E18)</f>
        <v>0</v>
      </c>
      <c r="F19" s="85">
        <f>SUM(F11:F18)</f>
        <v>76610969.6165</v>
      </c>
      <c r="G19" s="85">
        <f>SUM(G11:G18)</f>
        <v>76631244.3665</v>
      </c>
      <c r="H19" s="199"/>
      <c r="I19" s="199"/>
      <c r="J19" s="35"/>
    </row>
    <row r="20" spans="1:10" ht="24.75" thickTop="1">
      <c r="A20" s="46"/>
      <c r="B20" s="46"/>
      <c r="C20" s="46"/>
      <c r="D20" s="46"/>
      <c r="E20" s="46"/>
      <c r="F20" s="46"/>
      <c r="G20" s="46"/>
      <c r="H20" s="46"/>
      <c r="I20" s="46"/>
      <c r="J20" s="46"/>
    </row>
    <row r="21" spans="5:9" ht="21.75">
      <c r="E21" s="30"/>
      <c r="F21" s="30"/>
      <c r="G21" s="1"/>
      <c r="I21" s="22"/>
    </row>
    <row r="22" spans="3:7" ht="21.75">
      <c r="C22" s="2"/>
      <c r="D22" s="1"/>
      <c r="F22" s="1"/>
      <c r="G22" s="1"/>
    </row>
    <row r="23" ht="21.75">
      <c r="C23" s="2"/>
    </row>
    <row r="24" ht="21.75">
      <c r="C24" s="2"/>
    </row>
    <row r="25" ht="21.75">
      <c r="C25" s="2"/>
    </row>
    <row r="26" spans="3:8" ht="21.75">
      <c r="C26" s="2"/>
      <c r="G26" s="202"/>
      <c r="H26" s="441"/>
    </row>
    <row r="32" ht="21.75">
      <c r="G32" s="99"/>
    </row>
  </sheetData>
  <sheetProtection/>
  <mergeCells count="9">
    <mergeCell ref="A4:J4"/>
    <mergeCell ref="A5:J5"/>
    <mergeCell ref="A7:A8"/>
    <mergeCell ref="B7:E7"/>
    <mergeCell ref="F7:F8"/>
    <mergeCell ref="G7:G8"/>
    <mergeCell ref="H7:H8"/>
    <mergeCell ref="I7:I8"/>
    <mergeCell ref="J7:J8"/>
  </mergeCells>
  <printOptions horizontalCentered="1" verticalCentered="1"/>
  <pageMargins left="0.5118110236220472" right="0.5118110236220472" top="0.11811023622047245" bottom="0" header="1.1023622047244095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Peeranut Wongchaisomrit</cp:lastModifiedBy>
  <cp:lastPrinted>2021-01-07T07:21:55Z</cp:lastPrinted>
  <dcterms:created xsi:type="dcterms:W3CDTF">2005-01-26T04:21:05Z</dcterms:created>
  <dcterms:modified xsi:type="dcterms:W3CDTF">2021-02-04T06:50:20Z</dcterms:modified>
  <cp:category/>
  <cp:version/>
  <cp:contentType/>
  <cp:contentStatus/>
</cp:coreProperties>
</file>