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15" windowWidth="11715" windowHeight="1290" tabRatio="855" activeTab="0"/>
  </bookViews>
  <sheets>
    <sheet name="Type มค-ธค61" sheetId="1" r:id="rId1"/>
    <sheet name="sector 2018" sheetId="2" r:id="rId2"/>
    <sheet name="sectorกรมแยก 2018" sheetId="3" r:id="rId3"/>
    <sheet name="MFAปี61 " sheetId="4" r:id="rId4"/>
    <sheet name="สพพ61แยกloan-grant " sheetId="5" r:id="rId5"/>
    <sheet name="ดิจิทัล61" sheetId="6" r:id="rId6"/>
    <sheet name="ศึกษา61" sheetId="7" r:id="rId7"/>
    <sheet name="พาณิชย์61" sheetId="8" r:id="rId8"/>
    <sheet name="วิทยาศาสตร์61" sheetId="9" r:id="rId9"/>
    <sheet name="สำนักนายก61" sheetId="10" r:id="rId10"/>
    <sheet name="ธปท61" sheetId="11" r:id="rId11"/>
    <sheet name="แรงงาน61" sheetId="12" r:id="rId12"/>
    <sheet name="อุตสาหกรรม61" sheetId="13" r:id="rId13"/>
    <sheet name="ยุติธรรม61" sheetId="14" r:id="rId14"/>
    <sheet name="วัฒนธรรม61" sheetId="15" r:id="rId15"/>
    <sheet name="พัฒนาสังคมฯ61" sheetId="16" r:id="rId16"/>
    <sheet name="ทรัพยากร61" sheetId="17" r:id="rId17"/>
    <sheet name="คมนาคม61" sheetId="18" r:id="rId18"/>
    <sheet name="พลังงาน61" sheetId="19" r:id="rId19"/>
    <sheet name="สาธารณสุข61 " sheetId="20" r:id="rId20"/>
    <sheet name="สกอ.61" sheetId="21" r:id="rId21"/>
    <sheet name="การคลัง61" sheetId="22" r:id="rId22"/>
    <sheet name="มหาดไทย61" sheetId="23" r:id="rId23"/>
    <sheet name="เกษตร61" sheetId="24" r:id="rId24"/>
    <sheet name="กลาโหม61" sheetId="25" r:id="rId25"/>
    <sheet name="Sheet6" sheetId="26" r:id="rId26"/>
    <sheet name="Sheet9" sheetId="27" r:id="rId27"/>
    <sheet name="Sheet10" sheetId="28" r:id="rId28"/>
    <sheet name="Sheet12" sheetId="29" r:id="rId29"/>
    <sheet name="Sheet15" sheetId="30" r:id="rId30"/>
    <sheet name="Sheet16" sheetId="31" r:id="rId31"/>
    <sheet name="Sheet1" sheetId="32" r:id="rId32"/>
  </sheets>
  <externalReferences>
    <externalReference r:id="rId35"/>
  </externalReferences>
  <definedNames>
    <definedName name="country" localSheetId="1">#REF!</definedName>
    <definedName name="country" localSheetId="2">#REF!</definedName>
    <definedName name="country" localSheetId="21">#REF!</definedName>
    <definedName name="country" localSheetId="23">#REF!</definedName>
    <definedName name="country" localSheetId="18">#REF!</definedName>
    <definedName name="country" localSheetId="15">#REF!</definedName>
    <definedName name="country" localSheetId="22">#REF!</definedName>
    <definedName name="country" localSheetId="14">#REF!</definedName>
    <definedName name="country" localSheetId="8">#REF!</definedName>
    <definedName name="country" localSheetId="4">#REF!</definedName>
    <definedName name="country" localSheetId="9">#REF!</definedName>
    <definedName name="country">#REF!</definedName>
    <definedName name="_xlnm.Print_Area" localSheetId="3">'MFAปี61 '!$A$6:$L$77</definedName>
    <definedName name="_xlnm.Print_Area" localSheetId="1">'sector 2018'!$A$1:$I$86</definedName>
    <definedName name="_xlnm.Print_Area" localSheetId="2">'sectorกรมแยก 2018'!$A$1:$I$103</definedName>
    <definedName name="_xlnm.Print_Area" localSheetId="0">'Type มค-ธค61'!$A$1:$E$33</definedName>
    <definedName name="_xlnm.Print_Area" localSheetId="24">'กลาโหม61'!$A$1:$L$17</definedName>
    <definedName name="_xlnm.Print_Area" localSheetId="21">'การคลัง61'!$A$1:$K$16</definedName>
    <definedName name="_xlnm.Print_Area" localSheetId="23">'เกษตร61'!$A$1:$L$41</definedName>
    <definedName name="_xlnm.Print_Area" localSheetId="17">'คมนาคม61'!$A$1:$J$13</definedName>
    <definedName name="_xlnm.Print_Area" localSheetId="5">'ดิจิทัล61'!$A$1:$J$37</definedName>
    <definedName name="_xlnm.Print_Area" localSheetId="16">'ทรัพยากร61'!$A$1:$K$33</definedName>
    <definedName name="_xlnm.Print_Area" localSheetId="10">'ธปท61'!$A$1:$J$25</definedName>
    <definedName name="_xlnm.Print_Area" localSheetId="18">'พลังงาน61'!$A$1:$K$21</definedName>
    <definedName name="_xlnm.Print_Area" localSheetId="15">'พัฒนาสังคมฯ61'!$A$1:$K$17</definedName>
    <definedName name="_xlnm.Print_Area" localSheetId="7">'พาณิชย์61'!$A$1:$J$24</definedName>
    <definedName name="_xlnm.Print_Area" localSheetId="22">'มหาดไทย61'!$A$1:$L$19</definedName>
    <definedName name="_xlnm.Print_Area" localSheetId="13">'ยุติธรรม61'!$A$1:$L$19</definedName>
    <definedName name="_xlnm.Print_Area" localSheetId="11">'แรงงาน61'!$A$1:$K$16</definedName>
    <definedName name="_xlnm.Print_Area" localSheetId="14">'วัฒนธรรม61'!$A$1:$K$16</definedName>
    <definedName name="_xlnm.Print_Area" localSheetId="8">'วิทยาศาสตร์61'!$A$1:$L$42</definedName>
    <definedName name="_xlnm.Print_Area" localSheetId="6">'ศึกษา61'!$A$1:$K$27</definedName>
    <definedName name="_xlnm.Print_Area" localSheetId="20">'สกอ.61'!$A$1:$L$109</definedName>
    <definedName name="_xlnm.Print_Area" localSheetId="4">'สพพ61แยกloan-grant '!$A$1:$K$18</definedName>
    <definedName name="_xlnm.Print_Area" localSheetId="19">'สาธารณสุข61 '!$A$1:$L$25</definedName>
    <definedName name="_xlnm.Print_Area" localSheetId="9">'สำนักนายก61'!$A$1:$L$22</definedName>
    <definedName name="_xlnm.Print_Area" localSheetId="12">'อุตสาหกรรม61'!$A$1:$K$31</definedName>
    <definedName name="_xlnm.Print_Titles" localSheetId="3">'MFAปี61 '!$1:$5</definedName>
    <definedName name="_xlnm.Print_Titles" localSheetId="1">'sector 2018'!$1:$5</definedName>
    <definedName name="_xlnm.Print_Titles" localSheetId="2">'sectorกรมแยก 2018'!$1:$5</definedName>
    <definedName name="_xlnm.Print_Titles" localSheetId="23">'เกษตร61'!$1:$5</definedName>
    <definedName name="_xlnm.Print_Titles" localSheetId="5">'ดิจิทัล61'!$1:$5</definedName>
    <definedName name="_xlnm.Print_Titles" localSheetId="16">'ทรัพยากร61'!$3:$5</definedName>
    <definedName name="_xlnm.Print_Titles" localSheetId="18">'พลังงาน61'!$1:$5</definedName>
    <definedName name="_xlnm.Print_Titles" localSheetId="8">'วิทยาศาสตร์61'!$1:$5</definedName>
    <definedName name="_xlnm.Print_Titles" localSheetId="6">'ศึกษา61'!$1:$5</definedName>
    <definedName name="_xlnm.Print_Titles" localSheetId="20">'สกอ.61'!$1:$5</definedName>
    <definedName name="_xlnm.Print_Titles" localSheetId="19">'สาธารณสุข61 '!$1:$5</definedName>
    <definedName name="_xlnm.Print_Titles" localSheetId="9">'สำนักนายก61'!$3:$5</definedName>
    <definedName name="_xlnm.Print_Titles" localSheetId="12">'อุตสาหกรรม61'!$1:$5</definedName>
  </definedNames>
  <calcPr fullCalcOnLoad="1"/>
</workbook>
</file>

<file path=xl/comments10.xml><?xml version="1.0" encoding="utf-8"?>
<comments xmlns="http://schemas.openxmlformats.org/spreadsheetml/2006/main">
  <authors>
    <author>DELL</author>
  </authors>
  <commentList>
    <comment ref="F10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ภูฎาน</t>
        </r>
      </text>
    </comment>
    <comment ref="F13" authorId="0">
      <text>
        <r>
          <rPr>
            <b/>
            <sz val="9"/>
            <rFont val="Tahoma"/>
            <family val="2"/>
          </rPr>
          <t xml:space="preserve">DELL: บูรไน อินโดนีเซีย มาเลเซีย ฟิลิปปินส์ สิงคโปร์ </t>
        </r>
        <r>
          <rPr>
            <sz val="9"/>
            <rFont val="Tahoma"/>
            <family val="2"/>
          </rPr>
          <t xml:space="preserve">
ภูฎาน ศรีลังกา</t>
        </r>
      </text>
    </comment>
  </commentList>
</comments>
</file>

<file path=xl/comments16.xml><?xml version="1.0" encoding="utf-8"?>
<comments xmlns="http://schemas.openxmlformats.org/spreadsheetml/2006/main">
  <authors>
    <author>DELL</author>
  </authors>
  <commentList>
    <comment ref="F8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ภูฎาน อินเดีย บังคลาเทศ </t>
        </r>
      </text>
    </comment>
  </commentList>
</comments>
</file>

<file path=xl/comments17.xml><?xml version="1.0" encoding="utf-8"?>
<comments xmlns="http://schemas.openxmlformats.org/spreadsheetml/2006/main">
  <authors>
    <author>DELL</author>
  </authors>
  <commentList>
    <comment ref="F8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Seychelles
</t>
        </r>
      </text>
    </comment>
    <comment ref="F9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Bhutan
</t>
        </r>
      </text>
    </comment>
  </commentList>
</comments>
</file>

<file path=xl/comments20.xml><?xml version="1.0" encoding="utf-8"?>
<comments xmlns="http://schemas.openxmlformats.org/spreadsheetml/2006/main">
  <authors>
    <author>DELL</author>
  </authors>
  <commentList>
    <comment ref="G22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Bhutan
</t>
        </r>
      </text>
    </comment>
    <comment ref="G24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 
taiwan1 indo 3 Malaysia2 philip 1 Srilanka7 Vietnam3
</t>
        </r>
      </text>
    </comment>
  </commentList>
</comments>
</file>

<file path=xl/comments21.xml><?xml version="1.0" encoding="utf-8"?>
<comments xmlns="http://schemas.openxmlformats.org/spreadsheetml/2006/main">
  <authors>
    <author>DELL</author>
  </authors>
  <commentList>
    <comment ref="J8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เกษตร สัตวแพทย์ วิทยาศาสตร์การกีฬา</t>
        </r>
      </text>
    </comment>
    <comment ref="G9" authorId="0">
      <text>
        <r>
          <rPr>
            <b/>
            <sz val="9"/>
            <rFont val="Tahoma"/>
            <family val="2"/>
          </rPr>
          <t xml:space="preserve">DELL: อินโดนีเซีย 2
</t>
        </r>
        <r>
          <rPr>
            <sz val="9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rFont val="Tahoma"/>
            <family val="2"/>
          </rPr>
          <t>DELL:เกษตร วนศาสตร์ สัตวแพทยศาสตร์ วิศวกรรมศาสตร์ อุตสาหกรรมเกษตร เศรษฐสาสตร์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อินโดนีเซีย (6 ลบ.) ฟิลิปปินส์ (1 ลบ.)</t>
        </r>
      </text>
    </comment>
    <comment ref="G15" authorId="0">
      <text>
        <r>
          <rPr>
            <b/>
            <sz val="9"/>
            <rFont val="Tahoma"/>
            <family val="2"/>
          </rPr>
          <t>DELL: ภูฎาน ติมอร์ เลสเต</t>
        </r>
        <r>
          <rPr>
            <sz val="9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วิทยาศาสตร์ อนามัยโรงเรียน อายุรศาสตร์เขตร้อนคลินิก</t>
        </r>
      </text>
    </comment>
    <comment ref="G17" authorId="0">
      <text>
        <r>
          <rPr>
            <b/>
            <sz val="9"/>
            <rFont val="Tahoma"/>
            <family val="2"/>
          </rPr>
          <t xml:space="preserve">DELL: อินโดนีเซีย 2 มาเลเซีย 1 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9"/>
            <rFont val="Tahoma"/>
            <family val="2"/>
          </rPr>
          <t>DELL: อินโดนีเซีย 2</t>
        </r>
        <r>
          <rPr>
            <sz val="9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5
</t>
        </r>
      </text>
    </comment>
    <comment ref="G19" authorId="0">
      <text>
        <r>
          <rPr>
            <b/>
            <sz val="9"/>
            <rFont val="Tahoma"/>
            <family val="2"/>
          </rPr>
          <t xml:space="preserve">DELL: อินเดีย2 อินโดนีเซีย 7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 xml:space="preserve">DELL: India1 Indonesia 3
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การจัดการบริการนานาชาติ</t>
        </r>
      </text>
    </comment>
    <comment ref="G25" authorId="0">
      <text>
        <r>
          <rPr>
            <b/>
            <sz val="9"/>
            <rFont val="Tahoma"/>
            <family val="2"/>
          </rPr>
          <t>DELL: ภูฎาน 1</t>
        </r>
        <r>
          <rPr>
            <sz val="9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9"/>
            <rFont val="Tahoma"/>
            <family val="2"/>
          </rPr>
          <t>DELL:อินโดนีเซีย2 มาเลเซีย1</t>
        </r>
        <r>
          <rPr>
            <sz val="9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rFont val="Tahoma"/>
            <family val="2"/>
          </rPr>
          <t xml:space="preserve">DELL: Phutan 10 korea3 zimbubwe1 somalia1 nepal7 bangladesh3 brunai1 pakistan4 myanmar6 [hilippines4 maldives1 mexico1 indonesia2
</t>
        </r>
        <r>
          <rPr>
            <sz val="9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9"/>
            <rFont val="Tahoma"/>
            <family val="2"/>
          </rPr>
          <t xml:space="preserve">DELL: bhutan5 
Gambia1 bangladesh8 </t>
        </r>
        <r>
          <rPr>
            <sz val="9"/>
            <rFont val="Tahoma"/>
            <family val="2"/>
          </rPr>
          <t xml:space="preserve">
india6 indonesia11 mongolia2 nepal2 pakistan10 congo1 ethiopia3 ghana3 iran1 nigeria4 philippiness1 zimbabwe1</t>
        </r>
      </text>
    </comment>
    <comment ref="G35" authorId="0">
      <text>
        <r>
          <rPr>
            <b/>
            <sz val="9"/>
            <rFont val="Tahoma"/>
            <family val="2"/>
          </rPr>
          <t>DELL:Bhutan 39</t>
        </r>
        <r>
          <rPr>
            <sz val="9"/>
            <rFont val="Tahoma"/>
            <family val="2"/>
          </rPr>
          <t xml:space="preserve">
</t>
        </r>
      </text>
    </comment>
    <comment ref="G51" authorId="0">
      <text>
        <r>
          <rPr>
            <b/>
            <sz val="9"/>
            <rFont val="Tahoma"/>
            <family val="2"/>
          </rPr>
          <t>DELL:ภูฏาน21 อินโดนีเซีย3 แนปาล5 สวาซิแลนด์1 มาดากัสการ์1 มอริเซียส1</t>
        </r>
        <r>
          <rPr>
            <sz val="9"/>
            <rFont val="Tahoma"/>
            <family val="2"/>
          </rPr>
          <t xml:space="preserve">
</t>
        </r>
      </text>
    </comment>
    <comment ref="G53" authorId="0">
      <text>
        <r>
          <rPr>
            <b/>
            <sz val="9"/>
            <rFont val="Tahoma"/>
            <family val="2"/>
          </rPr>
          <t>DELL: อินโดนีเซีย 11</t>
        </r>
        <r>
          <rPr>
            <sz val="9"/>
            <rFont val="Tahoma"/>
            <family val="2"/>
          </rPr>
          <t xml:space="preserve">
</t>
        </r>
      </text>
    </comment>
    <comment ref="J5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การจัดการธุรกิจระหว่างประเทศ</t>
        </r>
      </text>
    </comment>
    <comment ref="G55" authorId="0">
      <text>
        <r>
          <rPr>
            <b/>
            <sz val="9"/>
            <rFont val="Tahoma"/>
            <family val="2"/>
          </rPr>
          <t>DELL: ภูฏาน 38</t>
        </r>
        <r>
          <rPr>
            <sz val="9"/>
            <rFont val="Tahoma"/>
            <family val="2"/>
          </rPr>
          <t xml:space="preserve">
</t>
        </r>
      </text>
    </comment>
    <comment ref="J55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ธุรกิจระหว่างประเทศ</t>
        </r>
      </text>
    </comment>
    <comment ref="G61" authorId="0">
      <text>
        <r>
          <rPr>
            <b/>
            <sz val="9"/>
            <rFont val="Tahoma"/>
            <family val="2"/>
          </rPr>
          <t xml:space="preserve">DELL: อินโดนีเซีย 1
</t>
        </r>
        <r>
          <rPr>
            <sz val="9"/>
            <rFont val="Tahoma"/>
            <family val="2"/>
          </rPr>
          <t xml:space="preserve">
</t>
        </r>
      </text>
    </comment>
    <comment ref="G6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ฟิลิปปินส์</t>
        </r>
      </text>
    </comment>
    <comment ref="G75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อินโดนีเซีย (15)      ฟิลิปปินส์ (2) มาเลเซีย (1)</t>
        </r>
      </text>
    </comment>
    <comment ref="G78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อัฟกานิสถาน1 อาเจนตินาร์1 บังคลาเทศ1 กัมพูชา12 จีน28 เกาหลีเหนือ1 อิยิปต์1 อินเดีย6 อินโดนีเซีย 5 อิหร่าน1 ปากีสถาน1 คาซัสสถาน2 เกาหลี11 เม็กซิโก2 ฟิลิปปินส์9 Beralus1 Serbia2 Turkey1 Zambia1 Ubakistan1 Russia3 Taiwan10 Colombia2  
</t>
        </r>
      </text>
    </comment>
    <comment ref="G88" authorId="0">
      <text>
        <r>
          <rPr>
            <b/>
            <sz val="9"/>
            <rFont val="Tahoma"/>
            <family val="2"/>
          </rPr>
          <t xml:space="preserve">DELL:อินเดีย3 กาน่า1 ฟิลิปปินส์1 ไนจีเรีย1 อาเซอรไบจาน ภูฏาน ฟิลิปปินส์ คาซัคสถาน เคนยา เมียนมา เนปาล ปากีสถาน ปาปัวนิวกินี โซมาเลีย ซิปบับบเวย์ แอฟริกาใต้
</t>
        </r>
        <r>
          <rPr>
            <sz val="9"/>
            <rFont val="Tahoma"/>
            <family val="2"/>
          </rPr>
          <t xml:space="preserve">
</t>
        </r>
      </text>
    </comment>
    <comment ref="G92" authorId="0">
      <text>
        <r>
          <rPr>
            <b/>
            <sz val="9"/>
            <rFont val="Tahoma"/>
            <family val="2"/>
          </rPr>
          <t xml:space="preserve">DELL: มาเลเซีย อินโดนีเซีย ฟิลิปปินส์ สิงคโปร์ เกาหลี
</t>
        </r>
        <r>
          <rPr>
            <sz val="9"/>
            <rFont val="Tahoma"/>
            <family val="2"/>
          </rPr>
          <t xml:space="preserve">
</t>
        </r>
      </text>
    </comment>
    <comment ref="G95" authorId="0">
      <text>
        <r>
          <rPr>
            <b/>
            <sz val="9"/>
            <rFont val="Tahoma"/>
            <family val="2"/>
          </rPr>
          <t xml:space="preserve">DELL:cmo: แทนซาเนีย เนปาล ปากีสถาน อินโดนีเซีย
</t>
        </r>
        <r>
          <rPr>
            <sz val="9"/>
            <rFont val="Tahoma"/>
            <family val="2"/>
          </rPr>
          <t xml:space="preserve">
</t>
        </r>
      </text>
    </comment>
    <comment ref="G103" authorId="0">
      <text>
        <r>
          <rPr>
            <b/>
            <sz val="9"/>
            <rFont val="Tahoma"/>
            <family val="2"/>
          </rPr>
          <t xml:space="preserve">DELL: ฟิลิปปินส์ 1 แคมเมอรูน 2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DELL</author>
  </authors>
  <commentList>
    <comment ref="G12" authorId="0">
      <text>
        <r>
          <rPr>
            <b/>
            <sz val="9"/>
            <rFont val="Tahoma"/>
            <family val="2"/>
          </rPr>
          <t xml:space="preserve">DELL:ภูฏาน 13 
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DELL: เกาหลีใต้5 ไต้หวัน13 ฟิลิปปินส์10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DELL</author>
  </authors>
  <commentList>
    <comment ref="G31" authorId="0">
      <text>
        <r>
          <rPr>
            <b/>
            <sz val="9"/>
            <rFont val="Tahoma"/>
            <family val="2"/>
          </rPr>
          <t xml:space="preserve">DELL: อินโดนีเซีย 1สิงคโปร์2 บูรไน2
</t>
        </r>
        <r>
          <rPr>
            <sz val="9"/>
            <rFont val="Tahoma"/>
            <family val="2"/>
          </rPr>
          <t xml:space="preserve">
</t>
        </r>
      </text>
    </comment>
    <comment ref="G36" authorId="0">
      <text>
        <r>
          <rPr>
            <b/>
            <sz val="9"/>
            <rFont val="Tahoma"/>
            <family val="2"/>
          </rPr>
          <t>DELL: ภูฏาน</t>
        </r>
        <r>
          <rPr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Agricultural Cooperation Framework</t>
        </r>
      </text>
    </comment>
  </commentList>
</comments>
</file>

<file path=xl/comments25.xml><?xml version="1.0" encoding="utf-8"?>
<comments xmlns="http://schemas.openxmlformats.org/spreadsheetml/2006/main">
  <authors>
    <author>DELL</author>
  </authors>
  <commentList>
    <comment ref="G8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อินโดนีเซีย มาเลเซีย ติมอร์ เลสเต
</t>
        </r>
      </text>
    </comment>
    <comment ref="G10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มาเลเซีย ฟิลิปปินส์ บูรไน อินโดนีเซีย อินเดีย ปากีสถาน</t>
        </r>
      </text>
    </comment>
  </commentList>
</comments>
</file>

<file path=xl/comments4.xml><?xml version="1.0" encoding="utf-8"?>
<comments xmlns="http://schemas.openxmlformats.org/spreadsheetml/2006/main">
  <authors>
    <author>DELL</author>
  </authors>
  <commentList>
    <comment ref="G8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ติมอร์</t>
        </r>
      </text>
    </comment>
  </commentList>
</comments>
</file>

<file path=xl/comments5.xml><?xml version="1.0" encoding="utf-8"?>
<comments xmlns="http://schemas.openxmlformats.org/spreadsheetml/2006/main">
  <authors>
    <author>DELL</author>
  </authors>
  <commentList>
    <comment ref="F1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ศรีลังกา 2, ติมอร์-เลสเต 1
</t>
        </r>
      </text>
    </comment>
    <comment ref="F14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ศรีลังกา2, ภูฏาน 2</t>
        </r>
      </text>
    </comment>
  </commentList>
</comments>
</file>

<file path=xl/comments7.xml><?xml version="1.0" encoding="utf-8"?>
<comments xmlns="http://schemas.openxmlformats.org/spreadsheetml/2006/main">
  <authors>
    <author>DELL</author>
  </authors>
  <commentList>
    <comment ref="F15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ฟิลิปปินส์1 ติมอร์1 เอเซียใต้6 เอเซียกลางและเหนือ2
</t>
        </r>
      </text>
    </comment>
    <comment ref="F14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อินโดนีเซีย2 ติมอร์1 ปาปัวนิวกินี1 เอเซียใต้ 4 เอเซียกลางและเหนือ 4
</t>
        </r>
      </text>
    </comment>
    <comment ref="F17" authorId="0">
      <text>
        <r>
          <rPr>
            <b/>
            <sz val="9"/>
            <rFont val="Tahoma"/>
            <family val="2"/>
          </rPr>
          <t>DELL: ฟิลิปปินส์2 ตะวันออกกลาง1 ติมอร์ 1 ปาปัวนิวกินี1 เอเซียใต้ 6 เอเซียกลางและเหนือ 3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DELL: ตะวันออกกลาง5 ติมอร์1 เอเซียใต้ 10</t>
        </r>
        <r>
          <rPr>
            <sz val="9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rFont val="Tahoma"/>
            <family val="2"/>
          </rPr>
          <t xml:space="preserve">DELL: ฟิลิปปินส์ 86
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9"/>
            <rFont val="Tahoma"/>
            <family val="2"/>
          </rPr>
          <t>DELL: เอเซียใต้ 11</t>
        </r>
        <r>
          <rPr>
            <sz val="9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9"/>
            <rFont val="Tahoma"/>
            <family val="2"/>
          </rPr>
          <t>DELL:  ฟิลิปปินส์1 ตะวันออกกลาง 6 ปาปัวนิวกินี 1 เอเซียใต้ 18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rFont val="Tahoma"/>
            <family val="2"/>
          </rPr>
          <t>DELL: เอเซียใต้ 1 เอเซียกลางและเหนือ 2 อื่นๆ 36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ฟิลิปปินส์ 3 ตะวันออกกลาง 8 ปาปัวนิวกีนี 1 เอเชียกลางและเหนือ 4</t>
        </r>
      </text>
    </comment>
  </commentList>
</comments>
</file>

<file path=xl/comments9.xml><?xml version="1.0" encoding="utf-8"?>
<comments xmlns="http://schemas.openxmlformats.org/spreadsheetml/2006/main">
  <authors>
    <author>DELL</author>
  </authors>
  <commentList>
    <comment ref="G35" authorId="0">
      <text>
        <r>
          <rPr>
            <b/>
            <sz val="9"/>
            <rFont val="Tahoma"/>
            <family val="2"/>
          </rPr>
          <t xml:space="preserve">DELL: </t>
        </r>
        <r>
          <rPr>
            <sz val="9"/>
            <rFont val="Tahoma"/>
            <family val="2"/>
          </rPr>
          <t xml:space="preserve">มาเลเซีย2 อินโดนีเซีย2 ฟิลิปปินส์ 5 มองโกเลีย 1
</t>
        </r>
      </text>
    </comment>
    <comment ref="G11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บูรไน2 อินโดนีเซีย2 มาเลเซีย2 ฟิลิปปินส์2  
สิงคโปร2
</t>
        </r>
      </text>
    </comment>
    <comment ref="G13" authorId="0">
      <text>
        <r>
          <rPr>
            <b/>
            <sz val="9"/>
            <rFont val="Tahoma"/>
            <family val="2"/>
          </rPr>
          <t xml:space="preserve">DELL: ฟิลิปปินส์
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DELL: ฟิลิปปินสฺ 
</t>
        </r>
        <r>
          <rPr>
            <sz val="9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9"/>
            <rFont val="Tahoma"/>
            <family val="2"/>
          </rPr>
          <t>DELL: ศรีลังกา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DELL: บูรไน อินโดนีเซีย มาเลเซีย ฟิลิปปินส์ สิงคโปร์   
</t>
        </r>
        <r>
          <rPr>
            <sz val="9"/>
            <rFont val="Tahoma"/>
            <family val="2"/>
          </rPr>
          <t xml:space="preserve">
</t>
        </r>
      </text>
    </comment>
    <comment ref="G36" authorId="0">
      <text>
        <r>
          <rPr>
            <b/>
            <sz val="9"/>
            <rFont val="Tahoma"/>
            <family val="2"/>
          </rPr>
          <t>DELL: บรูไน มาเลเซีย ฟิลิปปินส์ อินโดนีเซีย</t>
        </r>
        <r>
          <rPr>
            <sz val="9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9"/>
            <rFont val="Tahoma"/>
            <family val="2"/>
          </rPr>
          <t xml:space="preserve">DELL:  ฟิลิปินส์1 มาเลเซีย 1 อินเดีย1 อินโดนีเซีย 1
 </t>
        </r>
        <r>
          <rPr>
            <sz val="9"/>
            <rFont val="Tahoma"/>
            <family val="2"/>
          </rPr>
          <t xml:space="preserve">
</t>
        </r>
      </text>
    </comment>
    <comment ref="G28" authorId="0">
      <text>
        <r>
          <rPr>
            <b/>
            <sz val="9"/>
            <rFont val="Tahoma"/>
            <family val="2"/>
          </rPr>
          <t xml:space="preserve">DELL: tongo
</t>
        </r>
        <r>
          <rPr>
            <sz val="9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9"/>
            <rFont val="Tahoma"/>
            <family val="2"/>
          </rPr>
          <t>DELL: อินโดนีเซีย ฟิลิปปินส์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<sst xmlns="http://schemas.openxmlformats.org/spreadsheetml/2006/main" count="1901" uniqueCount="800">
  <si>
    <t>ตารางความร่วมมือเพื่อการพัฒนาที่ประเทศไทยให้แก่ต่างประเทศ</t>
  </si>
  <si>
    <t>กระทรวง</t>
  </si>
  <si>
    <t>รวม</t>
  </si>
  <si>
    <t xml:space="preserve">  สำนักนายกรัฐมนตรี</t>
  </si>
  <si>
    <t>มูลค่ารวม (บาท)</t>
  </si>
  <si>
    <t>หมายเหตุ</t>
  </si>
  <si>
    <t>สาขา</t>
  </si>
  <si>
    <t>ลักษณะความร่วมมือ</t>
  </si>
  <si>
    <t>กัมพูชา</t>
  </si>
  <si>
    <t>สปป.ลาว</t>
  </si>
  <si>
    <t>เวียดนาม</t>
  </si>
  <si>
    <t xml:space="preserve"> ตามพันธกรณี</t>
  </si>
  <si>
    <t xml:space="preserve"> Contribution</t>
  </si>
  <si>
    <t>ประเทศผู้รับ</t>
  </si>
  <si>
    <t xml:space="preserve">   มูลค่ารวม     (บาท)</t>
  </si>
  <si>
    <t xml:space="preserve">      เงินอุดหนุนองค์การระหว่างประเทศ</t>
  </si>
  <si>
    <t xml:space="preserve">        -  ค่าบำรุง องค์การโทรคมนาคมเอเชียและแปซิฟิก (Asia Pacific Telecommunity: APT)</t>
  </si>
  <si>
    <t>การสื่อสาร</t>
  </si>
  <si>
    <t>เงินให้เปล่า</t>
  </si>
  <si>
    <t xml:space="preserve">     มูลค่ารวม       (บาท)</t>
  </si>
  <si>
    <t xml:space="preserve">  สำนักงานความร่วมมือพัฒนาเศรษฐกิจกับประเทศเพื่อนบ้านฯ</t>
  </si>
  <si>
    <t>ประเทศอื่นๆ</t>
  </si>
  <si>
    <t xml:space="preserve"> หลากสาขา</t>
  </si>
  <si>
    <t>จีน</t>
  </si>
  <si>
    <t xml:space="preserve">   กระทรวงยุติธรรม</t>
  </si>
  <si>
    <t xml:space="preserve">      สนง. ป.ป.ส.</t>
  </si>
  <si>
    <t>หมายเหตุ/กรอบความร่วมือ</t>
  </si>
  <si>
    <t xml:space="preserve">   กระทรวงพาณิชย์</t>
  </si>
  <si>
    <t xml:space="preserve"> ธุรกิจและบริการอื่นๆ</t>
  </si>
  <si>
    <t xml:space="preserve">   ธนาคารแห่งประเทศไทย</t>
  </si>
  <si>
    <t xml:space="preserve">   กระทรวงศึกษาธิการ</t>
  </si>
  <si>
    <t>การศึกษา</t>
  </si>
  <si>
    <t>สาธารณสุข</t>
  </si>
  <si>
    <t xml:space="preserve">   รวม</t>
  </si>
  <si>
    <t xml:space="preserve">  กระทรวงทรัพยากรธรรมชาติและสิ่งแวดล้อม</t>
  </si>
  <si>
    <t>หมายเหตุ/กรอบความร่วมมือ</t>
  </si>
  <si>
    <t xml:space="preserve"> </t>
  </si>
  <si>
    <t>ACMECS</t>
  </si>
  <si>
    <t xml:space="preserve">   กระทรวงอุตสาหกรรม</t>
  </si>
  <si>
    <t xml:space="preserve">      กรมโรงงานอุตสาหกรรม</t>
  </si>
  <si>
    <t>รวมประเทศอื่นๆ</t>
  </si>
  <si>
    <t xml:space="preserve">  สำนักงานคณะกรรมการการอุดมศึกษา</t>
  </si>
  <si>
    <t>GMS</t>
  </si>
  <si>
    <t>หลากสาขา</t>
  </si>
  <si>
    <t xml:space="preserve">                                                                                                   </t>
  </si>
  <si>
    <t>วิทยาศาสตร์และเทคโนโลยี</t>
  </si>
  <si>
    <t>อินเดีย</t>
  </si>
  <si>
    <t xml:space="preserve">      กรมอุตุนิยมวิทยา</t>
  </si>
  <si>
    <t xml:space="preserve">        -  ค่าบำรุง องค์การอุตุนิยมวิทยาโลก (World Meteorological Organization: WMO)</t>
  </si>
  <si>
    <t xml:space="preserve">        -  ค่าสมาชิก คณะกรรมการไต้ฝุ่น (ESCAP/WMO Typhoon Committee Trust Fund: TC)</t>
  </si>
  <si>
    <t xml:space="preserve">        -  ค่าสมาชิก คณะกรรมการพายุไซโคลนเขตร้อน (ESCAP/WMO Panel on Tropical Cyclones Trust Fund: PTC)</t>
  </si>
  <si>
    <t xml:space="preserve">        -  ค่าบำรุงสมาชิก ศูนย์พยากรณ์อากาศโลก Exeter ระบบ SADIS ของ UK Met Office</t>
  </si>
  <si>
    <t xml:space="preserve">      สำนักงานสถิติแห่งชาติ</t>
  </si>
  <si>
    <t xml:space="preserve">        -  เงินอุดหนุน (ค่าสมาชิก) International Statistical Institute (ISI) </t>
  </si>
  <si>
    <t xml:space="preserve">        -  เงินอุดหนุน (ค่าสมาชิก) Statistical Institute for Asia and the Pacific (SIAP)</t>
  </si>
  <si>
    <t>ฝึกอบรม</t>
  </si>
  <si>
    <t xml:space="preserve">   กระทรวงการต่างประเทศ</t>
  </si>
  <si>
    <t>Ministries</t>
  </si>
  <si>
    <t>Grant/Technical Cooperation</t>
  </si>
  <si>
    <t>Contributions to International Org.</t>
  </si>
  <si>
    <t>Loans</t>
  </si>
  <si>
    <t>Total (Thai Baht)</t>
  </si>
  <si>
    <t>Ministry of Transport</t>
  </si>
  <si>
    <t>Ministry of Education</t>
  </si>
  <si>
    <t>Ministry of Science and Technology</t>
  </si>
  <si>
    <t>Ministry of Industry</t>
  </si>
  <si>
    <t>Ministry of Energy</t>
  </si>
  <si>
    <t>Ministry of Natural Resources and Environment</t>
  </si>
  <si>
    <t>Ministry of Justice</t>
  </si>
  <si>
    <t>Ministry of Agriculture and Cooperatives</t>
  </si>
  <si>
    <t>Ministry of Defence</t>
  </si>
  <si>
    <t>Bank of Thailand</t>
  </si>
  <si>
    <t>Ministry of Commerce</t>
  </si>
  <si>
    <t>Office of the Prime Minister</t>
  </si>
  <si>
    <t>Ministry of Labour</t>
  </si>
  <si>
    <t>Ministry of Foreign Affairs (excl. TICA)</t>
  </si>
  <si>
    <t>Ministry of Public Health</t>
  </si>
  <si>
    <t>Ministry of Interior</t>
  </si>
  <si>
    <t>Ministry of Culture</t>
  </si>
  <si>
    <t xml:space="preserve">        -  ค่าสมาชิกองค์การพัฒนาอุตสาหกรรมแห่งสหประชาชาติ (United Nations Industrial Development Organization : UNIDO)</t>
  </si>
  <si>
    <t xml:space="preserve">      สำนักงานเศรษฐกิจอุตสาหกรรม</t>
  </si>
  <si>
    <t>เงินบำรุง/เงินบริจาค องค์การระหว่างประเทศ</t>
  </si>
  <si>
    <t>Ministry of Finance</t>
  </si>
  <si>
    <t xml:space="preserve">Total </t>
  </si>
  <si>
    <t xml:space="preserve">Thailand Official Development Assistance </t>
  </si>
  <si>
    <t>Ministry/ Sector</t>
  </si>
  <si>
    <t>Recipient</t>
  </si>
  <si>
    <t>Type of Cooperation</t>
  </si>
  <si>
    <t>Cambodia</t>
  </si>
  <si>
    <t>Lao PDR</t>
  </si>
  <si>
    <t>Myanmar</t>
  </si>
  <si>
    <t xml:space="preserve"> Vietnam</t>
  </si>
  <si>
    <t>China</t>
  </si>
  <si>
    <t>others</t>
  </si>
  <si>
    <t>- Education</t>
  </si>
  <si>
    <t xml:space="preserve">Commission on Higher Education </t>
  </si>
  <si>
    <t>- Agriculture</t>
  </si>
  <si>
    <t>Ministry of Natural Resources &amp; Environment</t>
  </si>
  <si>
    <t>- Banking and Financial Services</t>
  </si>
  <si>
    <t>- Business and Other Services</t>
  </si>
  <si>
    <t xml:space="preserve">  TICA*</t>
  </si>
  <si>
    <t xml:space="preserve">- Multisector/Cross-Cutting </t>
  </si>
  <si>
    <t>contributions to International Org.</t>
  </si>
  <si>
    <t>Total</t>
  </si>
  <si>
    <t xml:space="preserve">   กระทรวงแรงงาน</t>
  </si>
  <si>
    <t>ตามพันธกรณี</t>
  </si>
  <si>
    <t>- Public Health</t>
  </si>
  <si>
    <t>เกาหลี</t>
  </si>
  <si>
    <t>รวมทั้งสิ้น</t>
  </si>
  <si>
    <t>ยาเสพติด</t>
  </si>
  <si>
    <t>เงินบำรุง/เงินบริจาคองค์การระหว่างประเทศ</t>
  </si>
  <si>
    <t xml:space="preserve">   กระทรวงสาธารณสุข</t>
  </si>
  <si>
    <t>ทุนศึกษา</t>
  </si>
  <si>
    <t>อิหร่าน</t>
  </si>
  <si>
    <t xml:space="preserve"> ตามความสมัครใจ</t>
  </si>
  <si>
    <t>- Technical Cooperation (Multisector/Cross-Cutting)</t>
  </si>
  <si>
    <t xml:space="preserve">- ความร่วมมือทางวิชาการ </t>
  </si>
  <si>
    <t>- เงินบำรุง/เงินบริจาค องค์การระหว่างประเทศ</t>
  </si>
  <si>
    <t>ทุนศึกษา ฝึกอบรม ผชช. โครงการ วัสดุอุปกรณ์ อื่นๆ</t>
  </si>
  <si>
    <r>
      <t>-</t>
    </r>
    <r>
      <rPr>
        <sz val="14"/>
        <rFont val="Cordia New"/>
        <family val="2"/>
      </rPr>
      <t xml:space="preserve"> Multisector/Cross-Cutting</t>
    </r>
  </si>
  <si>
    <t>ทุนศึกษา 6 ทุน</t>
  </si>
  <si>
    <t xml:space="preserve">   มูลค่ารวม    (บาท)</t>
  </si>
  <si>
    <t xml:space="preserve">   กระทรวงคมนาคม</t>
  </si>
  <si>
    <t>- Water Supply and Sanitation</t>
  </si>
  <si>
    <t>ไต้หวัน</t>
  </si>
  <si>
    <t xml:space="preserve">    มหาวิทยาลัยเกษตรศาสตร์</t>
  </si>
  <si>
    <t xml:space="preserve">    มหาวิทยาลัยเทคโนโลยีสุรนารี</t>
  </si>
  <si>
    <t>- Justice</t>
  </si>
  <si>
    <t xml:space="preserve">       สนง. นโยบายและแผนทรัพยากรธรรมชาติและสิ่งแวดล้อม</t>
  </si>
  <si>
    <t xml:space="preserve"> สิ่งแวดล้อมทางชีวภาพ</t>
  </si>
  <si>
    <t>พัฒนามนุษย์</t>
  </si>
  <si>
    <t xml:space="preserve">       -  องค์การอนามัยโลก (World Health Organization : WHO)</t>
  </si>
  <si>
    <t xml:space="preserve">       -   กองทุนโครงการวิจัยด้านการวางแผนครอบครัวขององค์การอนามัยโลก  (UNDP/UNFPA/WHO/HRP)</t>
  </si>
  <si>
    <t xml:space="preserve">       -   สมาพันธ์วางแผนครอบครัวระหว่างประเทศ (International Planned Perenthood Federation : (IPPF)</t>
  </si>
  <si>
    <t xml:space="preserve">       -  โครงการโรคเอดส์แห่งสหประชาชาติ (Joint United Nations Programme on HIV/AIDS : UNAIDS)</t>
  </si>
  <si>
    <t xml:space="preserve">ฝึกอบรม </t>
  </si>
  <si>
    <t>การค้าและการลงทุน</t>
  </si>
  <si>
    <r>
      <t>Exim Bank  ได้รับคืนเงินกู้ (โครงการให้กู้เงินในการซื้อเครื่องจักรและพัฒนาประเทศแก่รัฐบาลเมียนมาร์ ปี 2547 จำนวน 4,000 ล้านบาท ยอดเบิกถอน 3,946 ล้านบาท) รวมยอดเงินต้นที่รับคืนตั้งแต่ปี 2553-2556 เป็นเงินทั้งสิ้น</t>
    </r>
    <r>
      <rPr>
        <sz val="16"/>
        <color indexed="10"/>
        <rFont val="Cordia New"/>
        <family val="2"/>
      </rPr>
      <t xml:space="preserve"> 2,254.94</t>
    </r>
    <r>
      <rPr>
        <sz val="16"/>
        <color indexed="12"/>
        <rFont val="Cordia New"/>
        <family val="2"/>
      </rPr>
      <t xml:space="preserve"> ล้าน</t>
    </r>
    <r>
      <rPr>
        <sz val="16"/>
        <rFont val="Cordia New"/>
        <family val="2"/>
      </rPr>
      <t>บาท ยอดคงเหลือ 1,691 ล้านบาท</t>
    </r>
  </si>
  <si>
    <t xml:space="preserve">        -  ค่าบำรุงสหภาพโทรคมนาคมระหว่างประเทศ (International Telecommunication Union : ITU</t>
  </si>
  <si>
    <t xml:space="preserve">       -   กองทุนระหว่างประเทศสำหรับเด็กแห่งสหประชาชาติ (United Nations Children's Fund : UNICEF)</t>
  </si>
  <si>
    <t xml:space="preserve">       -   กองทุนประชากรแห่งสหประชาชาติ (United Nations Population Fund : UNFPA)</t>
  </si>
  <si>
    <t>- Social /Welfare Services</t>
  </si>
  <si>
    <t xml:space="preserve">   - TICA</t>
  </si>
  <si>
    <t>ค่าสมาชิก</t>
  </si>
  <si>
    <t xml:space="preserve"> training</t>
  </si>
  <si>
    <t xml:space="preserve"> training, study visit </t>
  </si>
  <si>
    <t xml:space="preserve"> fellowship,research, training</t>
  </si>
  <si>
    <t xml:space="preserve"> training, study visit, research</t>
  </si>
  <si>
    <t xml:space="preserve">     กรมทางหลวง</t>
  </si>
  <si>
    <t xml:space="preserve"> โครงการ</t>
  </si>
  <si>
    <t xml:space="preserve">   -  Commission on Higher Education</t>
  </si>
  <si>
    <t xml:space="preserve">        -  ค่าบำรุงสมาชิกองค์การห้ามอาวุธเคมี (Organisation for the Prohibition of Chemical Weapons, OPCW) </t>
  </si>
  <si>
    <t xml:space="preserve">     สนง.คณะกรรมการอาชีวศึกษา</t>
  </si>
  <si>
    <t xml:space="preserve">     สถาบันระหว่างประเทศเพื่อการค้าและการพัฒนา (ITD)</t>
  </si>
  <si>
    <t xml:space="preserve">  มูลค่ารวม  (บาท)</t>
  </si>
  <si>
    <t xml:space="preserve">        -  ค่าบำรุง องค์การความร่วมมือด้านอวกาศแห่งเอเซียและแปซิฟิก (Asia-Pacific Space Cooperation: APSCO)</t>
  </si>
  <si>
    <r>
      <rPr>
        <sz val="14"/>
        <rFont val="Cordia New"/>
        <family val="2"/>
      </rPr>
      <t>Natural Resources &amp; Environment</t>
    </r>
  </si>
  <si>
    <t>เงินกู้/เงินให้เปล่า</t>
  </si>
  <si>
    <t xml:space="preserve"> fellowship, training, studu visit</t>
  </si>
  <si>
    <r>
      <t xml:space="preserve">- </t>
    </r>
    <r>
      <rPr>
        <sz val="14"/>
        <rFont val="Cordia New"/>
        <family val="2"/>
      </rPr>
      <t xml:space="preserve"> Multisector/Cross-Cutting</t>
    </r>
  </si>
  <si>
    <t xml:space="preserve">        -  เงินอุดหนุนหน่วยสันติภาพสหรัฐ (Peace Corps)</t>
  </si>
  <si>
    <t>กรมความร่วมมือระหว่างประเทศ</t>
  </si>
  <si>
    <t xml:space="preserve">    มหาวิทยาลัยเชียงใหม่</t>
  </si>
  <si>
    <t xml:space="preserve">        -  เงินค่าบำรุงรายปีองค์การแรงงานระหว่างประเทศ (ILO)</t>
  </si>
  <si>
    <t xml:space="preserve">      สำนักนโยบายและแผนฯ</t>
  </si>
  <si>
    <t>มนุษยธรรม</t>
  </si>
  <si>
    <t xml:space="preserve">       กรมทรัพยากรน้ำ</t>
  </si>
  <si>
    <t>ตามสมัครใจ</t>
  </si>
  <si>
    <t xml:space="preserve">       กรมป่าไม้</t>
  </si>
  <si>
    <t xml:space="preserve">       กรมทรัพยากรทางทะเลและชายฝั่ง</t>
  </si>
  <si>
    <t xml:space="preserve">       สำนักงานคณะกรรมการอ้อยและน้ำตาล</t>
  </si>
  <si>
    <t>อุตสาหกรรม/เกษตร</t>
  </si>
  <si>
    <t xml:space="preserve">        -  ค่าบำรุงสมาชิกองค์การวิจัยน้ำตาลโลก (World Sugar Research Organization : WSRO)</t>
  </si>
  <si>
    <t xml:space="preserve">        -  ค่าสมาชิก  Asian Productivity Organization (APO)</t>
  </si>
  <si>
    <t xml:space="preserve">        -  ค่าบำรุงสมาชิกองค์การน้ำตาลระหว่างประเทศ International Sugar Organization :  ISO</t>
  </si>
  <si>
    <t xml:space="preserve">   กระทรวงกลาโหม</t>
  </si>
  <si>
    <t>พัฒนามนุษย์ฯ</t>
  </si>
  <si>
    <t xml:space="preserve">   กระทรวงการคลัง</t>
  </si>
  <si>
    <t xml:space="preserve">     สำนักงานเศรษฐกิจการคลัง</t>
  </si>
  <si>
    <t>การบริจาคเงิน</t>
  </si>
  <si>
    <t>ตามความสมัครใจ</t>
  </si>
  <si>
    <t>โคลัมเบีย</t>
  </si>
  <si>
    <t xml:space="preserve">       -  กองทุนโลกเพื่อการต่อสู้โรคเอดส์ วัณโรค และมาลาเรีย</t>
  </si>
  <si>
    <t xml:space="preserve">       -   โครงการพิเศษขององค์การอนามัยโลกในด้านการวิจัยและฝึกอบรมเกี่ยวกับโรคเมืองร้อน (WHO Special Programme for Research and Training in Tropical Disease : TDR)</t>
  </si>
  <si>
    <t>ทุนศึกษา 2 ทุน</t>
  </si>
  <si>
    <t>การเกษตร</t>
  </si>
  <si>
    <t xml:space="preserve">    มหาวิทยาลัยมหิดล</t>
  </si>
  <si>
    <t>วัฒนธรรม</t>
  </si>
  <si>
    <t>ทุนศึกษา 4 ทุน</t>
  </si>
  <si>
    <t xml:space="preserve">        -  ค่าบำรุงสหภาพสากลไปรษณีย์ (Universal Postal Union : UPU)</t>
  </si>
  <si>
    <t xml:space="preserve"> training, meeting</t>
  </si>
  <si>
    <t xml:space="preserve">-  Multisector/Cross-Cutting </t>
  </si>
  <si>
    <t>- Humanitarian Aid</t>
  </si>
  <si>
    <t>เมียนมา</t>
  </si>
  <si>
    <t xml:space="preserve">        -  เงินอุดหนุนแผนโคลัมโบ (Colombo Plan)</t>
  </si>
  <si>
    <t xml:space="preserve">        -  เงินอุดหนุน International Atomic Agency (IAEA)</t>
  </si>
  <si>
    <t xml:space="preserve">        -  เงินอุดหนุนโครงการอาสาสมัคร United Nations Volunteers (UNV)</t>
  </si>
  <si>
    <t xml:space="preserve">        -  เงินอุดหนุนทุนการศึกษาไทย - อเมริกัน Thailand - US Educational Foundation (TUSEF)</t>
  </si>
  <si>
    <t>project</t>
  </si>
  <si>
    <t>เงินกู้</t>
  </si>
  <si>
    <t xml:space="preserve">   สำนักงานประกันสังคม</t>
  </si>
  <si>
    <t>โครงการ</t>
  </si>
  <si>
    <t>เงินให้เปล่า / ความร่วมมือทางวิชาการ</t>
  </si>
  <si>
    <t>สปป. ลาว</t>
  </si>
  <si>
    <t xml:space="preserve">       สนง. คกก.คุ้มครองผู้บริโภค</t>
  </si>
  <si>
    <t xml:space="preserve">     สนง.ปลัดกระทรวง</t>
  </si>
  <si>
    <t xml:space="preserve">   กระทรวงวัฒนธรรม</t>
  </si>
  <si>
    <t xml:space="preserve">   กระทรวงการเกษตรและสหกรณ์</t>
  </si>
  <si>
    <t>.</t>
  </si>
  <si>
    <t xml:space="preserve">        -  ค่าบำรุงกองทุนพิธีสารมอนทรีออล (Trust Fund for the Montreal Protocol on Substances that Deplete the Ozone Layer) United Nations Enviromment Peogram (UNEP)</t>
  </si>
  <si>
    <t xml:space="preserve">       - ค่าบำรุงกองทุนกองทุนอนุสัญญาเวียนนา (Trust Fund for the Vienna Convention for the Protection of the Ozone Layer)</t>
  </si>
  <si>
    <t xml:space="preserve">เมียนมา </t>
  </si>
  <si>
    <t xml:space="preserve">    กรมยุทธการทหารบก</t>
  </si>
  <si>
    <t xml:space="preserve">        -  เงินบำรุงกองกำลังรักษาสันติภาพของสหประชาชาติ (UN Peace Keeping Operation)</t>
  </si>
  <si>
    <t xml:space="preserve">    -  Contribution to UN High Commissioner for Refugees (UNHCR)</t>
  </si>
  <si>
    <t xml:space="preserve">     -  Contribution to United Nations Children's Found (UNICEF)</t>
  </si>
  <si>
    <t xml:space="preserve">     -  Contribution to UN Disarmament Information Programme (UNDIP)</t>
  </si>
  <si>
    <t xml:space="preserve">    -  Contribution to UN Relief and Works Adency for Palestine Refugees in the Near East (UNRWA)</t>
  </si>
  <si>
    <t xml:space="preserve">      กรมองค์การระหว่างประเทศ</t>
  </si>
  <si>
    <t xml:space="preserve">        -  เงินค่าบำรุงของศาลระหว่างประเทศกรณีอดีตยูโกสลาเวีย (ICTY) </t>
  </si>
  <si>
    <t xml:space="preserve">     สนง.กศน.</t>
  </si>
  <si>
    <t xml:space="preserve">     -  การบริจาคเงินในการเพิ่มทุนของสมาคมพัฒนาการระหว่างประเทศ (International Development Association : IDA)  ภายใต้ (International Bank for Reconstruction and Development : IBRD)</t>
  </si>
  <si>
    <t>การเพิ่มทุน</t>
  </si>
  <si>
    <t xml:space="preserve">     -  การเพิ่มทุนสามัญทั่วไป (General Capital Increase) ของ ADB</t>
  </si>
  <si>
    <t xml:space="preserve">     -  การชำระเงินลงทุน (member subscription) ในการจัดตั้งธนาคารเพื่อการลงทุนในโครงสร้างพื้นฐานเอเชีย (Asian Infrastructure Investment Bank  : AIIB) </t>
  </si>
  <si>
    <t>การลงทุน</t>
  </si>
  <si>
    <t>- Banking &amp; Finacial Services</t>
  </si>
  <si>
    <t>Neighbouring Countries Economic Development Cooperation Agency (Public Organization)</t>
  </si>
  <si>
    <t xml:space="preserve"> contributions to International Org.</t>
  </si>
  <si>
    <t xml:space="preserve"> training, study visit, fellowship, project, experts,Equipment,orthers</t>
  </si>
  <si>
    <t>- Transport and Storage</t>
  </si>
  <si>
    <t>Transport and Storage</t>
  </si>
  <si>
    <t>- Urban Development</t>
  </si>
  <si>
    <t>Ministry of Finance  *</t>
  </si>
  <si>
    <t xml:space="preserve">  training/meeting</t>
  </si>
  <si>
    <t xml:space="preserve">    - เงินอุดหนุนอนุสัญญาว่าด้วยพื้นที่ชุ่มน้ำ (Ramsar)</t>
  </si>
  <si>
    <t>grant</t>
  </si>
  <si>
    <t xml:space="preserve"> January - December 2017</t>
  </si>
  <si>
    <t>มกราคม - ธันวาคม 2560</t>
  </si>
  <si>
    <t xml:space="preserve">  -  </t>
  </si>
  <si>
    <t xml:space="preserve">     กรมทรัพย์สินทางปัญญา</t>
  </si>
  <si>
    <t xml:space="preserve">    - ค่าสมาชิกองค์การทรัพย์สินทางปัญญาโลก (WIPO)</t>
  </si>
  <si>
    <t xml:space="preserve">     กรมอนามัย</t>
  </si>
  <si>
    <t xml:space="preserve">      กรมเศรษฐกิจระหว่างประเทศ</t>
  </si>
  <si>
    <t xml:space="preserve">     -  เงินบริจาคให้แก่มูลมิธิเอเซีย-ยุโรป (ASEF)</t>
  </si>
  <si>
    <t xml:space="preserve">      กรมอาเซียน</t>
  </si>
  <si>
    <t xml:space="preserve">        -  ค่าบำรุงรักษาและปรับปรุง Website ของสมาคมการประกันสังคมอาเซียน (ASEAN Social Security Association (ASSA))</t>
  </si>
  <si>
    <t>หลากสาข</t>
  </si>
  <si>
    <t xml:space="preserve">        สนง. ปลัดกระทรวงแรงงาน</t>
  </si>
  <si>
    <t xml:space="preserve">        -  เงินอุดหนุนค่าบำรุงรายปีกรอบความร่วมมือ (colombo Process)</t>
  </si>
  <si>
    <t>ทุนศึกษา/ฝึกอบรม</t>
  </si>
  <si>
    <t xml:space="preserve">     กรมวัฒนธรรม</t>
  </si>
  <si>
    <t>เงินสนับสนุนกองทุน</t>
  </si>
  <si>
    <t>ป่าไม้</t>
  </si>
  <si>
    <t>บริหารจัดการน้ำ</t>
  </si>
  <si>
    <t xml:space="preserve">      สนง.ปลัดกระทรวงทรัพยากรธรรมชาติและสิ่งแวดล้อม</t>
  </si>
  <si>
    <t xml:space="preserve">    - เงินอุดหนนุกองทุนสิ่งแวดล้อมของโครงการสิ่งแวดล้อมแห่งสหประชาชาติ (UNEP)</t>
  </si>
  <si>
    <t xml:space="preserve">   กระทรวงพลังงาน</t>
  </si>
  <si>
    <t xml:space="preserve">     การไฟฟ้าฝ่ายผลิตแห่งประเทศ</t>
  </si>
  <si>
    <t>พลังงาน</t>
  </si>
  <si>
    <t xml:space="preserve">       สำนักงานมาตรฐานผลิตภัณฑ์อุตสาหกรรม</t>
  </si>
  <si>
    <t xml:space="preserve">        -  ค่าบำรุงการเป็นสมาชิกองค์การระหว่างประเทศว่าด้วยการมาตรฐาน (International Organization for Standardization (ISO)</t>
  </si>
  <si>
    <t xml:space="preserve">        -  ค่าบำรุงสมาชิกองค์การระหว่างประเทศว่าด้วยการรับรองห้องปฏิบัติการ (Internation Laboratory Accreditation Cooperation -ILAC)</t>
  </si>
  <si>
    <t xml:space="preserve">     สนง.ปลัดกระทรวงฯ</t>
  </si>
  <si>
    <t>Science,technology</t>
  </si>
  <si>
    <t xml:space="preserve">   กระทรวงมหาดไทย</t>
  </si>
  <si>
    <t>การพัฒนาเมือง</t>
  </si>
  <si>
    <t>การลดภัยพิบัติ</t>
  </si>
  <si>
    <t>เงินบริจาค</t>
  </si>
  <si>
    <t xml:space="preserve">      กรมราชภัณฑ์</t>
  </si>
  <si>
    <t>พัฒนาสังคม</t>
  </si>
  <si>
    <t xml:space="preserve">   กระทรวงวิทยาศาสตร์และเทคโนโลยี</t>
  </si>
  <si>
    <t xml:space="preserve">      -  Contribution to UN Institute for Training and Research (UNITAR) กองทุนทั่วไปของสถาบันเพื่อการฝึกอบรมและวิจัยแห่งสหประชาชาติ </t>
  </si>
  <si>
    <t xml:space="preserve">       กรมประชาสัมพันธ์</t>
  </si>
  <si>
    <t xml:space="preserve">    - ค่าสมาชิกสถาบันพัฒนากิจการวิทยุ-โทรทัศน์แห่งเอเซียแปซิฟิก (Asia-Pacific institute for Broadcasting Development :AIBD)</t>
  </si>
  <si>
    <t>ทวิภาคี</t>
  </si>
  <si>
    <t>ภัยธรรมชาติ</t>
  </si>
  <si>
    <t>Ministry of Digital Economy and Society</t>
  </si>
  <si>
    <t xml:space="preserve">     -  โครงการความร่วมมือพัฒนาการเกษตรแบบมีสัญญา (Contract Farming)</t>
  </si>
  <si>
    <t>เงินค่าสมาชิก</t>
  </si>
  <si>
    <t xml:space="preserve">     กรมประมง</t>
  </si>
  <si>
    <t xml:space="preserve">     -  เงินอุดหนุน INFOFISH</t>
  </si>
  <si>
    <t xml:space="preserve">     -  เงินอุดหนุน IOTC</t>
  </si>
  <si>
    <t xml:space="preserve">     -  เงินอุดหนุน NACA</t>
  </si>
  <si>
    <t xml:space="preserve">     -  เงินอุดหนุน OECD</t>
  </si>
  <si>
    <t xml:space="preserve">     -  เงินอุดหนุน SEAFDEC</t>
  </si>
  <si>
    <t xml:space="preserve">     -  เงินอุดหนุน SIOFA</t>
  </si>
  <si>
    <t xml:space="preserve">     -  เงินอุดหนุน WCPFC</t>
  </si>
  <si>
    <t>ฝึกอบรม 7 คน</t>
  </si>
  <si>
    <t>ฝึกอบรม 2 คน</t>
  </si>
  <si>
    <t xml:space="preserve">   กระทรวงดิจิทัลเพื่อเศรษฐกิจและสังคม</t>
  </si>
  <si>
    <t xml:space="preserve">      สนง. ปลัดกระทรวงดิจิทัลเพื่อเศรษฐกิจและสังคม</t>
  </si>
  <si>
    <t xml:space="preserve">    มหาวิทยาลัยพะเยา</t>
  </si>
  <si>
    <t>ทุนศึกษา 28 ทุน</t>
  </si>
  <si>
    <t xml:space="preserve">    มหาวิทยาลัยอุบลราชธานี</t>
  </si>
  <si>
    <t>ทุนศึกษา 38 ทุน</t>
  </si>
  <si>
    <t>ฝึกอบรม 18 คน</t>
  </si>
  <si>
    <t xml:space="preserve">    มหาวิทยาลัยมหาสารคาม</t>
  </si>
  <si>
    <t>ทุนศึกษา 9 ทุน</t>
  </si>
  <si>
    <t xml:space="preserve">    มหาวิทยาลัยขอนแก่น</t>
  </si>
  <si>
    <t xml:space="preserve">    มหาวิทยาลัยนเรศวร</t>
  </si>
  <si>
    <t xml:space="preserve">   - ค่าสมาชิก ASAIHL</t>
  </si>
  <si>
    <t>ตุรกี</t>
  </si>
  <si>
    <t xml:space="preserve">    กรมปศุสัตว์</t>
  </si>
  <si>
    <t>ฝีกอบรม 11 คน</t>
  </si>
  <si>
    <t>\</t>
  </si>
  <si>
    <t>- Science and Technology</t>
  </si>
  <si>
    <t>- Energy Generation and Supply</t>
  </si>
  <si>
    <t>พัฒนาสังคมฯ</t>
  </si>
  <si>
    <t xml:space="preserve">     -  การก่อสร้างสะพานข้ามพรมแดนแห่งใหม่ที่บ้านหนองเอี่ยน - สตึงบท</t>
  </si>
  <si>
    <t xml:space="preserve">ทวิภาคี ไทย - กัมพูชา </t>
  </si>
  <si>
    <t xml:space="preserve">     -  การก่อสร้างสะพานมิตรภาพไทย - เมียนมา ข้ามแม่น้ำเมย แห่งที่ 2</t>
  </si>
  <si>
    <t>ทวิภาคี ไทย - เมียนมา</t>
  </si>
  <si>
    <t xml:space="preserve">     -  การบริจาคเงินในการเพิ่มทุนของกองทุนพัฒนาเอเซีย (Asian Development Fund : ADF) </t>
  </si>
  <si>
    <t>GMS, ACMECS</t>
  </si>
  <si>
    <t>ฝึกอบรม 40 คน</t>
  </si>
  <si>
    <t xml:space="preserve">      กรมการข้าว</t>
  </si>
  <si>
    <t xml:space="preserve">     กรมพัฒนาที่ดิน</t>
  </si>
  <si>
    <t xml:space="preserve">    กรมส่งเสริมสหกรณ์</t>
  </si>
  <si>
    <t xml:space="preserve">       กรมทรัพยากรน้ำบาดาล</t>
  </si>
  <si>
    <t xml:space="preserve">    -  ค่าบำรุงสมาชิกองค์การความร่วมมือด้านไม้ไผ่และหวายระหว่างประเทศ      (INBAR : International Network for Bamboo and Rattan)</t>
  </si>
  <si>
    <t xml:space="preserve">    - เงินอุดหนุนกองทุนอนุสัญญาสหประชาชาติว่าด้วยการเปลี่ยนแปลงสภาพภูมิอากาศ (UNFCCC) และพิธีสารเกียวโต (KP)</t>
  </si>
  <si>
    <t xml:space="preserve">    -  เงินอุดหนุนอนุสัญญาว่าด้วยความหลากหลายทางชีวภาพ (CBD) และกองทุนพิธีสารคาร์ตาเฮนา ว่าด้วยความปลอดภัยททางชีวภาพ โครงการสิ่งแวดล้อมแห่งสหประชาชาติ (UNEP)</t>
  </si>
  <si>
    <t xml:space="preserve">     สถาบันมาตรวิทยาแห่งชาติ</t>
  </si>
  <si>
    <t xml:space="preserve">     ศูนย์เทคโนโลยีอิเล็กทรอนิกส์ฯ (NECTEC)</t>
  </si>
  <si>
    <t xml:space="preserve">  -  โครงการ สนง.ข้าหลวงใหญ่สิทธิมนุษยชนแห่งสหประชาชาติ (OHCHR)</t>
  </si>
  <si>
    <t xml:space="preserve">  -  อนุสัญญาห้ามทุ่นระเบิดสังหารบุคคล (AP Mine Ban Convention)</t>
  </si>
  <si>
    <t>Bankimg</t>
  </si>
  <si>
    <t>เกาหลีเหนือ</t>
  </si>
  <si>
    <t xml:space="preserve">    - กองทุนความมั่นคงของมนุษย์ของสหประชาชาติ (UNTFHS)</t>
  </si>
  <si>
    <t xml:space="preserve">    -  Contribution of UN  Alliance of Civilization Trust Fund (UNAOC)</t>
  </si>
  <si>
    <t xml:space="preserve">    -  สถาบันสิทธิมนุษยชนแห่งชาติของภูมิภาคเอเซียแปซิฟิก  (APF)</t>
  </si>
  <si>
    <t xml:space="preserve">     -  Contribution to UN Development Programme (UNDP)</t>
  </si>
  <si>
    <t xml:space="preserve">     -  Contribution to UN Capital Development Fund (UNCDF)</t>
  </si>
  <si>
    <t xml:space="preserve"> training, study visit, fellowship, project, 
Experts,Equipment,orthers</t>
  </si>
  <si>
    <t>- Communication</t>
  </si>
  <si>
    <t xml:space="preserve"> - Agriculture</t>
  </si>
  <si>
    <t>- Economics</t>
  </si>
  <si>
    <t xml:space="preserve">- Energy </t>
  </si>
  <si>
    <t>- Industry</t>
  </si>
  <si>
    <t>- Information Technology</t>
  </si>
  <si>
    <t>- Infrastructure &amp; Public Utilities</t>
  </si>
  <si>
    <t>- Labour &amp; Employment</t>
  </si>
  <si>
    <t>- Natural Resources and Environment</t>
  </si>
  <si>
    <t>- Public Administration</t>
  </si>
  <si>
    <t>- Science &amp; Technology</t>
  </si>
  <si>
    <t>- Social Development &amp; Welfare</t>
  </si>
  <si>
    <t>- Tourism</t>
  </si>
  <si>
    <t>- Trade, Services &amp; Investment</t>
  </si>
  <si>
    <t>- Transportation</t>
  </si>
  <si>
    <t xml:space="preserve">                "                              "                 </t>
  </si>
  <si>
    <t>Value (Baht)</t>
  </si>
  <si>
    <t xml:space="preserve">    -  โครงการทุนพระราชทานสมเด็จพระเทพรัตนราชสุดาฯ สยามบรมราชกุมารี โครงการพระราชทานความช่วยเหลือแก่ราชอาณาจักรกัมพูชา (ด้านการศึกษา) ระดับมัธยมศึกษาตอนปลาย และระดับปริญญาตรี</t>
  </si>
  <si>
    <t xml:space="preserve">       -  คณะกรรมการกาชาดระหว่างประเทศ ( International Committee 
of the Red Cross : ICRC)</t>
  </si>
  <si>
    <r>
      <t xml:space="preserve">     -     ค่าสมาชิกองค์การมหกรรมวัฒนธรรมพื้นบ้านนานาชาติ (CIOFF)</t>
    </r>
    <r>
      <rPr>
        <vertAlign val="superscript"/>
        <sz val="14"/>
        <rFont val="Cordia New"/>
        <family val="2"/>
      </rPr>
      <t>R</t>
    </r>
  </si>
  <si>
    <t xml:space="preserve"> -   โครงการปรับปรุงและก่อสร้างถนนจากบ้านฮวก (พะเยา) -เมืองคอบ-
เมืองเชียงฮ่อน-และเมืองคอบ-เมืองปากคอบ-บ้านก้อตื้น สปป.ลาว
(มูลค่าเงินกู้ 1,112 ล้านบาทและ เงินให้เปล่า 278 ล้านบาท)</t>
  </si>
  <si>
    <t>Thailand Official Development Assistance in January - December 2018</t>
  </si>
  <si>
    <t xml:space="preserve"> January - December 2018</t>
  </si>
  <si>
    <t>มกราคม - ธันวาคม 2561</t>
  </si>
  <si>
    <t xml:space="preserve"> -   โครงการสร้างทางรถไฟไทย-ลาว ระยะที่ 2 (ท่านาแล้ง-เวียงจันทน์ )
(มูลค่าเงินกู้ 696.28 ล้านบาทและเงินให้เปล่า 298.40 ล้านบาท) </t>
  </si>
  <si>
    <t xml:space="preserve"> -   โครงการพัฒนาจุดผ่านแดนถาวรสตึงบทและถนนเชื่อมไปยังถนน
หมายเลข 5 ในกัมพูชา(มูลค่าเงินกู้ 928.11 ล้านบาท)</t>
  </si>
  <si>
    <t xml:space="preserve"> -   โครงการก่อสร้างถนนจากเมืองหงสา-บ้านเชียงแมน (เมืองจอมเพชร 
แขวงหลวงพระบาง) (เมืองแบ่ง เมืองคอบ เมืองห้วยทราย เมืองไชยบุรี
และเมืองโขง (เงินให้เปล่ามูลค่า 395.4 ล้านบาท  และเงินให้กู้ 1,581.6 
ล้านบาท)</t>
  </si>
  <si>
    <t xml:space="preserve"> -  งานศึกษาความเป็นไปได้และออกแบบรายละเอียดโครงการพัฒนาเส้นทางหมายเลข 12 (R12) ช่วงเมืองท่าแขก-แขวงคำม่วน-จุดผ่านแดนบ้านนาเพ้า สปป.ลาว</t>
  </si>
  <si>
    <t xml:space="preserve"> -   โครงการฝึกอบรม หลักสูตร Public debt  Management and Economic Issues (เบื้องต้น)</t>
  </si>
  <si>
    <t xml:space="preserve"> -   โครงการฝึกอบรม หลักสูตร Infrastructure Project  Management </t>
  </si>
  <si>
    <t>มกราคม - ธันวาคม  2561</t>
  </si>
  <si>
    <t xml:space="preserve">      -  Scholarship Student (NBC)</t>
  </si>
  <si>
    <t xml:space="preserve">      -  Supervisory College</t>
  </si>
  <si>
    <t xml:space="preserve">    - ค่าธรรมเนียมสมาชิก ปี 25561 (Consumers International)</t>
  </si>
  <si>
    <t xml:space="preserve">      - FiriTech and Cybeysecurity</t>
  </si>
  <si>
    <t xml:space="preserve">      -  Money Market Operation, Reserve Management FX Regulations</t>
  </si>
  <si>
    <t xml:space="preserve">      - Payment and Settlement System $ Sandbox Regulations</t>
  </si>
  <si>
    <t xml:space="preserve">      - Credit Guarantee System</t>
  </si>
  <si>
    <t>Study Visit  4</t>
  </si>
  <si>
    <t>Study Visit  3</t>
  </si>
  <si>
    <t>Study Visit  6</t>
  </si>
  <si>
    <t>Study Visit  14</t>
  </si>
  <si>
    <t xml:space="preserve">      - Leadership Boot Camp</t>
  </si>
  <si>
    <t xml:space="preserve">      - Credit Policy for Promoting SMEs</t>
  </si>
  <si>
    <t>Study Visit  8</t>
  </si>
  <si>
    <t xml:space="preserve">      - Banking Supervision</t>
  </si>
  <si>
    <t xml:space="preserve">      - Standardized QR Code</t>
  </si>
  <si>
    <t xml:space="preserve">      - The Oversight of Payment Services Providers</t>
  </si>
  <si>
    <t>Study Visit  23</t>
  </si>
  <si>
    <t>Study Visit  40</t>
  </si>
  <si>
    <t xml:space="preserve">      - Bond Market Development</t>
  </si>
  <si>
    <t xml:space="preserve">      - การศึกษาดูงานด้านพิพิธภัณฑ์</t>
  </si>
  <si>
    <t xml:space="preserve">       องค์การสวนพฤกษศาสตร์</t>
  </si>
  <si>
    <t xml:space="preserve">    - Training Program on "Living Collection and Horticulture Management  in Botanical Garden" </t>
  </si>
  <si>
    <t xml:space="preserve">    - Training Program on "Advanced Herbarium Technique" </t>
  </si>
  <si>
    <t xml:space="preserve">     กรมเจรจาการค้าระหว่างประเทศ</t>
  </si>
  <si>
    <t xml:space="preserve">    - ค่าสมาชิกองค์การการค้าโลก</t>
  </si>
  <si>
    <t xml:space="preserve">     กรมส่งเสริมการค้าระหว่างประเทศ</t>
  </si>
  <si>
    <t xml:space="preserve">    - เงินอุดหนุนศูนย์อาเซียน - ญี่ปุ่น (ASEAN - Japan Centre)</t>
  </si>
  <si>
    <t xml:space="preserve">    - CLMV Pavillions in Bangkok Germs and Jewelry Fair</t>
  </si>
  <si>
    <t xml:space="preserve">    - CLMV Pavillions in STYLE  April 2018</t>
  </si>
  <si>
    <t xml:space="preserve">    - CLMV Pavillions in STYLE Ocotober  2019</t>
  </si>
  <si>
    <t xml:space="preserve">    - โครงการความช่วยเหลือไม่เต็มรูปแบบ (non-project) โดยสนับสนุน ผ฿เชี่ยวชาญจากต่างประเทศ อุปกรณ์ สถานที่ พร้อมอำนวยความสะดวกตลอดการจัดกิจกรรม</t>
  </si>
  <si>
    <t xml:space="preserve">      กรมส่งเสริมอุตสาหกรรม</t>
  </si>
  <si>
    <t xml:space="preserve">        -  ค่าสมาชิกสภาการช่างศิลป์โลก ภูมิภาคเอเซีย-แปซิฟิค</t>
  </si>
  <si>
    <t xml:space="preserve">        -  ค่าสมาชิกสภาการช่างศิลป์โลกระหว่างประเทศ</t>
  </si>
  <si>
    <t xml:space="preserve">        -  ค่าสมาชิกสหพันธ์การบรรจุภัณฑ์แห่งเอเซีย</t>
  </si>
  <si>
    <t xml:space="preserve">      สถาบันเพิ่มผลผลิตแห่งชาติ</t>
  </si>
  <si>
    <r>
      <t xml:space="preserve">     -  </t>
    </r>
    <r>
      <rPr>
        <sz val="14"/>
        <rFont val="Cordia New"/>
        <family val="2"/>
      </rPr>
      <t>On the job Training on Enhancing Environmental Radioactivity and Radiation Monitoring Capability of the Cambodia Regulatory Organization in Bangkok</t>
    </r>
  </si>
  <si>
    <t xml:space="preserve">     สำนักงานปรมาณูเพื่อสันติ</t>
  </si>
  <si>
    <t xml:space="preserve">    กรมวิทยาศาสตร์บริการ</t>
  </si>
  <si>
    <t xml:space="preserve">      -  Enhancement of capacity building for food contract materials (FCMs) testing laboratories among ASEAN member states</t>
  </si>
  <si>
    <t xml:space="preserve">        -  เงินอุดหนุนกองทุน  ASEAN ICT Fund</t>
  </si>
  <si>
    <t xml:space="preserve">      บริษัท ไปรษณีย์ไทย จำกัด</t>
  </si>
  <si>
    <t xml:space="preserve">        -  ค่าบำรุงสมาชิก APP Cooperative  (Asia Pacific Post Cooperative)</t>
  </si>
  <si>
    <t xml:space="preserve">        -  ค่าอุดหนุนกิจกรรมของ Regional Technical Centre for Asia Pacific (RTCAP)</t>
  </si>
  <si>
    <t xml:space="preserve">        -  ค่าบำรุงสมาชิก EMS Cooperativer ของ (UPU)</t>
  </si>
  <si>
    <t xml:space="preserve">        -  ค่าบำรุงการเป็นสมาชิก UPU Telematics Cooperative ของ Universal Postal Union (UPU)</t>
  </si>
  <si>
    <t xml:space="preserve">        -  ค่าบำรุงการใช้ระบบสอบสวนทางอินเทอร์เน็ตสำหรับการบริการพัสดุไปรษณีย์ระหว่างประเทศ (IBIS) International Post Corporation</t>
  </si>
  <si>
    <t xml:space="preserve">        -  ค่าบำรุงการเข้าร่วมระบบ PRIME</t>
  </si>
  <si>
    <t xml:space="preserve">        -  ค่าบำรุงสมาชิก .post user group ของ UPU</t>
  </si>
  <si>
    <t xml:space="preserve">      กรมควบคุมมลพิษ</t>
  </si>
  <si>
    <t xml:space="preserve">      กรมอุทยานแห่งชาติ สัตว์ป่า และพันธุ์พืช</t>
  </si>
  <si>
    <t xml:space="preserve">    -  ค่าบำรุงสมาชิก IUCN </t>
  </si>
  <si>
    <t xml:space="preserve">    -  ค่าสมาชิกอนุสัญญา CITES </t>
  </si>
  <si>
    <t xml:space="preserve">       - Training on Research Methodology for Traditional Medicine Practitioners </t>
  </si>
  <si>
    <t>ผชช.ไทย 2 คน</t>
  </si>
  <si>
    <t xml:space="preserve">       - Community Mental Health Training Program</t>
  </si>
  <si>
    <t xml:space="preserve">        -  ค่าสมาชิก Colombo Plan Staff College for Technician Education (CPSC)</t>
  </si>
  <si>
    <t xml:space="preserve">    - ค่าสมาชิกสมาคมจดหมายเหตุเสียงและโสตทัศน์ระหว่างชาติ (International Association of Sound and Audiovisual Archives : IASA)</t>
  </si>
  <si>
    <t xml:space="preserve">    - ค่าใช้จ่ายในการบำรุงรักษาเว็บไซต์ (ACCP)</t>
  </si>
  <si>
    <t xml:space="preserve">    - การประชุมเตรียมความพร้อมสำหรับการประชุมทวิภาคีเพื่อพัฒนากระบวนการคุ้มครองผู้บริโภคไทย - ลาว</t>
  </si>
  <si>
    <t xml:space="preserve">    - การจัดกิจกรรมศึกษาดูงานให้แก่ผู้แทนจากสนง.คุ้มครองผู้บริโภคแห่งภูฏาน</t>
  </si>
  <si>
    <t xml:space="preserve">       สนง. ปลัดสำนักนายกรัฐมนตรี</t>
  </si>
  <si>
    <t xml:space="preserve">    - The 2nd ASEAN Youth Representatives in Experiencing the Philosophy of Sufficiency Economy</t>
  </si>
  <si>
    <t xml:space="preserve">   กระทรวงการพัฒนาสังคมและความมั่นคงของมนุษย์</t>
  </si>
  <si>
    <t xml:space="preserve">     การเคหะแห่งชาติ</t>
  </si>
  <si>
    <t xml:space="preserve">     -     Activities to promote technical cooperation (Study Visit) </t>
  </si>
  <si>
    <t xml:space="preserve">     กรมกิจการผู้สูงอายุ</t>
  </si>
  <si>
    <t>ศึกษาดูงาน</t>
  </si>
  <si>
    <t xml:space="preserve">     -     เงินอุดหนุนสำหรับค่าสมาชิกและสมทบองค์กรระหว่างประเทศ กองทุนสหประชาชาติเพื่อการพัฒนาสตรี (UN Women)</t>
  </si>
  <si>
    <t xml:space="preserve">       สนง. สภาพัฒนาการเศรษฐกิจและสังคมแห่งชาติ</t>
  </si>
  <si>
    <t>ฝึกอบรม 176 คน/      2 ประเทศ</t>
  </si>
  <si>
    <t xml:space="preserve">ฝึกอบรม 19 คน     </t>
  </si>
  <si>
    <t xml:space="preserve">ฝึกอบรม 13 คน      </t>
  </si>
  <si>
    <t xml:space="preserve">       -  การฝึกอบรมหลักสูตร Regional Trade Policy Course for
 Asia and Pacific Region </t>
  </si>
  <si>
    <t xml:space="preserve">       -  การร่วมมือทางวิชาการ ในหัวข้อ IIA Reform and Development : Sharing Asia - Pacific Experienes (UNCTAD Geneva's World Investment Forum 2018)</t>
  </si>
  <si>
    <t xml:space="preserve">   กรมพัฒนาฝึมือแรงงาน</t>
  </si>
  <si>
    <t xml:space="preserve">     -  Food Metrology - Current Status and Emerging Areas</t>
  </si>
  <si>
    <t>ผชช. 2 คน</t>
  </si>
  <si>
    <t>ผชช. 1 คน</t>
  </si>
  <si>
    <t xml:space="preserve">     -  National Quality Infrastructure in the Philippines</t>
  </si>
  <si>
    <t xml:space="preserve">     -  pH meter calibration and water testing (ph value)</t>
  </si>
  <si>
    <t xml:space="preserve">     -  ASEAN Next 2018</t>
  </si>
  <si>
    <t xml:space="preserve">     - ค่าธรรมเนียมสมาชิก  Asia Pacific Metrology </t>
  </si>
  <si>
    <t xml:space="preserve">     - ค่าธรรมเนียมสมาชิก Bureau of Weights  </t>
  </si>
  <si>
    <t xml:space="preserve">     - ค่าธรรมเนียมสมาชิก International Measurement  </t>
  </si>
  <si>
    <t xml:space="preserve">    สถาบันวิจัยวิทยาศาสตร์และเทคโนโลยีแห่งประเทศไทย</t>
  </si>
  <si>
    <t xml:space="preserve">     -  Research and Development on Biofules, New Matarials Technologies and Mechanical Engineering </t>
  </si>
  <si>
    <t xml:space="preserve">     -  Human Resource Development Program in Biotechnology </t>
  </si>
  <si>
    <t xml:space="preserve">     - โครงการเครือข่ายเซ็นเซอร์ไร้สาย สำหรับเก็บข้อมูลแบบเวลาจริงสำหรับพื้นที่เสี่ยงภัยดินถล่ม </t>
  </si>
  <si>
    <t>ASEAN</t>
  </si>
  <si>
    <t>ทุนวิจัย 18 คน</t>
  </si>
  <si>
    <t xml:space="preserve">     GISTDA</t>
  </si>
  <si>
    <t>Contribution</t>
  </si>
  <si>
    <t xml:space="preserve">     - Motivate Learning Making Opportunities to Initate Valuable Alliance through Experiential Learning</t>
  </si>
  <si>
    <t xml:space="preserve">     - มูลค่าการช่วยเหลือจากการให้ภาพถ่ายดาวเทียม</t>
  </si>
  <si>
    <t>ภาพถ่ายดาวเทียม</t>
  </si>
  <si>
    <t xml:space="preserve">     -  NARIT - RuPP Human Capacity Training in Astronomy for Development  2018</t>
  </si>
  <si>
    <t xml:space="preserve">     -  10th Southeast  Asia Astronomy Network (SEAAN 2018)</t>
  </si>
  <si>
    <t xml:space="preserve">     -  ITCA Colloquium 2018: "NARIT - VNSC Astronomy and Astrophysics Workshop"</t>
  </si>
  <si>
    <t>UNESCO</t>
  </si>
  <si>
    <t xml:space="preserve">     -  International Astronomical Union (IAU)</t>
  </si>
  <si>
    <t>พันธกรณี</t>
  </si>
  <si>
    <t xml:space="preserve">     -  แผนความร่วมมือด้านนวัตกรรมไทย-ลาว พ.ศ.2560-2562 ระหว่างสนง.นวัตกรรมแห่งชาติ และกรมเทคโนโลยีและนวัตกรรม ก.วิทยาศาสตร์ฯ สปป.ลาว</t>
  </si>
  <si>
    <t>ประชุม</t>
  </si>
  <si>
    <t xml:space="preserve">   - ทุนมหาวิทยาลัยเกษตรศาสตร์เพื่ออาเซียน เนื่องในวโรกาสเฉลิมพระเกีนรติ 60 พรรษา สมเด็จพระเจ้าลูกเธอ เจ้าฟ้าจุฬาภรณวลัยลักษณ์ อัครราชกุมารี</t>
  </si>
  <si>
    <t>ทุนศึกษา 16 ทุน</t>
  </si>
  <si>
    <t xml:space="preserve">   - ทุนการศึกษาระดับบัณฑิตศึกษา สำหรับนิสิตต่างชาติ ภายใต้โครงการ Double or Joint Degree</t>
  </si>
  <si>
    <t xml:space="preserve">   - The KKU Scholarship for ASEAN and GMS Countries' Personnel</t>
  </si>
  <si>
    <t>ASEAN and GMS Contires</t>
  </si>
  <si>
    <t xml:space="preserve">   - โครงการพระราชทานความช่วยเหลือแก่ราชอาณาจักรกัมพูชา ด้านการศึกษา ในสมเด็จพระเทพรัตนราชสุดาฯ  สยามบรมราชกุมารี</t>
  </si>
  <si>
    <t>ทุนศึกษาป.ตรี ป.โท</t>
  </si>
  <si>
    <t>ทุนศึกษา 7 ทุน</t>
  </si>
  <si>
    <t xml:space="preserve">   - Scholarships for Study Scholarship for Young Scientists</t>
  </si>
  <si>
    <t>ทุนศึกษา 14 ทุน</t>
  </si>
  <si>
    <t>วิทยาศาสตร์</t>
  </si>
  <si>
    <t xml:space="preserve">   - Teaching Assistantship Scholarship</t>
  </si>
  <si>
    <t>ทุนศึกษา 8 ทุน</t>
  </si>
  <si>
    <t>ทุนศึกษา 5 ทุน</t>
  </si>
  <si>
    <t xml:space="preserve">   - CMU Food Training Activity</t>
  </si>
  <si>
    <t xml:space="preserve">   - โครงการสนับสนุนทุนการศึกษา (ตลอดหลักสูตร) สำหรับนักศึกษาจาก Manddalay University ระดับปริญาตรี หลักสูตรนานาชาติ</t>
  </si>
  <si>
    <t xml:space="preserve">   - โครงการแลกเปลี่ยนนักศึกษาภายใต้ AUN-ACTS, ASEAN+3, AIMS and IAESTE Program ประจำปีงบประมาณ 2561</t>
  </si>
  <si>
    <t>วิทยาศาสตร์สิ่งแวดล้อมฯ</t>
  </si>
  <si>
    <t>ทุนศึกษา 1 ทุน</t>
  </si>
  <si>
    <t xml:space="preserve">   - โครงการสนับสนุนทุนการศึกษา (ตลอดหลักสูตร) สำหรับนักศึกษาจาก ราชอาณาจักรภูฎาน ระดับปริญาตรี หลักสูตรนานาชาติ</t>
  </si>
  <si>
    <t>ฝึกอบรม 21 ทุน</t>
  </si>
  <si>
    <t xml:space="preserve">   - การจัดการเรียนการสอนภาษาและวัฒนธรรมไทยในลักษณะ short course ให้แก่นักศึกษาภาควิชาภาษาพม่า มหาวิทยาลัยย่างกุ้ง (Myanmar Department University of Yangon)</t>
  </si>
  <si>
    <t>ฝึกอบรม 40 ทุน</t>
  </si>
  <si>
    <t xml:space="preserve">    มหาวิทยาลัยธรรมศาสตร์</t>
  </si>
  <si>
    <t xml:space="preserve">   - Thammasat University's Scholarship for Foreign Students Studying Towards a Degree</t>
  </si>
  <si>
    <t>ทุนศึกษา 69 ทุน</t>
  </si>
  <si>
    <t xml:space="preserve">   - Thailand International Postgraduate Programme (TIPP)-Co-payment</t>
  </si>
  <si>
    <t xml:space="preserve">   - The Royal Scholarships Under Her Royal Highness Princess Mahachakrisirindhron Education Project to the Kingdom of Cambodia</t>
  </si>
  <si>
    <t xml:space="preserve">   - Naresuan University Scholarhip for International Students</t>
  </si>
  <si>
    <t>ทุนศึกษา 77 ทุน</t>
  </si>
  <si>
    <t>ทุนศึกษา 39 ทุน</t>
  </si>
  <si>
    <t xml:space="preserve">    มหาวิทยาลัยแม่โจ้</t>
  </si>
  <si>
    <t xml:space="preserve">   -  โครงการทูลเกล้าฯ ถวายทุนพระราชทานในโครงการพระราชทานความช่วยเหลือแก่ราชอาณาจักรกัมพูชา เนื่องด้วยโครงการพระราชดำริสมเด็จพระเทพรัตนราชสุดาฯ สยามบรมราชกุมารี ปี 2561</t>
  </si>
  <si>
    <t xml:space="preserve">   - ค่าสมาชิก AAACU</t>
  </si>
  <si>
    <t xml:space="preserve">   - ค่าสมาชิก SATU</t>
  </si>
  <si>
    <t xml:space="preserve">   - โครงการแลกเปลี่ยนนักศึกษาและอาจารย์</t>
  </si>
  <si>
    <t xml:space="preserve">   - ทุนมัธยมศึกษาตอนปลาย(Secondary School: Grade 4 - 6) 
พระเทพรัตนราชสุดาฯ สยามบรมราชกุมารี ปี 2561</t>
  </si>
  <si>
    <t xml:space="preserve">   - ทุนปริญญาตรี สาขาธุรกิจระหว่างประเทศ (International Business)</t>
  </si>
  <si>
    <t xml:space="preserve">   - ทุนปริญญาตรี สาขาการจัดการโรงแรม (Hotel Management)</t>
  </si>
  <si>
    <t xml:space="preserve">   - โครงการให้ทุนนักศึกษาต่างชาติ</t>
  </si>
  <si>
    <t>ทุนศึกษา 57 ทุน</t>
  </si>
  <si>
    <t xml:space="preserve">     มหาวิทยาลัยเทคโนโลยีราชมงคลกรุงเทพ</t>
  </si>
  <si>
    <t xml:space="preserve">   - ความร่วมมือด้านการศึกษาระดับปริญญาตรี</t>
  </si>
  <si>
    <t xml:space="preserve">     มหาวิทยาลัยเทคโนโลยีราชมงคลพระนคร</t>
  </si>
  <si>
    <t xml:space="preserve">   - โครงการมอบทุนการศึกษาแก่นักศึกษาชาวภูฏาน</t>
  </si>
  <si>
    <t>ทุนศึกษา 11 ทุน</t>
  </si>
  <si>
    <t xml:space="preserve">    มหาวิทยาลัยราชภัฏเชียงใหม่</t>
  </si>
  <si>
    <t xml:space="preserve">   - โครงกาทุนอุดหนุนนักเรียนทุนพระราชทานราชอาณาจักรกัมพูชา ตามพระราชดำริของสมเด็จพระเทพรัตนราชสุดาฯ สยามบรมราชกุมารี ในการพระราชทานความช่วยเหลือแก่ราชอาณาจักรกัมพูชา</t>
  </si>
  <si>
    <t>ทุนศึกษา 15 ทุน</t>
  </si>
  <si>
    <t xml:space="preserve">    มหาวิทยาลัยราชภัฏร้อยเอ็ด</t>
  </si>
  <si>
    <t xml:space="preserve">   - ทุนศึกษาระดับปริญญาตรี โครงการพระราชทานความช่วยเหลือแก่ราชอาณาจักรกัมพูชา ด้านการศึกษาในสมเด็จพระเทพรัตนราชสุดาสยามบรมราชกุมารี</t>
  </si>
  <si>
    <t xml:space="preserve"> - ทุนศึกษาระดับปริญญาตรี ภายใต้ความร่วมมือระหว่างมหาวิทยาลัย (MOU)</t>
  </si>
  <si>
    <t>- ทุนศึกษาระดับปริญญาโท สาขาการสอนภาษาอังกฤษ ภายใต้ความร่วมมือระหว่างมหาวิทยาลัย (MOU)</t>
  </si>
  <si>
    <t>ทุนศึกษา 3 ทุน</t>
  </si>
  <si>
    <t xml:space="preserve">    มหาวิทยาลัยราชภัฏราชนครินทร์</t>
  </si>
  <si>
    <t xml:space="preserve">   - Undergraduate study grant for Cambodia students Under Her Royal Highness Princess  Maha Chakri Sirindhorn project in academic year of 2014</t>
  </si>
  <si>
    <t xml:space="preserve">    มหาวิทยาลัยราชภัฏราชรำไพพรรณี</t>
  </si>
  <si>
    <t xml:space="preserve">   - โครงการนักศึกษาบันทึกข้อตกลงความร่วมมือ (MOU) ระหว่าง มหาวิทยาลัยราชภัฏรำไพพรรณี และ (Chengdu Vocational &amp; Technical College if Industry ประเทศสาธารณรัฐประเทศจีน ประจำปีการศึกษา พ.ศ.2562</t>
  </si>
  <si>
    <t xml:space="preserve">   -  ทุนพระราชทานความช่วยเหลือแก่ราชอาณาจักรกัมพูชา เนื่องด้วยโครงการพระราชดำริสมเด็จพระเทพรัตนราชสุดาฯ สยามบรมราชกุมารี ปี 2560 - 2561</t>
  </si>
  <si>
    <t xml:space="preserve">   -  โครงการพระราชทานความช่วยเหลือแก่ราชอาณาจักรกัมพูชา ด้านการศึกษา ในสมเด็จพระเทพรัตนราชสุดาฯ สยามบรมราชกุมารี</t>
  </si>
  <si>
    <t xml:space="preserve">    มหาวิทยาลัยราชภัฏอุดรธานี</t>
  </si>
  <si>
    <t xml:space="preserve">   - โครงการถวายทุนพระราชทานความช่วยเหลือแก่ราชอาณาจักรกัมพูชา ด้านการศึกษา ประจำปีการศึกษา 2560 และ 2561</t>
  </si>
  <si>
    <t xml:space="preserve">    มหาวิทยาลัยราชภัฏวไลยอลงกรณ์ ในพระบรมราชูปถัมภ์</t>
  </si>
  <si>
    <t xml:space="preserve">    มหาวิทยาลัยราชภัฏสกลนคร</t>
  </si>
  <si>
    <t xml:space="preserve">   - โครงการความร่วมมือระหว่างมหาวิทยาลัยและกระทรวงสิ่งแวดล้อมลาว มอบทุนการศึกษาเต็มจำนวนแก่บุคคลากร ให่ศึกษาในระดับปริญญาเอก</t>
  </si>
  <si>
    <t xml:space="preserve">    มหาวิทยาลัยราชภัฏอุบลราชธานี</t>
  </si>
  <si>
    <t xml:space="preserve">   - ทุนนักศึกษาต่างชาติ มหาวิทยาลัยราชภัฏอุบลราชธานี</t>
  </si>
  <si>
    <t>ทุนศึกษา 20 ทุน</t>
  </si>
  <si>
    <t xml:space="preserve">    มหาวิทยาลัยกรุงเทพ</t>
  </si>
  <si>
    <t xml:space="preserve">    มหาวิทยาลัยชินวัตร</t>
  </si>
  <si>
    <t xml:space="preserve">   - Academic Collaboration with the National University of Laos Patronizing Enrolling Pioneer Nursing Students for NUOL Project</t>
  </si>
  <si>
    <t xml:space="preserve">   - โครงการอบรมหลักสูตรภาษาและวัฒนธรรมไทย ระยะเวลา 1 ปี</t>
  </si>
  <si>
    <t>ฝึกอบรม 5 ทุน</t>
  </si>
  <si>
    <t xml:space="preserve">    มหาวิทยาลัยราชพฤกษ์</t>
  </si>
  <si>
    <t xml:space="preserve">    มหาวิทยาลัยวลัยลักษณ์</t>
  </si>
  <si>
    <t xml:space="preserve">    มหาวิทยาลัยหัวเฉียว</t>
  </si>
  <si>
    <t xml:space="preserve">   - ทุนการศึกษาปริญญาตรีและปริญญาโท</t>
  </si>
  <si>
    <t>อัฟกา</t>
  </si>
  <si>
    <t>อาเจน</t>
  </si>
  <si>
    <t>บังคลา</t>
  </si>
  <si>
    <t>กัมพู</t>
  </si>
  <si>
    <t>อิยิป</t>
  </si>
  <si>
    <t>อินโด</t>
  </si>
  <si>
    <t>ปากี</t>
  </si>
  <si>
    <t>คาซัค</t>
  </si>
  <si>
    <t>ลาว</t>
  </si>
  <si>
    <t>เม็กซิโก</t>
  </si>
  <si>
    <t>ฟิลิป</t>
  </si>
  <si>
    <t>บาราบัส</t>
  </si>
  <si>
    <t>เซอเบีย</t>
  </si>
  <si>
    <t>แซมเบีย</t>
  </si>
  <si>
    <t>อุเบ</t>
  </si>
  <si>
    <t>รัสเซีย</t>
  </si>
  <si>
    <t>ทุนศึกษา 139 ทุน</t>
  </si>
  <si>
    <t xml:space="preserve">   - โครงการค่ายเยาวชนอาเซียนผสานความร่วมมือด้านภาษาและวัฒนธรรมกับมหาวิทยาลัยต่างประเทศ</t>
  </si>
  <si>
    <t>ฝึกอบรม 10 ทุน</t>
  </si>
  <si>
    <t xml:space="preserve">    มหาวิทยาลัยสุรนารี</t>
  </si>
  <si>
    <t xml:space="preserve">   - โครงการทูลเกล้าฯ ถวายทุนพระราชทานในโครงการพระราชทานความช่วยเหลือแก่ราชอาณาจักรกัมพูชา เนื่องด้วยโครงการตามพระราชดำริสมเด็จพระเทพรัตนราชสุดาฯ สยามบรมราชกุมารี พ.ศ.2561</t>
  </si>
  <si>
    <t xml:space="preserve">   - International Scholarship</t>
  </si>
  <si>
    <t>ทุนศึกษา 37 ทุน</t>
  </si>
  <si>
    <t xml:space="preserve">   - ค่าสมาชิก  ASEA-UNINET</t>
  </si>
  <si>
    <t xml:space="preserve">   - ค่าสมาชิก  ASAIHL</t>
  </si>
  <si>
    <t xml:space="preserve">   - ค่าสมาชิก  WTUN</t>
  </si>
  <si>
    <t xml:space="preserve">   - ค่าสมาชิก  AUAP</t>
  </si>
  <si>
    <t xml:space="preserve">   - ค่าสมาชิก  WACE</t>
  </si>
  <si>
    <t xml:space="preserve">   - ค่าสมาชิก  IAU</t>
  </si>
  <si>
    <t xml:space="preserve">     -   ค่าธรรมเนียมรายปีสำหรับค่าบำรุงองค์การพลังงานโลก (World Energy Council)</t>
  </si>
  <si>
    <t>Energy</t>
  </si>
  <si>
    <t xml:space="preserve">     -   ค่าบำรุงองค์การพลังงานหมุนเวียนระหว่างประเทศ  (International Renewable Energy Agency : IRENA)</t>
  </si>
  <si>
    <t xml:space="preserve">     บริษัท ปตท. จำกัด</t>
  </si>
  <si>
    <t xml:space="preserve">     -   ค่าธรรมเนียมสมาชิก (International Gas Union (IGU))</t>
  </si>
  <si>
    <t xml:space="preserve">     -   MERIT Scholarship</t>
  </si>
  <si>
    <t xml:space="preserve">     -   ค่าธรรมเนียมสมาชิก (Asia Pacific Natural Gas Vehicles Association (ANGVA))</t>
  </si>
  <si>
    <t>Ministry of Social Development and Human Security</t>
  </si>
  <si>
    <t>Study Vistit 40</t>
  </si>
  <si>
    <t>Training Course 30</t>
  </si>
  <si>
    <t xml:space="preserve">      - Learning about e-payment development in Thailand and development in ASEAN of GMS</t>
  </si>
  <si>
    <t xml:space="preserve">      - Internal Audit</t>
  </si>
  <si>
    <t>Banking and Financial Services</t>
  </si>
  <si>
    <t>ฝึกอบรม 6 คน</t>
  </si>
  <si>
    <t xml:space="preserve">ทุนศึกษา </t>
  </si>
  <si>
    <t xml:space="preserve">   -  โครงการทูลเกล้าฯ ถวายทุนพระราชทานในโครงการพระราชทานความช่วยเหลือแก่ราชอาณาจักรกัมพูชา เนื่องด้วยโครงการตามพระราชดำริสมเด็จพระเทพรัตนราชสุดาฯ สยามบรมราชกุมารี ประจำปี 2561</t>
  </si>
  <si>
    <t xml:space="preserve">     -  เงินค่าสมาชิกกองทุนความร่วมมือทางเศรษฐกิจระหว่างประเทศกำลังพัฒนา (Economic Cooperation among Development Countries-ECDC)</t>
  </si>
  <si>
    <t xml:space="preserve">     -  ค่าสมาชิกองค์การระหว่างประเทศเพื่อการโยกย้ายถิ่นฐาน (International Organization for  Migration : IOM </t>
  </si>
  <si>
    <t xml:space="preserve">     -  สมาคมพัฒนาเมืองระหว่างประเทศ (International Urban Development  Association - INTA)</t>
  </si>
  <si>
    <t xml:space="preserve">     -  ศูนย์ประสานงานอาเซียนในการให้ความช่วยเหลือด้านมนุษยธรรม (AHA Centre)</t>
  </si>
  <si>
    <t xml:space="preserve">     กรมป้องกันและบรรเทาสาธารณภัย</t>
  </si>
  <si>
    <t xml:space="preserve">     -  โครงการอบรมเชิงปฏิบัติการ "ความร่วมมือทางวิชาการระหว่างประเทศไทย - ราชอาณาจักรภูฎาน ด้านการปรับตัวต่อการเปลี่ยนแปลงสภาพภูมิอากาศและลดความเสี่ยงจากภัยพิบัติเพื่อสร้างความปลอดภัยอย่างยั่งยืน</t>
  </si>
  <si>
    <t xml:space="preserve">     -  ค่าบำรุงสมาชิกศูนย์ลดภัยพิบัติแห่งเอเซีย (Asian Disaster Reduction Center :  ADRC )</t>
  </si>
  <si>
    <t xml:space="preserve">     กรมโยธาธิการและผังเมือง</t>
  </si>
  <si>
    <t xml:space="preserve">     -  การให้ความร่วมมือจัดการดูงาน/และ/หรือการอบรมให้แก่คณะต่างประเทศ</t>
  </si>
  <si>
    <t>พัฒนาเมือง</t>
  </si>
  <si>
    <t>ฝึกอบรม 37 คน</t>
  </si>
  <si>
    <t xml:space="preserve">    มหาวิทยาลัยศรีปทุม</t>
  </si>
  <si>
    <t xml:space="preserve">   - ทุนการศึกษาสำหรับนักศึกษาชาวต่างประเทศ</t>
  </si>
  <si>
    <t xml:space="preserve">        -  การพัฒนาคุณภาพชีวิตเด็กและเยาวชนในติมอร์ฯ ตามแนวพระราชดำริสมเด็จพระเทพรัตนราชสุดา</t>
  </si>
  <si>
    <t xml:space="preserve">        -  การพัฒนาคุณภาพชีวิตเยาวชน สตรีและคนพิการ</t>
  </si>
  <si>
    <t xml:space="preserve">        -  โครงการสนันบสนุนอุปกรณ์ทางการแพทย์เครื่องติดตามการทำงานของหัวใจของเด็กทารกในครรภ์แก่แขวงสะหัวนเขต แขวงสาละวัน แขวงจำปาสัก แขวงคำม่วง ในเขตอาณา</t>
  </si>
  <si>
    <t>วัสดุอุปกรณ์ 4 เครื่อง</t>
  </si>
  <si>
    <t xml:space="preserve">        -  โครงการจัดให้หน่วยทันตกรรมพระราชทานในพระบาทสมเด็จพระเจ้าอยู่หัว มาให้บริการประชาชน</t>
  </si>
  <si>
    <t xml:space="preserve">        -  โครงการสนับสนุนสมาคมช่วยเหลือผู้ป่วยยากไร้ประจำนครโฮจิมินห์</t>
  </si>
  <si>
    <t xml:space="preserve">        -  โครงการสนับสนุนค่าใช้จ่ายในบูรณะซ่อมแซมโรงเรียนเซียนฟิงลู่ สิรินธร </t>
  </si>
  <si>
    <t xml:space="preserve">        -  โครงการจัดหน่วยแพทย์เคลื่อนที่เพื่อให้บริการแก่ชาวเมียนมาร์</t>
  </si>
  <si>
    <t xml:space="preserve">        -  โครงการสนับสนุนอุปกรณ์การศึกษาแก่โรงเรียนในโครงการพัฒนาคุณภาพชีวิตเด็กและเยาวชน</t>
  </si>
  <si>
    <t>อุปกรณ์การศึกษา</t>
  </si>
  <si>
    <t xml:space="preserve">        -  โครงการแพทย์เคลื่อนที่และการให้บริการสาธารณสุขเซเนกัล</t>
  </si>
  <si>
    <t xml:space="preserve">        -  โครงการให้ความช่วยเหลือทางวิชาการด้านการพัฒนาตามแนวปรัชญาเศรษฐกิจพอเพียง เซเนกัล</t>
  </si>
  <si>
    <t xml:space="preserve">        -  โครงการบูรณะสถานศึกษาในเซเนกัล</t>
  </si>
  <si>
    <t xml:space="preserve">        -  โครงการถ่ายทอดองค์ความรู้ด้านวิชาการเกษตรของไทยแก่ซูดาน</t>
  </si>
  <si>
    <t xml:space="preserve">        -  โครงการมอบเงินบริจาคเพื่อจัดซื้ออุปกรณ์การเรียนการสอนของโรงเรียน Gunanada Vidyalay ศรีลังกา</t>
  </si>
  <si>
    <t xml:space="preserve">        -  โครงการพัฒนาและฝึกอบรมนักวิชาการเกษตรเพื่อพัฒนาการปลูกและผลิตข้าวระดับชุมชนไนจีเรีย</t>
  </si>
  <si>
    <t xml:space="preserve">        -  โครงการฝึกทักษะอาชีพเพื่อเสริมสร้างความเข้มแข็งของสตรี (Women empowerment) ในยูกันดา</t>
  </si>
  <si>
    <t xml:space="preserve">        -  โครงการนำหน่วยแพทย์ตรวจรักษาผู้พลัดถิ่นชาวโรฮีจาและชุมชนท้องถิ่นที่ได้รับผลกระทบในบังคลาเทศ</t>
  </si>
  <si>
    <t xml:space="preserve">        -  การบริจาคเงินสำหรับการฝึกอบรมการประกอบชีพแก่สตรีติมอร์ฯ 
ที่ประสบภัยการใช้ความรุนแรง</t>
  </si>
  <si>
    <t xml:space="preserve">    สำนักการเกษตรต่างประเทศ</t>
  </si>
  <si>
    <t xml:space="preserve">     -  ค่าสมาชิกศูนย์พัฒนาชนบทแบบผสมผสานประจำภูมิภาคเอเซียและแปซิฟิก (CIRDAP) </t>
  </si>
  <si>
    <t xml:space="preserve">    กรมหม่อนไหม</t>
  </si>
  <si>
    <t xml:space="preserve">     -  โครงการพระราชทานความช่วยเหลือแก่ราชอาณาจักรกัมพูชา ตามพระราชดำริ สมเด็จพระเทพรัตนราชสุดาฯ สยามบรมราชกุมารี</t>
  </si>
  <si>
    <t>ฝึกอบรม 8 คน</t>
  </si>
  <si>
    <t>เงินค่าบำรุง</t>
  </si>
  <si>
    <t xml:space="preserve"> -  ค่าบำรุงศูนย์ประสานงานอาเซียนด้านสุขภาพสัตว์และโรคติดต่อระหว่างสัตว์และคน (ASEAN Coordinating Centre for Animal Health and Zoonoses : ACCAHZ)</t>
  </si>
  <si>
    <t xml:space="preserve"> -  ค่าสมาชิกคณะกรรมาธิการผลิตสัตว์ (Animal Production and Health Commission for Asia : APHCA)</t>
  </si>
  <si>
    <t xml:space="preserve">    กรมชลประทาน</t>
  </si>
  <si>
    <t xml:space="preserve">     -  โครงการความร่วมมือด้านข้าวในการเพิ่มประสิทธิภาพการผลิตเมล็ดพันธุ์ของศูนย์ข้าวชุมชนเพื่อการผลิตข้าวคุณภาพดี แขวงคำม่วน สปป.ลาว </t>
  </si>
  <si>
    <t>*  รวม 85% ของเงินลงทุนในการจัดตั้งธนาคารเพื่อการลงทุนในโครงสร้างพื้นฐานเอเซีย (Asian Infrastructure Investment Bank :  AIIB ) 
จำนวน  1,585,031,762.50 บาท</t>
  </si>
  <si>
    <t xml:space="preserve">  -  Contribution to UN Regional Center for Peace and Disarmament in Asia and the Pacific (UNRCPD)</t>
  </si>
  <si>
    <t xml:space="preserve">     -  เงินสนับสนุนการดำเนินงานในกรอบความร่วมมือใต้-ใต้  UN Office for South-South Cooperation (UNOSSC)</t>
  </si>
  <si>
    <t xml:space="preserve">    - กองทุนร่วมสำหรับหมู่เกาะแปซิฟิก Trust Fund for the Pacific Island Countries (ESCAP)</t>
  </si>
  <si>
    <t xml:space="preserve">    - เงินอุดหนุนกองทุนกลางเพื่อรับสถานการณ์ฉุกเฉิน Central Emergency Response Fund (CERF)</t>
  </si>
  <si>
    <t xml:space="preserve">    - เงินอุดหนุนสมาคมสหประชาชาติแห่งประเทศไทย (UNAT)</t>
  </si>
  <si>
    <t xml:space="preserve">     -  โครงการภายใต้กรอบความร่วมมือด้านการเกษตรไทย-ภูฏาน (จัดอบรมด้านการสำรวจและจำแนกดินแก่ จนท ที่ภูฏาน))</t>
  </si>
  <si>
    <t xml:space="preserve">     -  โครงการความร่วมมือกับโครงการหลวงภูฎาน (ถ่ายทอดองค์ความรู้แก่ จนท.ที่ภูฏาน)</t>
  </si>
  <si>
    <t>งบฯราชการ ตปท.</t>
  </si>
  <si>
    <t>กรอบ ACF</t>
  </si>
  <si>
    <t xml:space="preserve">     -  ค่าสมาชิก International Sericuitrral Commission (ISC)</t>
  </si>
  <si>
    <t>ติดตามโครงการ</t>
  </si>
  <si>
    <t>ค่าเบี้ยเลี้ยงเดินทาง</t>
  </si>
  <si>
    <t xml:space="preserve">     -  โครงการฝึกอบรมเชิงปฏิบัติการสำหรับบุคลากรจากห้องปฏิบัติการประเทศสมาชิกอาเซียน หลักสูตร การตรวจสารตกค้างยาต้านการอักเสบชนิดไม่ใช่เสตียรอยด์
ในผลผลิตจากสัตว์ (Non-Steroidal Anti-Inflammatory Drug Residues in Animal Products)</t>
  </si>
  <si>
    <t xml:space="preserve">     -  ค่าสมาชิกโรคระบาดสัตว์ระหว่างประเทศ (World Organization for Animal Health : OIE)</t>
  </si>
  <si>
    <t xml:space="preserve">     -  โครงการ Capacity Development of Irrigation Engineers (Workshop on the Practical Design, Installation and  Management of Pump Irrigation System in Thailand</t>
  </si>
  <si>
    <t xml:space="preserve"> -  ค่าสมาชิก International Commission on Irrgation and Drainage (ICID)</t>
  </si>
  <si>
    <t xml:space="preserve">     -  ค่าสมาชิกข่ายงานเพื่อการพัฒนาสหกรณ์การเกษตรแห่งภูมิภาคเอเชียและแปซิฟิก (NEDAC) องค์การ FAO</t>
  </si>
  <si>
    <t xml:space="preserve">     -  ค่าสมาชิกองค์การอาหารและเกษตรแห่งสหประชาชาติ (FAO)</t>
  </si>
  <si>
    <t xml:space="preserve">      กรมยุโรป</t>
  </si>
  <si>
    <t xml:space="preserve">     -  เงินอุดหนุนสมาคมอาเซียน</t>
  </si>
  <si>
    <t xml:space="preserve">     -  เงินอุดหนุนศูนย์อาเซียน-สาธารณรัฐเกาหลี</t>
  </si>
  <si>
    <t xml:space="preserve">     -  เงินอุดหนุนกองทุนความร่วมมืออาเซียนบวกสาม (ASEAN Plus Three Cooperation Fund (APTCF)</t>
  </si>
  <si>
    <t xml:space="preserve">     -  เงินอุดหนุนศูนย์อาเซียน-จีน</t>
  </si>
  <si>
    <t xml:space="preserve">     -  เงินอุดหนุนคณะกรรมาธิการระหว่างรัฐบาลอาเซียนว่าด้วยสิทธิมนุษยชน (ASEAN Intergoverment Commission on Human Rights)</t>
  </si>
  <si>
    <t xml:space="preserve">     -  เงินอุดหนุนสมาคมซีสแคป (CSCAP)</t>
  </si>
  <si>
    <t xml:space="preserve">     -  เงินอุดหนุนมูลมิธิอาเซียน</t>
  </si>
  <si>
    <t xml:space="preserve">     -  เงินอุดหนุนสำนักเลขาธิการอาเซียน</t>
  </si>
  <si>
    <t xml:space="preserve">        -  เงินอุดหนุน United Nations Development Program (UNDP)</t>
  </si>
  <si>
    <t xml:space="preserve">        -  เงินสนับสนุนระบบผู้ประสานงานสหประชาชาติแบบใหม่                           UN development system reform (UNRC)</t>
  </si>
  <si>
    <t xml:space="preserve">        -  โครงการสนับสนุนโรงเรียนเด็กกำพร้าชาวพุทธที่วัดธรรมราชิกา              กรุงธากา</t>
  </si>
  <si>
    <t>ทุนการศึกษา</t>
  </si>
  <si>
    <t xml:space="preserve">     -  ค่าสมาชิก ASEAN (HAPUA) HAPUA Secretary และ  ASEAN Power Grid Consultative Committee (APGCC)</t>
  </si>
  <si>
    <t xml:space="preserve">     - จัดตั้งห้องเรียนมีเขียว เป็นห้องเรียนที่เรียนรู้เรื่องการใช้พลังงานไฟฟ้าอย่างมีประสิทธิภาพ</t>
  </si>
  <si>
    <t xml:space="preserve">        - โครงการพัฒนาฝึมือแรงงานนานาชาติเพื่อการฬฒนาความร่วมมือทางเศรษฐกิจในอนุภาคลุ่มน้ำโขงและภูมิภาคเอเซียตะวันออกเฉียงใต้ (International Skill Development for Economic Cooperation Development in GMS and ASEAN Project)</t>
  </si>
  <si>
    <t xml:space="preserve">        -  เงินสมทบประจำปีของสมาชิกสามัญของสมาคมการประกันสังคมระหว่างประทศ (Inernational Social Security Association - ISSA)</t>
  </si>
  <si>
    <t xml:space="preserve">    - ค่าสมาชิกสหภาพกิจการวิทยุและโทรทัศน์แห่งเอเซียแปซิฟิก (Asia-Pacicfic Broadcasting Union : ABU)</t>
  </si>
  <si>
    <t xml:space="preserve">    - ค่าสมาชิกสมาคมอนุรักษ์สื่อโสตทัศน์แห่งภาคพื้นเอเซียตะวันออกเฉียงใต้และแปซิฟิก (South East Asia-Pacicfic Audio Visual Archive Association: SEAPAVAA)</t>
  </si>
  <si>
    <t xml:space="preserve">    -  เงินอุดหนุนการดำเนินงานของคณะกรรมาธิการแม่น้ำโขง (Mekong River Commission : MRC)</t>
  </si>
  <si>
    <t xml:space="preserve">    -  ค่าบำรุงสมาชิกองค์การไม้เขตร้อนระหว่างประเทศ (International Tropical Timber Organization - ITTO)  </t>
  </si>
  <si>
    <t xml:space="preserve">    -  Acid Deposition Monitoring Network in East  Asia (EANET)</t>
  </si>
  <si>
    <t xml:space="preserve">    - โครงการโรงเรียนพระราชทานความช่วยเหลือแก่ราชอาณาจักรกัมพูชา            ด้านการศึกษาในสมเด็จพระเทพรัตนราชสุดาฯ สยามบรมราชกุมารี                      (เจาะบ่อบาดาล-ระบบปรับปรุงคุณภาพน้ำดื่ม)</t>
  </si>
  <si>
    <t xml:space="preserve">    -  เงินอุดหนุนคณะอนุกรรมการสมุทรศาสตร์ระหว่างรัฐบาลประจำภูมิภาคแปซิฟิกตะวันออก (Intergoverment al Oceangraphic Commission: IOC) IOC/WESTPAC</t>
  </si>
  <si>
    <t xml:space="preserve">    -  เงินอุดหนุนกองทุน IOSEA Marine Turtle MoU/UNEP</t>
  </si>
  <si>
    <t xml:space="preserve">    -  เงินอุดหนุนกองทุน  Coodinating Body on the Seas of East Asia (COBSEA)</t>
  </si>
  <si>
    <t xml:space="preserve">        -  โครงการพัฒนาการจัดการอาชีวศึกษาในโครงการพระราชทานความช่วยเหลือแก่ราชอาณาจักรกัมพูชา สถาบันเทคโนโลยีกำปงเฌอเตียลและสถาบันเทคโนโลยีกำปงสปือ</t>
  </si>
  <si>
    <t xml:space="preserve">        -  ค่าสมาชิกสภาการศึกษาผู้ใหญ่ระหว่างประเทศ (International Council for Adult Education : ICAE)</t>
  </si>
  <si>
    <t xml:space="preserve">        -  ค่าสมาชิกสมาคมการศึกษาพื้นฐานและการศึกษาผู้ใหญ่แห่งภาคพื้นเอเซียและแปซิกใต้ (Asia South Pacific Association for Basic and Adult Education :  ASPBAE)</t>
  </si>
  <si>
    <t xml:space="preserve">1. โครงการพัฒนาทรัพยากรมนุษย์เพื่อส่งเสริมการพัฒนาในภูมิภาคลุ่มน้าโขง ตอนล่างอย่างยั่งยืน
   - Workshop on Trade Facilitation for Sustainable Development </t>
  </si>
  <si>
    <t>ฝึกอบรม 16 คน</t>
  </si>
  <si>
    <t>ฝึกอบรม 13 คน</t>
  </si>
  <si>
    <t xml:space="preserve">       -  งานเสวนาวิชาการนานาชาติและจัดฝึกอบรมเรื่อง Asia-Pacific Workshop on Phase 2 of llA Reform: Modernizing the Exsting Stock of Treaties </t>
  </si>
  <si>
    <t>กรอบการลงทุนที่ยั่งยืน</t>
  </si>
  <si>
    <t xml:space="preserve">        - การจัดฝึกอบรมภูมิภาควิชาการนานาชาติเรื่อง Regional Workshop on the Promotion of Bankable Development Goal Project </t>
  </si>
  <si>
    <t xml:space="preserve"> 
     - การอบรมภูมิภาคเรื่อง "แนวทางเลือกใหม่ในการบริหารการเงินและการคลังในยุค SDG 2030 (ADBI - ITD) (Alternative Funding and Fiscal Management Policy in Meeting the SDGs 2030 Goals)ภายใต้โครงการฝึกอบรมระดับภูมิภาคหลักสูตรกรอบนโยบายความเป็นผู้ประกอบการ (Entrepreneurship Policy Framework)</t>
  </si>
  <si>
    <t xml:space="preserve">     - การสัมมนาเชิงวิชาการนานาชาติว่าด้วยการมีส่วนร่วมในห่วงโซ่มูลค่าโลก(Global Value Chains : GVCs) ของประชาคมอาเซียน     จัดขึ้น ณ ประเทศเวียดนามและกัมพูชา
     </t>
  </si>
  <si>
    <t xml:space="preserve">
     - กิจกรรมประชุมสัมมนา 7th Chula and 4th Parkiamentary ASEAN Commmunity Forum on The ASEAN Community in Focus: From the ASEAN Summit 2018 in Singapore to the ASEAN Summit 2019 in Thailand และอื่นๆ</t>
  </si>
  <si>
    <t xml:space="preserve">สัมมนา 341 คน     </t>
  </si>
  <si>
    <t xml:space="preserve">     - โครงการสัมมนาเชิงวิชาการหรือนโยบายการพัฒนาความร่วมมือทางเศรษฐกิจการค้าและการลงทุน ภายใต้กรอบเขตการค้าพิเศษ (Reginal Integration i.e. BIMSTEC, RCEP, Singapore-Malaysia-indoneaia Economic Coop เป็นต้น)</t>
  </si>
  <si>
    <t>ฝึกอบรม 88 คน</t>
  </si>
  <si>
    <t xml:space="preserve">   
     - จัดการสัมมนาเรื่อง Special Economic Zone Conference for the Kingdom of Cambodia ณ ประเทศกัมพูชา ภายใต้กรอบเขตการค้าพิเศษ</t>
  </si>
  <si>
    <t xml:space="preserve">     - งานสัมมนาภูมิภาคประจำปีของสถาบัน ITD's Trade and Development Regional Forum 218</t>
  </si>
  <si>
    <t>ฝึกอบรม 21 คน</t>
  </si>
  <si>
    <t>ฝึกอบรม 25 คน</t>
  </si>
  <si>
    <t xml:space="preserve"> โครงการถ่ายทอดความรู้เพื่อเสริมสร้างศักยภาพในการตรวจวัดกัมมันตภาพรังสีและระดับรังสีในสิ่งแวดล้อมของ ราชอาณาจักรกัมพูชา
       -  Workshop on Cooperation on Areas of Strengthening Capacity Building Radiation safty and Radioactive Measurement and Monitoring in the Environment in Siem Reap</t>
  </si>
  <si>
    <t>สนับสนุนการวิจัย</t>
  </si>
  <si>
    <t xml:space="preserve">     ศูนย์พันธุวิศวกรรมและเทคโนโลยีชีวภาพแห่งชาติ </t>
  </si>
  <si>
    <t xml:space="preserve">     -  โครงการสร้างเครือข่ายต่างประเทศให้กับระบบบริหารจัดการและระบบนำชมพิพิธภัณฑ์แบบเครือข่าย </t>
  </si>
  <si>
    <t xml:space="preserve">      -  ค่าสมาชิกรายปี Asia- Pacific Telecommunity (APT) </t>
  </si>
  <si>
    <t xml:space="preserve">     - ค่าสมาชิกรายปี Committee on Space Research (COSPAR) </t>
  </si>
  <si>
    <t xml:space="preserve">     - ค่าสมาชิกรายปี (IAF  ประจำปี 2018</t>
  </si>
  <si>
    <t xml:space="preserve">     -  โครงการความร่วมมือพัฒนาที่ดินเพื่อการเกษตรตามโครงการพระราชทานความช่วยเหลือฯ (สถาบันเทคโนโลยีกำปงสปือ)</t>
  </si>
  <si>
    <t>Study   3</t>
  </si>
  <si>
    <t>Study Vistit 6</t>
  </si>
  <si>
    <t xml:space="preserve">      - Payment FiriTech and Cryptocurrency</t>
  </si>
  <si>
    <t xml:space="preserve">      - Foreign Participation : Impact on FX Controls / Foreign Fund to Capital Market</t>
  </si>
  <si>
    <t xml:space="preserve">      - CLMVT Bankers' Leadership Program</t>
  </si>
  <si>
    <t>Study Visit / on the job Training 3</t>
  </si>
  <si>
    <t>Seminar  30</t>
  </si>
  <si>
    <t>Study Visit  9</t>
  </si>
  <si>
    <t>Training Course 2</t>
  </si>
  <si>
    <t>Study Visit  11</t>
  </si>
  <si>
    <t xml:space="preserve">     สำนักงานนวัตกรรมแห่งชาติ (องค์การมหาชน)</t>
  </si>
  <si>
    <t xml:space="preserve">     สถาบันวิจัยดาราศาสตร์แห่งชาติ (องค์การมหาชน) </t>
  </si>
  <si>
    <t xml:space="preserve">     -     การศึกษาดูงานของสมาคมคนชรา จังหวัดบันเตียเมียนเจย</t>
  </si>
  <si>
    <t xml:space="preserve">    - ค่าบำรุงประจำปีศูนย์ประสานความร่วมมืออนุภาคแผนงานการพัฒนาเขตเศรษฐกิจสามฝ่ายอินโดนีเซีย-มาเลเซีย-ไทย (CIMT)</t>
  </si>
  <si>
    <t xml:space="preserve">    - เงินอุดหนุนโครงการสร้างความสัมพันธ์และส่งเสริมการค้ากับประเทศเพื่อนบ้าน (กัมพูชา สปปลาว และเมียนมา)  ตามปฏิญญาพุกาม (ACMECS)</t>
  </si>
  <si>
    <t>เงินอุดหนุน</t>
  </si>
  <si>
    <t xml:space="preserve">    - ค่าสมาชิกสนง. องค์การมหกรรมโลก (Bureau of International Expositions : BIE) </t>
  </si>
  <si>
    <t>สนับสนุนงานแสดงสินค้า</t>
  </si>
  <si>
    <t xml:space="preserve">    -  โครงการเสริมสร้างและยกระดับความร่วมมือกับประเทศเพื่อนบ้าน ในการยุติแหล่งผลิตและทำลายเครือข่ายการค้ายาเสพติดระหว่างประเทศ  (Letter of Agreement - LOA)                                                                 </t>
  </si>
  <si>
    <t xml:space="preserve">   -  โครงการพัฒนาทางเลือกเพื่อชีวิตความเป็นอยู่ที่ยั่งยืน            ไทย-เมียนมา ในพื้นที่ หนองตะยา อำเภอพินเลา จังหวัดตองยี รัฐฉานตอนใต้ และพื้นที่ทางตอนเหนือของท่าขี้เหล็ก อำเภอท่าขี้เหล็ก รีฐฉาน ตะวันออก (พื้นที่ใหม่) (สนง.ป.ป.ส.และมูลนิธิแม่ฟ้าหลวง)</t>
  </si>
  <si>
    <t>ผชช./จนท. 
8 คน</t>
  </si>
  <si>
    <t xml:space="preserve">    -  โครงการฝึกอบรมภายใต้โครงการสกัดกันยาเสพติด                        ณ ท่าอากาศยานสากลในอาเซียน (AAITF)</t>
  </si>
  <si>
    <t xml:space="preserve">      - สนับสนุนกองทุนโครงการควบคุมยาเสพติดระหว่างประเทศ แห่งสหประชาชาติ   (United Nations International Drug Control - UNDCP) สำนักงานยาเสพติดและอาชญากรรมแห่งสหประชาชาติ (UNODC) </t>
  </si>
  <si>
    <t xml:space="preserve">    -  เงินอุดหนุนกองทุนแผนปฏิบัติการว่าด้วยความร่วมมือด้านยาเสพติดระหว่างอาเซียนและจีน (Asean and China Cooperative Operations in Response to Dangerous Drugs - ACCORD)   สำนักเลขาธิการอาเซียน                                                                    </t>
  </si>
  <si>
    <t xml:space="preserve">    -  เงินสมทบทุนกองทุนอนุกรรมการการจัดประชุมผู้บริหารงาน  ราชฑัณฑ์ ภาคพื้นเอเซียและแปซิฟิก (Asian and Pacific Conference of Correctional Administrators - APCCA)                                                                 </t>
  </si>
  <si>
    <t xml:space="preserve">        -  ค่าบำรุงการเป็นสมาชิกคณะกรรมาธิการระหว่างประเทศว่าด้วยมาตรฐานสาขาอิเล็กทรอเทคนิกส์ (International Electrotechnical Commission - IEC)</t>
  </si>
  <si>
    <t xml:space="preserve">        -  ค่าบำรุงสมาชิกระบบการตรวจสอบและรับรองบริภัณฑ์เทคนิคทางไฟฟ้าและชิ้นส่วนฯ (IEC System for Conforrmity Testing and Certification of Electrical Equipment - IECEE) </t>
  </si>
  <si>
    <t xml:space="preserve">        -  ค่าบำรุงสมาชิกองค์การระหว่างประเทศว่าด้วยการรับรองระบบงาน (International Accreditation Firum -IAF)</t>
  </si>
  <si>
    <t xml:space="preserve">        -  ค่าบำรุงสมาชิกองค์การภูมิภาคแปซิฟิกว่าด้วยการรับรองห้องปฏิบัติการ (Asia Pacific Laboratory Accrediitation Cooperation - APLAC)</t>
  </si>
  <si>
    <t xml:space="preserve">        -  ค่าบำรุงสมาชิกองค์การภูมิภาคแปซิฟิกว่าด้วยการรับรองระบบงาน (Pacific  Accreditation Cooperation - PAC)</t>
  </si>
  <si>
    <t xml:space="preserve">        -  เงินบริจาคให้ศูนย์ฝึกอบรมเทคโนโลยีสารสนเทศและการสื่อสารแห่งเอเซียและแปซิฟิก                    (APCICT - ESCAP)</t>
  </si>
  <si>
    <t xml:space="preserve">        -  ค่าบำรุงสหภาพไปรษณีย์แห่งเอเซียและแปซิฟิก (Asia-Pacific Postal  Union : APPU)</t>
  </si>
  <si>
    <t xml:space="preserve">        -  เงินอุดหนุนวิทยาลัยการไปรษณีย์แห่งเอเชียและแปซิฟิก (Asia-Pacific Postal College: APPC)</t>
  </si>
  <si>
    <t xml:space="preserve">      สนง. คกก.ดิจิทัลเพื่อเศรษฐกิจและสังคม</t>
  </si>
  <si>
    <t xml:space="preserve">        -  ค่าบำรุงสมาชิกคณะกรรมการไต้ฝุ่น (ESCAP/WMO Typhoon Committee Trust Fund) และ คณะกรรมการพายุหมุนเขตร้อน (ESCAP/WMO Panel on Tropical Cyclones Trust Fund)- WMO</t>
  </si>
  <si>
    <t xml:space="preserve">      บริษัท ทีโอที จำกัด (มหาชน)</t>
  </si>
  <si>
    <t xml:space="preserve">     -     Contribution to the Fund for the Safeguarding of the Intangible Cultural Heritage - UNESCO</t>
  </si>
  <si>
    <t xml:space="preserve">       - โครงการจัดการอนามัยสิ่งแวดล้อมเพื่อรองรับภาวะฉุกเฉินกรณี              สาธารณภัย (กรณีภัยพิบัติเขื่อนเซเปียน - เซน้ำน้อย</t>
  </si>
  <si>
    <t>ผชช./วัสดุอุปกรณ์</t>
  </si>
  <si>
    <t xml:space="preserve">       - โครงการ  Asia Pacific Observatory on Health Systems and Policies</t>
  </si>
  <si>
    <t xml:space="preserve">       - โครงการประชุมภาคีสมาชิกใหญ่กรอบสัญญาว่าด้วยการยาสูบ</t>
  </si>
  <si>
    <t xml:space="preserve">     กรมสุขภาพจิต</t>
  </si>
  <si>
    <t>อบรม  34 คน</t>
  </si>
  <si>
    <r>
      <t xml:space="preserve">     </t>
    </r>
    <r>
      <rPr>
        <b/>
        <sz val="14"/>
        <rFont val="Cordia New"/>
        <family val="2"/>
      </rPr>
      <t xml:space="preserve">  กรมการแพทย์แผนไทยและการแพทย์ทางเลือก</t>
    </r>
  </si>
  <si>
    <t xml:space="preserve">     ยุทธการทหาร</t>
  </si>
  <si>
    <t xml:space="preserve">     -  การสนับสนุนที่นั่งศึกษา หลักสูตรฝ่ายอำนวยการสหประชาชาติ </t>
  </si>
  <si>
    <t>การศึกษา/ฝึกอบรม 6 คน</t>
  </si>
  <si>
    <t xml:space="preserve">     - หลักสูตรประจำ รร. สธ.ทบ. ชุดที่ 96</t>
  </si>
  <si>
    <t>การศึกษา/ฝึกอบรม 12 คน</t>
  </si>
  <si>
    <t xml:space="preserve">     - หลักสูตรชั้นนายพัน เหล่า ร. ม. ป. ช. อินโดนีเซีย</t>
  </si>
  <si>
    <t>การศึกษา/ฝึกอบรม 7 คน</t>
  </si>
  <si>
    <t xml:space="preserve"> training, study visit</t>
  </si>
  <si>
    <t>- Natural Resources &amp; Environment</t>
  </si>
  <si>
    <t>- Disaster Reduction</t>
  </si>
  <si>
    <t>ทุนศึกษาป.โท 2 ป.ตรี 2 ทุน</t>
  </si>
  <si>
    <t>ทุนศึกษา 18 ทุน</t>
  </si>
  <si>
    <t>ทุนศึกษา 34 ทุน</t>
  </si>
  <si>
    <t>ทุนศึกษา อบรม</t>
  </si>
  <si>
    <t xml:space="preserve">   - โครงการความร่วมมือเพื่อส่งเสริมพันธกิจ การศึกษา การฝึกอบรม หรือทำวิจัยร่วม เพื่อพัฒนาผู้รับทุนในประเทศเครือข่ายความร่วมมือทางทันตแพทย์         ลุ่มน้ำโขง (IDCMR)</t>
  </si>
  <si>
    <t>ทุนอบรม 7 ทุน</t>
  </si>
  <si>
    <t xml:space="preserve">   - Master of Primary Health Care Management (MPHM) </t>
  </si>
  <si>
    <t xml:space="preserve">    วิทยาลัยนานาชาติ มหาวิทยาลัยมหิดล</t>
  </si>
  <si>
    <t>ทุนแลกเปลี่ยนฝึกงาน</t>
  </si>
  <si>
    <t xml:space="preserve">   - Naresuan University Scholarship under the cooperation with Youth Welfare and Educational Office of the Gyalpoi Zimpon, His Majesty's Secretariat, Bhutan</t>
  </si>
  <si>
    <t xml:space="preserve">   - ค่าสมาชิก  The Association of Southeast Asian Institutions of Higher Learning (ASAIHL)</t>
  </si>
  <si>
    <t xml:space="preserve">    มหาวิทยาลัยแม่ฟ้าหลวง</t>
  </si>
  <si>
    <t xml:space="preserve">    -  โครงการพระราชทานความช่วยเหลือแก่ราชอาณาจักรกัมพูชา ด้านการศึกษา ตามแนวพระราชดำริของสมเด็จพระเทพรัตนราชสุดาฯ สยามบรมราชกุมารี </t>
  </si>
  <si>
    <t>วิทยาศาสตร์ฯ</t>
  </si>
  <si>
    <t xml:space="preserve">   - โครงการความร่วมมมือระหว่างสถาบัน Institute for Research and Development of New Technologies โดยการมอบทุนสนับสนุนแก่นักศึกษาชาวเวียดนาม ศึกษาต่อในระดับปริญญาตรี</t>
  </si>
  <si>
    <t xml:space="preserve">   - ค่าสมาชิก  Asia Pacific Student Service Association (APSSA)</t>
  </si>
  <si>
    <t xml:space="preserve">   - ค่าสมาชิก  Pacific Asia Travel Association (PATA)</t>
  </si>
  <si>
    <t xml:space="preserve">   - ค่าสมาชิก  The International Association of University Presidents (IAUP)</t>
  </si>
  <si>
    <t xml:space="preserve">ทุนศึกษ 2 ทุน </t>
  </si>
  <si>
    <t xml:space="preserve">   - โครงการทุนปริญญาเอกสำหรับนักศึกษาต่างชาติที่มีศักยภาพสูง
  - ทุนปริญญาตรี สังกัดวิทยาลัยนานาชาติ</t>
  </si>
  <si>
    <t xml:space="preserve">ทุนศึกษ 17 ทุน </t>
  </si>
  <si>
    <t xml:space="preserve">    มหาวิทยาลัยราชภัฏบ้านสมเด็จเจ้าพระยา</t>
  </si>
  <si>
    <t xml:space="preserve">  </t>
  </si>
  <si>
    <t xml:space="preserve"> project, training, study visit</t>
  </si>
  <si>
    <t>- Forestry Development</t>
  </si>
  <si>
    <t xml:space="preserve">  training</t>
  </si>
  <si>
    <t xml:space="preserve"> training, studu visit</t>
  </si>
  <si>
    <t xml:space="preserve"> training, grant</t>
  </si>
  <si>
    <t>exhibition</t>
  </si>
  <si>
    <t xml:space="preserve"> concessionary loan/grant </t>
  </si>
  <si>
    <t xml:space="preserve">Ministry of Tourism and Sports  </t>
  </si>
  <si>
    <t xml:space="preserve"> ตามความ
สมัครใจ</t>
  </si>
  <si>
    <t>ตามความ
สมัครใจ</t>
  </si>
  <si>
    <t>- Sustainable Community Development</t>
  </si>
  <si>
    <t>2/10/2019</t>
  </si>
  <si>
    <t>กระทรวงการอุดมศึกษา วิทยาศาสตร์ วิจัยและนวัตกรรม</t>
  </si>
  <si>
    <t xml:space="preserve">        -  โครงการอบรมแพทย์ พยาบาล และเจ้าหน้าที่สาธารณสุขติมอร์ฯ ด้านการรักษาและป้องกันโรคไข้เลือดออก</t>
  </si>
  <si>
    <t>ทุนฝึกอบรม 11 คน</t>
  </si>
  <si>
    <t>ทุนฝึกอบรม 15 คน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</si>
</sst>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-* #,##0.0_-;\-* #,##0.0_-;_-* &quot;-&quot;??_-;_-@_-"/>
    <numFmt numFmtId="208" formatCode="_-* #,##0_-;\-* #,##0_-;_-* &quot;-&quot;??_-;_-@_-"/>
    <numFmt numFmtId="209" formatCode="_-* #,##0.0000_-;\-* #,##0.0000_-;_-* &quot;-&quot;??_-;_-@_-"/>
    <numFmt numFmtId="210" formatCode="[$-409]d\-mmm\-yy;@"/>
    <numFmt numFmtId="211" formatCode="[$-409]dd\-mmm\-yy;@"/>
    <numFmt numFmtId="212" formatCode="[$-409]d\-mmm\-yyyy;@"/>
    <numFmt numFmtId="213" formatCode="_-* #,##0.000_-;\-* #,##0.000_-;_-* &quot;-&quot;??_-;_-@_-"/>
    <numFmt numFmtId="214" formatCode="_(* #,##0.0_);_(* \(#,##0.0\);_(* &quot;-&quot;??_);_(@_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"/>
    <numFmt numFmtId="220" formatCode="_-* #,##0.00000_-;\-* #,##0.00000_-;_-* &quot;-&quot;??_-;_-@_-"/>
    <numFmt numFmtId="221" formatCode="_(* #,##0_);_(* \(#,##0\);_(* &quot;-&quot;??_);_(@_)"/>
    <numFmt numFmtId="222" formatCode="[$-409]dddd\,\ mmmm\ dd\,\ yyyy"/>
    <numFmt numFmtId="223" formatCode="[$-107041E]d\ mmmm\ yyyy;@"/>
    <numFmt numFmtId="224" formatCode="[$-1870000]d/m/yy;@"/>
    <numFmt numFmtId="225" formatCode="mmm\-yyyy"/>
    <numFmt numFmtId="226" formatCode="[$-D07041E]d\ mmmm\ yyyy;@"/>
    <numFmt numFmtId="227" formatCode="[$-D87041E]d\ mmmm\ yyyy;@"/>
  </numFmts>
  <fonts count="66">
    <font>
      <sz val="14"/>
      <name val="Cordia New"/>
      <family val="0"/>
    </font>
    <font>
      <sz val="11"/>
      <color indexed="8"/>
      <name val="Tahoma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Cordia New"/>
      <family val="2"/>
    </font>
    <font>
      <sz val="14"/>
      <color indexed="10"/>
      <name val="Cordia New"/>
      <family val="2"/>
    </font>
    <font>
      <sz val="16"/>
      <color indexed="10"/>
      <name val="Cordia New"/>
      <family val="2"/>
    </font>
    <font>
      <b/>
      <sz val="20"/>
      <color indexed="10"/>
      <name val="Cordia New"/>
      <family val="2"/>
    </font>
    <font>
      <sz val="8"/>
      <name val="Arial"/>
      <family val="2"/>
    </font>
    <font>
      <sz val="16"/>
      <color indexed="12"/>
      <name val="Cordia New"/>
      <family val="2"/>
    </font>
    <font>
      <sz val="14"/>
      <color indexed="12"/>
      <name val="Cordia New"/>
      <family val="2"/>
    </font>
    <font>
      <b/>
      <sz val="16"/>
      <color indexed="10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sz val="10"/>
      <color indexed="8"/>
      <name val="MS Sans Serif"/>
      <family val="2"/>
    </font>
    <font>
      <vertAlign val="superscript"/>
      <sz val="14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b/>
      <sz val="13.5"/>
      <name val="Cordia New"/>
      <family val="2"/>
    </font>
    <font>
      <sz val="14"/>
      <name val="Wingdings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4"/>
      <color indexed="8"/>
      <name val="Cordia New"/>
      <family val="2"/>
    </font>
    <font>
      <sz val="14"/>
      <color indexed="8"/>
      <name val="Cordia New"/>
      <family val="2"/>
    </font>
    <font>
      <b/>
      <sz val="14"/>
      <color indexed="10"/>
      <name val="Cordia New"/>
      <family val="2"/>
    </font>
    <font>
      <b/>
      <sz val="18"/>
      <color indexed="10"/>
      <name val="Cordia New"/>
      <family val="2"/>
    </font>
    <font>
      <sz val="14"/>
      <color indexed="30"/>
      <name val="Cordia New"/>
      <family val="2"/>
    </font>
    <font>
      <sz val="14"/>
      <color indexed="17"/>
      <name val="Cordia New"/>
      <family val="2"/>
    </font>
    <font>
      <sz val="16"/>
      <color indexed="8"/>
      <name val="Cordia New"/>
      <family val="2"/>
    </font>
    <font>
      <sz val="14"/>
      <color indexed="56"/>
      <name val="Cordia New"/>
      <family val="2"/>
    </font>
    <font>
      <b/>
      <sz val="16"/>
      <color indexed="8"/>
      <name val="Cordia New"/>
      <family val="2"/>
    </font>
    <font>
      <b/>
      <sz val="16"/>
      <color indexed="56"/>
      <name val="Cordia New"/>
      <family val="2"/>
    </font>
    <font>
      <sz val="14"/>
      <color indexed="53"/>
      <name val="Cordia New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4"/>
      <color theme="1"/>
      <name val="Cordia New"/>
      <family val="2"/>
    </font>
    <font>
      <sz val="16"/>
      <color rgb="FFFF0000"/>
      <name val="Cordia New"/>
      <family val="2"/>
    </font>
    <font>
      <sz val="14"/>
      <color theme="1"/>
      <name val="Cordia New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b/>
      <sz val="18"/>
      <color rgb="FFFF0000"/>
      <name val="Cordia New"/>
      <family val="2"/>
    </font>
    <font>
      <sz val="14"/>
      <color rgb="FF0070C0"/>
      <name val="Cordia New"/>
      <family val="2"/>
    </font>
    <font>
      <sz val="14"/>
      <color rgb="FF00B050"/>
      <name val="Cordia New"/>
      <family val="2"/>
    </font>
    <font>
      <sz val="16"/>
      <color theme="1"/>
      <name val="Cordia New"/>
      <family val="2"/>
    </font>
    <font>
      <sz val="14"/>
      <color rgb="FF002060"/>
      <name val="Cordia New"/>
      <family val="2"/>
    </font>
    <font>
      <b/>
      <sz val="16"/>
      <color theme="1"/>
      <name val="Cordia New"/>
      <family val="2"/>
    </font>
    <font>
      <b/>
      <sz val="16"/>
      <color rgb="FF002060"/>
      <name val="Cordia New"/>
      <family val="2"/>
    </font>
    <font>
      <sz val="14"/>
      <color theme="9" tint="-0.24997000396251678"/>
      <name val="Cordia New"/>
      <family val="2"/>
    </font>
    <font>
      <b/>
      <sz val="8"/>
      <name val="Cordia Ne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double"/>
      <bottom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hair"/>
      <bottom style="thin"/>
    </border>
    <border>
      <left/>
      <right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/>
    </border>
    <border>
      <left/>
      <right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double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>
      <alignment/>
      <protection/>
    </xf>
  </cellStyleXfs>
  <cellXfs count="811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0" xfId="42" applyAlignment="1">
      <alignment/>
    </xf>
    <xf numFmtId="0" fontId="3" fillId="0" borderId="0" xfId="0" applyFont="1" applyAlignment="1" quotePrefix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0" applyFont="1" applyBorder="1" applyAlignment="1" quotePrefix="1">
      <alignment horizontal="left" vertical="top"/>
    </xf>
    <xf numFmtId="208" fontId="0" fillId="0" borderId="10" xfId="42" applyNumberFormat="1" applyFont="1" applyBorder="1" applyAlignment="1">
      <alignment vertical="top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left" vertical="top"/>
    </xf>
    <xf numFmtId="208" fontId="0" fillId="0" borderId="11" xfId="42" applyNumberFormat="1" applyFont="1" applyBorder="1" applyAlignment="1">
      <alignment vertical="top"/>
    </xf>
    <xf numFmtId="0" fontId="0" fillId="0" borderId="11" xfId="0" applyBorder="1" applyAlignment="1" quotePrefix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43" fontId="0" fillId="0" borderId="11" xfId="42" applyFont="1" applyBorder="1" applyAlignment="1">
      <alignment/>
    </xf>
    <xf numFmtId="0" fontId="0" fillId="0" borderId="13" xfId="0" applyBorder="1" applyAlignment="1">
      <alignment/>
    </xf>
    <xf numFmtId="0" fontId="21" fillId="0" borderId="14" xfId="0" applyFont="1" applyBorder="1" applyAlignment="1">
      <alignment horizontal="center"/>
    </xf>
    <xf numFmtId="43" fontId="2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 quotePrefix="1">
      <alignment/>
    </xf>
    <xf numFmtId="0" fontId="21" fillId="0" borderId="15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0" fillId="0" borderId="11" xfId="0" applyBorder="1" applyAlignment="1">
      <alignment wrapText="1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43" fontId="0" fillId="0" borderId="12" xfId="42" applyBorder="1" applyAlignment="1">
      <alignment/>
    </xf>
    <xf numFmtId="43" fontId="0" fillId="0" borderId="12" xfId="42" applyNumberFormat="1" applyBorder="1" applyAlignment="1">
      <alignment/>
    </xf>
    <xf numFmtId="194" fontId="0" fillId="0" borderId="0" xfId="0" applyNumberFormat="1" applyAlignment="1">
      <alignment/>
    </xf>
    <xf numFmtId="0" fontId="3" fillId="0" borderId="10" xfId="0" applyFont="1" applyBorder="1" applyAlignment="1" quotePrefix="1">
      <alignment horizontal="left" vertical="top"/>
    </xf>
    <xf numFmtId="208" fontId="2" fillId="0" borderId="10" xfId="42" applyNumberFormat="1" applyFont="1" applyBorder="1" applyAlignment="1">
      <alignment vertical="top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 quotePrefix="1">
      <alignment horizontal="center" vertical="top"/>
    </xf>
    <xf numFmtId="0" fontId="0" fillId="0" borderId="12" xfId="0" applyBorder="1" applyAlignment="1">
      <alignment wrapText="1"/>
    </xf>
    <xf numFmtId="43" fontId="0" fillId="0" borderId="11" xfId="42" applyNumberFormat="1" applyFont="1" applyBorder="1" applyAlignment="1">
      <alignment/>
    </xf>
    <xf numFmtId="0" fontId="0" fillId="0" borderId="11" xfId="0" applyBorder="1" applyAlignment="1" quotePrefix="1">
      <alignment wrapText="1"/>
    </xf>
    <xf numFmtId="0" fontId="0" fillId="0" borderId="11" xfId="0" applyBorder="1" applyAlignment="1">
      <alignment horizontal="left"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208" fontId="24" fillId="0" borderId="16" xfId="42" applyNumberFormat="1" applyFont="1" applyBorder="1" applyAlignment="1">
      <alignment vertical="top"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 wrapText="1"/>
    </xf>
    <xf numFmtId="43" fontId="0" fillId="0" borderId="0" xfId="0" applyNumberFormat="1" applyBorder="1" applyAlignment="1" quotePrefix="1">
      <alignment/>
    </xf>
    <xf numFmtId="0" fontId="0" fillId="0" borderId="0" xfId="0" applyBorder="1" applyAlignment="1">
      <alignment wrapText="1"/>
    </xf>
    <xf numFmtId="14" fontId="0" fillId="0" borderId="0" xfId="0" applyNumberFormat="1" applyAlignment="1">
      <alignment/>
    </xf>
    <xf numFmtId="43" fontId="0" fillId="0" borderId="10" xfId="42" applyNumberFormat="1" applyFont="1" applyBorder="1" applyAlignment="1">
      <alignment vertical="top"/>
    </xf>
    <xf numFmtId="43" fontId="0" fillId="0" borderId="11" xfId="42" applyNumberFormat="1" applyFont="1" applyBorder="1" applyAlignment="1">
      <alignment vertical="top"/>
    </xf>
    <xf numFmtId="0" fontId="0" fillId="0" borderId="12" xfId="0" applyBorder="1" applyAlignment="1">
      <alignment vertical="top" wrapText="1"/>
    </xf>
    <xf numFmtId="43" fontId="21" fillId="0" borderId="14" xfId="42" applyNumberFormat="1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 quotePrefix="1">
      <alignment/>
    </xf>
    <xf numFmtId="43" fontId="0" fillId="0" borderId="11" xfId="42" applyNumberFormat="1" applyBorder="1" applyAlignment="1">
      <alignment/>
    </xf>
    <xf numFmtId="0" fontId="0" fillId="0" borderId="11" xfId="0" applyBorder="1" applyAlignment="1">
      <alignment/>
    </xf>
    <xf numFmtId="43" fontId="0" fillId="0" borderId="12" xfId="42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top" wrapText="1"/>
    </xf>
    <xf numFmtId="43" fontId="0" fillId="24" borderId="0" xfId="0" applyNumberFormat="1" applyFill="1" applyAlignment="1">
      <alignment vertical="top" wrapText="1"/>
    </xf>
    <xf numFmtId="0" fontId="0" fillId="0" borderId="0" xfId="0" applyAlignment="1">
      <alignment vertical="top" wrapText="1"/>
    </xf>
    <xf numFmtId="0" fontId="21" fillId="0" borderId="10" xfId="0" applyFont="1" applyBorder="1" applyAlignment="1" quotePrefix="1">
      <alignment horizontal="left" vertical="top" wrapText="1"/>
    </xf>
    <xf numFmtId="208" fontId="0" fillId="0" borderId="10" xfId="42" applyNumberFormat="1" applyFont="1" applyBorder="1" applyAlignment="1">
      <alignment vertical="top" wrapText="1"/>
    </xf>
    <xf numFmtId="0" fontId="0" fillId="0" borderId="10" xfId="0" applyBorder="1" applyAlignment="1" quotePrefix="1">
      <alignment vertical="top" wrapText="1"/>
    </xf>
    <xf numFmtId="208" fontId="0" fillId="0" borderId="11" xfId="42" applyNumberFormat="1" applyFont="1" applyBorder="1" applyAlignment="1">
      <alignment wrapText="1"/>
    </xf>
    <xf numFmtId="43" fontId="0" fillId="0" borderId="11" xfId="42" applyNumberFormat="1" applyFont="1" applyBorder="1" applyAlignment="1">
      <alignment wrapText="1"/>
    </xf>
    <xf numFmtId="0" fontId="21" fillId="0" borderId="11" xfId="0" applyFont="1" applyBorder="1" applyAlignment="1">
      <alignment vertical="top" wrapText="1"/>
    </xf>
    <xf numFmtId="43" fontId="0" fillId="0" borderId="12" xfId="42" applyFont="1" applyBorder="1" applyAlignment="1">
      <alignment wrapText="1"/>
    </xf>
    <xf numFmtId="43" fontId="0" fillId="0" borderId="11" xfId="42" applyFont="1" applyBorder="1" applyAlignment="1">
      <alignment wrapText="1"/>
    </xf>
    <xf numFmtId="0" fontId="21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14" fontId="0" fillId="0" borderId="0" xfId="0" applyNumberFormat="1" applyAlignment="1" quotePrefix="1">
      <alignment vertical="top" wrapText="1"/>
    </xf>
    <xf numFmtId="43" fontId="0" fillId="0" borderId="12" xfId="42" applyFont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43" fontId="0" fillId="0" borderId="0" xfId="0" applyNumberFormat="1" applyAlignment="1">
      <alignment vertical="top" wrapText="1"/>
    </xf>
    <xf numFmtId="0" fontId="0" fillId="0" borderId="13" xfId="0" applyBorder="1" applyAlignment="1">
      <alignment/>
    </xf>
    <xf numFmtId="43" fontId="0" fillId="0" borderId="12" xfId="42" applyFont="1" applyBorder="1" applyAlignment="1">
      <alignment/>
    </xf>
    <xf numFmtId="0" fontId="0" fillId="0" borderId="15" xfId="0" applyBorder="1" applyAlignment="1">
      <alignment/>
    </xf>
    <xf numFmtId="43" fontId="0" fillId="0" borderId="15" xfId="42" applyBorder="1" applyAlignment="1">
      <alignment/>
    </xf>
    <xf numFmtId="0" fontId="2" fillId="0" borderId="13" xfId="0" applyFont="1" applyBorder="1" applyAlignment="1">
      <alignment/>
    </xf>
    <xf numFmtId="194" fontId="0" fillId="0" borderId="0" xfId="0" applyNumberFormat="1" applyAlignment="1">
      <alignment vertical="top" wrapText="1"/>
    </xf>
    <xf numFmtId="194" fontId="16" fillId="0" borderId="0" xfId="49" applyFont="1" applyAlignment="1">
      <alignment vertical="center" wrapText="1"/>
    </xf>
    <xf numFmtId="0" fontId="16" fillId="0" borderId="0" xfId="68">
      <alignment/>
      <protection/>
    </xf>
    <xf numFmtId="194" fontId="16" fillId="0" borderId="0" xfId="68" applyNumberFormat="1">
      <alignment/>
      <protection/>
    </xf>
    <xf numFmtId="0" fontId="16" fillId="0" borderId="0" xfId="68" applyFont="1" applyFill="1" applyBorder="1">
      <alignment/>
      <protection/>
    </xf>
    <xf numFmtId="0" fontId="16" fillId="0" borderId="0" xfId="68" applyFont="1" applyFill="1" applyBorder="1">
      <alignment/>
      <protection/>
    </xf>
    <xf numFmtId="0" fontId="21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25" borderId="0" xfId="0" applyFill="1" applyAlignment="1">
      <alignment/>
    </xf>
    <xf numFmtId="43" fontId="21" fillId="0" borderId="14" xfId="42" applyFont="1" applyBorder="1" applyAlignment="1">
      <alignment/>
    </xf>
    <xf numFmtId="43" fontId="21" fillId="0" borderId="14" xfId="42" applyFont="1" applyBorder="1" applyAlignment="1">
      <alignment vertical="top" wrapText="1"/>
    </xf>
    <xf numFmtId="0" fontId="16" fillId="0" borderId="0" xfId="69">
      <alignment/>
      <protection/>
    </xf>
    <xf numFmtId="0" fontId="2" fillId="0" borderId="0" xfId="69" applyFont="1">
      <alignment/>
      <protection/>
    </xf>
    <xf numFmtId="194" fontId="16" fillId="0" borderId="0" xfId="69" applyNumberFormat="1">
      <alignment/>
      <protection/>
    </xf>
    <xf numFmtId="43" fontId="16" fillId="0" borderId="0" xfId="69" applyNumberFormat="1">
      <alignment/>
      <protection/>
    </xf>
    <xf numFmtId="0" fontId="3" fillId="0" borderId="0" xfId="0" applyFont="1" applyAlignment="1">
      <alignment horizontal="center"/>
    </xf>
    <xf numFmtId="0" fontId="0" fillId="0" borderId="13" xfId="0" applyBorder="1" applyAlignment="1" quotePrefix="1">
      <alignment vertical="justify"/>
    </xf>
    <xf numFmtId="0" fontId="21" fillId="0" borderId="15" xfId="0" applyFont="1" applyFill="1" applyBorder="1" applyAlignment="1">
      <alignment horizontal="center" wrapText="1"/>
    </xf>
    <xf numFmtId="194" fontId="0" fillId="24" borderId="0" xfId="0" applyNumberFormat="1" applyFill="1" applyAlignment="1">
      <alignment vertical="top" wrapText="1"/>
    </xf>
    <xf numFmtId="0" fontId="3" fillId="0" borderId="0" xfId="0" applyFont="1" applyAlignment="1">
      <alignment/>
    </xf>
    <xf numFmtId="2" fontId="16" fillId="0" borderId="0" xfId="69" applyNumberFormat="1">
      <alignment/>
      <protection/>
    </xf>
    <xf numFmtId="0" fontId="21" fillId="0" borderId="18" xfId="0" applyFont="1" applyBorder="1" applyAlignment="1">
      <alignment horizontal="center" vertical="center"/>
    </xf>
    <xf numFmtId="43" fontId="0" fillId="0" borderId="12" xfId="42" applyFont="1" applyFill="1" applyBorder="1" applyAlignment="1">
      <alignment/>
    </xf>
    <xf numFmtId="0" fontId="21" fillId="0" borderId="15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43" fontId="0" fillId="0" borderId="0" xfId="42" applyFont="1" applyAlignment="1">
      <alignment/>
    </xf>
    <xf numFmtId="0" fontId="21" fillId="0" borderId="10" xfId="0" applyFont="1" applyFill="1" applyBorder="1" applyAlignment="1" quotePrefix="1">
      <alignment horizontal="left" vertical="top"/>
    </xf>
    <xf numFmtId="208" fontId="0" fillId="0" borderId="10" xfId="42" applyNumberFormat="1" applyFont="1" applyFill="1" applyBorder="1" applyAlignment="1">
      <alignment vertical="top"/>
    </xf>
    <xf numFmtId="0" fontId="21" fillId="0" borderId="14" xfId="0" applyFont="1" applyFill="1" applyBorder="1" applyAlignment="1">
      <alignment horizontal="center"/>
    </xf>
    <xf numFmtId="43" fontId="22" fillId="0" borderId="11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11" xfId="42" applyFont="1" applyBorder="1" applyAlignment="1">
      <alignment/>
    </xf>
    <xf numFmtId="0" fontId="22" fillId="0" borderId="11" xfId="0" applyFont="1" applyBorder="1" applyAlignment="1">
      <alignment/>
    </xf>
    <xf numFmtId="43" fontId="0" fillId="0" borderId="11" xfId="42" applyNumberFormat="1" applyFont="1" applyBorder="1" applyAlignment="1">
      <alignment/>
    </xf>
    <xf numFmtId="0" fontId="0" fillId="0" borderId="14" xfId="0" applyFont="1" applyBorder="1" applyAlignment="1">
      <alignment/>
    </xf>
    <xf numFmtId="43" fontId="0" fillId="0" borderId="14" xfId="42" applyNumberFormat="1" applyFont="1" applyBorder="1" applyAlignment="1">
      <alignment wrapText="1"/>
    </xf>
    <xf numFmtId="0" fontId="0" fillId="0" borderId="15" xfId="0" applyBorder="1" applyAlignment="1">
      <alignment/>
    </xf>
    <xf numFmtId="43" fontId="21" fillId="0" borderId="19" xfId="42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2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11" xfId="0" applyFont="1" applyFill="1" applyBorder="1" applyAlignment="1">
      <alignment horizontal="left" vertical="top"/>
    </xf>
    <xf numFmtId="0" fontId="0" fillId="0" borderId="11" xfId="0" applyFill="1" applyBorder="1" applyAlignment="1">
      <alignment/>
    </xf>
    <xf numFmtId="0" fontId="21" fillId="0" borderId="11" xfId="0" applyFont="1" applyFill="1" applyBorder="1" applyAlignment="1">
      <alignment wrapText="1"/>
    </xf>
    <xf numFmtId="194" fontId="2" fillId="0" borderId="0" xfId="49" applyFont="1" applyAlignment="1">
      <alignment horizontal="center" vertical="center" wrapText="1"/>
    </xf>
    <xf numFmtId="194" fontId="2" fillId="0" borderId="0" xfId="49" applyFont="1" applyAlignment="1">
      <alignment horizontal="right" vertical="center" wrapText="1"/>
    </xf>
    <xf numFmtId="0" fontId="16" fillId="0" borderId="0" xfId="69" applyFont="1">
      <alignment/>
      <protection/>
    </xf>
    <xf numFmtId="43" fontId="0" fillId="0" borderId="11" xfId="42" applyFont="1" applyBorder="1" applyAlignment="1">
      <alignment/>
    </xf>
    <xf numFmtId="43" fontId="0" fillId="0" borderId="12" xfId="42" applyFont="1" applyFill="1" applyBorder="1" applyAlignment="1">
      <alignment/>
    </xf>
    <xf numFmtId="0" fontId="0" fillId="0" borderId="12" xfId="0" applyFont="1" applyBorder="1" applyAlignment="1">
      <alignment/>
    </xf>
    <xf numFmtId="209" fontId="21" fillId="0" borderId="14" xfId="42" applyNumberFormat="1" applyFont="1" applyBorder="1" applyAlignment="1">
      <alignment horizontal="center"/>
    </xf>
    <xf numFmtId="0" fontId="16" fillId="0" borderId="0" xfId="69" applyFill="1">
      <alignment/>
      <protection/>
    </xf>
    <xf numFmtId="43" fontId="0" fillId="0" borderId="13" xfId="0" applyNumberFormat="1" applyBorder="1" applyAlignment="1">
      <alignment/>
    </xf>
    <xf numFmtId="0" fontId="0" fillId="0" borderId="12" xfId="0" applyFont="1" applyFill="1" applyBorder="1" applyAlignment="1">
      <alignment wrapText="1"/>
    </xf>
    <xf numFmtId="0" fontId="21" fillId="0" borderId="11" xfId="0" applyFont="1" applyBorder="1" applyAlignment="1" quotePrefix="1">
      <alignment horizontal="left" vertical="top"/>
    </xf>
    <xf numFmtId="0" fontId="0" fillId="0" borderId="11" xfId="0" applyFont="1" applyBorder="1" applyAlignment="1" quotePrefix="1">
      <alignment vertical="center"/>
    </xf>
    <xf numFmtId="0" fontId="0" fillId="0" borderId="12" xfId="0" applyFont="1" applyBorder="1" applyAlignment="1">
      <alignment vertical="justify" wrapText="1"/>
    </xf>
    <xf numFmtId="0" fontId="0" fillId="0" borderId="11" xfId="0" applyFont="1" applyBorder="1" applyAlignment="1">
      <alignment/>
    </xf>
    <xf numFmtId="0" fontId="21" fillId="0" borderId="11" xfId="0" applyFont="1" applyBorder="1" applyAlignment="1">
      <alignment vertical="justify" wrapText="1"/>
    </xf>
    <xf numFmtId="0" fontId="0" fillId="0" borderId="11" xfId="0" applyFont="1" applyBorder="1" applyAlignment="1" quotePrefix="1">
      <alignment/>
    </xf>
    <xf numFmtId="43" fontId="0" fillId="0" borderId="13" xfId="42" applyFont="1" applyBorder="1" applyAlignment="1">
      <alignment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vertical="top" wrapText="1"/>
    </xf>
    <xf numFmtId="0" fontId="3" fillId="0" borderId="23" xfId="0" applyFont="1" applyBorder="1" applyAlignment="1">
      <alignment horizontal="center" vertical="center"/>
    </xf>
    <xf numFmtId="0" fontId="0" fillId="0" borderId="11" xfId="0" applyFont="1" applyBorder="1" applyAlignment="1" quotePrefix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/>
    </xf>
    <xf numFmtId="0" fontId="3" fillId="0" borderId="24" xfId="0" applyFont="1" applyBorder="1" applyAlignment="1">
      <alignment horizontal="center"/>
    </xf>
    <xf numFmtId="208" fontId="0" fillId="26" borderId="11" xfId="42" applyNumberFormat="1" applyFont="1" applyFill="1" applyBorder="1" applyAlignment="1">
      <alignment vertical="top"/>
    </xf>
    <xf numFmtId="43" fontId="0" fillId="26" borderId="11" xfId="42" applyNumberFormat="1" applyFont="1" applyFill="1" applyBorder="1" applyAlignment="1">
      <alignment/>
    </xf>
    <xf numFmtId="208" fontId="0" fillId="26" borderId="11" xfId="42" applyNumberFormat="1" applyFont="1" applyFill="1" applyBorder="1" applyAlignment="1">
      <alignment/>
    </xf>
    <xf numFmtId="0" fontId="0" fillId="26" borderId="11" xfId="0" applyFill="1" applyBorder="1" applyAlignment="1">
      <alignment wrapText="1"/>
    </xf>
    <xf numFmtId="0" fontId="0" fillId="26" borderId="11" xfId="0" applyFont="1" applyFill="1" applyBorder="1" applyAlignment="1">
      <alignment horizontal="left" wrapText="1"/>
    </xf>
    <xf numFmtId="43" fontId="0" fillId="26" borderId="12" xfId="42" applyNumberFormat="1" applyFill="1" applyBorder="1" applyAlignment="1">
      <alignment/>
    </xf>
    <xf numFmtId="43" fontId="0" fillId="26" borderId="12" xfId="42" applyFill="1" applyBorder="1" applyAlignment="1">
      <alignment/>
    </xf>
    <xf numFmtId="0" fontId="0" fillId="26" borderId="11" xfId="0" applyFont="1" applyFill="1" applyBorder="1" applyAlignment="1">
      <alignment wrapText="1"/>
    </xf>
    <xf numFmtId="0" fontId="0" fillId="26" borderId="12" xfId="71" applyFont="1" applyFill="1" applyBorder="1" applyAlignment="1">
      <alignment horizontal="left" wrapText="1"/>
      <protection/>
    </xf>
    <xf numFmtId="0" fontId="0" fillId="26" borderId="12" xfId="0" applyFill="1" applyBorder="1" applyAlignment="1">
      <alignment wrapText="1"/>
    </xf>
    <xf numFmtId="43" fontId="21" fillId="26" borderId="14" xfId="0" applyNumberFormat="1" applyFont="1" applyFill="1" applyBorder="1" applyAlignment="1">
      <alignment/>
    </xf>
    <xf numFmtId="0" fontId="0" fillId="26" borderId="14" xfId="0" applyFill="1" applyBorder="1" applyAlignment="1">
      <alignment/>
    </xf>
    <xf numFmtId="0" fontId="0" fillId="26" borderId="0" xfId="0" applyFill="1" applyAlignment="1">
      <alignment/>
    </xf>
    <xf numFmtId="0" fontId="21" fillId="26" borderId="12" xfId="0" applyFont="1" applyFill="1" applyBorder="1" applyAlignment="1">
      <alignment/>
    </xf>
    <xf numFmtId="0" fontId="21" fillId="26" borderId="12" xfId="0" applyFont="1" applyFill="1" applyBorder="1" applyAlignment="1">
      <alignment vertical="top" wrapText="1"/>
    </xf>
    <xf numFmtId="43" fontId="0" fillId="26" borderId="11" xfId="0" applyNumberFormat="1" applyFont="1" applyFill="1" applyBorder="1" applyAlignment="1">
      <alignment wrapText="1"/>
    </xf>
    <xf numFmtId="0" fontId="0" fillId="26" borderId="12" xfId="0" applyFont="1" applyFill="1" applyBorder="1" applyAlignment="1">
      <alignment horizontal="left" vertical="top" wrapText="1"/>
    </xf>
    <xf numFmtId="43" fontId="0" fillId="26" borderId="12" xfId="42" applyFont="1" applyFill="1" applyBorder="1" applyAlignment="1">
      <alignment wrapText="1"/>
    </xf>
    <xf numFmtId="0" fontId="21" fillId="26" borderId="12" xfId="0" applyFont="1" applyFill="1" applyBorder="1" applyAlignment="1">
      <alignment wrapText="1"/>
    </xf>
    <xf numFmtId="43" fontId="2" fillId="26" borderId="12" xfId="42" applyFont="1" applyFill="1" applyBorder="1" applyAlignment="1">
      <alignment wrapText="1"/>
    </xf>
    <xf numFmtId="43" fontId="23" fillId="26" borderId="12" xfId="42" applyFont="1" applyFill="1" applyBorder="1" applyAlignment="1">
      <alignment wrapText="1"/>
    </xf>
    <xf numFmtId="0" fontId="0" fillId="26" borderId="12" xfId="0" applyFont="1" applyFill="1" applyBorder="1" applyAlignment="1">
      <alignment wrapText="1"/>
    </xf>
    <xf numFmtId="0" fontId="0" fillId="26" borderId="12" xfId="0" applyFont="1" applyFill="1" applyBorder="1" applyAlignment="1" quotePrefix="1">
      <alignment wrapText="1"/>
    </xf>
    <xf numFmtId="0" fontId="21" fillId="26" borderId="14" xfId="0" applyFont="1" applyFill="1" applyBorder="1" applyAlignment="1">
      <alignment horizontal="center" vertical="top" wrapText="1"/>
    </xf>
    <xf numFmtId="43" fontId="21" fillId="26" borderId="14" xfId="0" applyNumberFormat="1" applyFont="1" applyFill="1" applyBorder="1" applyAlignment="1">
      <alignment vertical="top" wrapText="1"/>
    </xf>
    <xf numFmtId="0" fontId="0" fillId="26" borderId="14" xfId="0" applyFill="1" applyBorder="1" applyAlignment="1">
      <alignment vertical="top" wrapText="1"/>
    </xf>
    <xf numFmtId="0" fontId="0" fillId="26" borderId="0" xfId="0" applyFont="1" applyFill="1" applyAlignment="1">
      <alignment vertical="top" wrapText="1"/>
    </xf>
    <xf numFmtId="0" fontId="0" fillId="26" borderId="0" xfId="0" applyFill="1" applyAlignment="1">
      <alignment vertical="top" wrapText="1"/>
    </xf>
    <xf numFmtId="194" fontId="0" fillId="26" borderId="0" xfId="0" applyNumberFormat="1" applyFill="1" applyAlignment="1">
      <alignment vertical="top" wrapText="1"/>
    </xf>
    <xf numFmtId="43" fontId="0" fillId="26" borderId="0" xfId="0" applyNumberFormat="1" applyFill="1" applyAlignment="1">
      <alignment vertical="top" wrapText="1"/>
    </xf>
    <xf numFmtId="194" fontId="2" fillId="26" borderId="12" xfId="49" applyFont="1" applyFill="1" applyBorder="1" applyAlignment="1">
      <alignment vertical="center" wrapText="1"/>
    </xf>
    <xf numFmtId="14" fontId="0" fillId="26" borderId="0" xfId="69" applyNumberFormat="1" applyFont="1" applyFill="1" quotePrefix="1">
      <alignment/>
      <protection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43" fontId="0" fillId="26" borderId="11" xfId="42" applyNumberFormat="1" applyFont="1" applyFill="1" applyBorder="1" applyAlignment="1">
      <alignment wrapText="1"/>
    </xf>
    <xf numFmtId="0" fontId="0" fillId="26" borderId="11" xfId="0" applyFont="1" applyFill="1" applyBorder="1" applyAlignment="1">
      <alignment/>
    </xf>
    <xf numFmtId="43" fontId="0" fillId="26" borderId="15" xfId="42" applyNumberFormat="1" applyFont="1" applyFill="1" applyBorder="1" applyAlignment="1">
      <alignment wrapText="1"/>
    </xf>
    <xf numFmtId="0" fontId="0" fillId="26" borderId="11" xfId="0" applyFont="1" applyFill="1" applyBorder="1" applyAlignment="1" quotePrefix="1">
      <alignment/>
    </xf>
    <xf numFmtId="0" fontId="0" fillId="26" borderId="12" xfId="0" applyFill="1" applyBorder="1" applyAlignment="1">
      <alignment/>
    </xf>
    <xf numFmtId="0" fontId="0" fillId="26" borderId="12" xfId="0" applyFill="1" applyBorder="1" applyAlignment="1">
      <alignment vertical="top"/>
    </xf>
    <xf numFmtId="43" fontId="0" fillId="26" borderId="12" xfId="42" applyFill="1" applyBorder="1" applyAlignment="1">
      <alignment/>
    </xf>
    <xf numFmtId="43" fontId="0" fillId="26" borderId="12" xfId="42" applyFont="1" applyFill="1" applyBorder="1" applyAlignment="1">
      <alignment/>
    </xf>
    <xf numFmtId="43" fontId="0" fillId="26" borderId="11" xfId="42" applyFont="1" applyFill="1" applyBorder="1" applyAlignment="1">
      <alignment/>
    </xf>
    <xf numFmtId="0" fontId="0" fillId="26" borderId="12" xfId="0" applyFont="1" applyFill="1" applyBorder="1" applyAlignment="1">
      <alignment/>
    </xf>
    <xf numFmtId="0" fontId="21" fillId="0" borderId="15" xfId="0" applyFont="1" applyBorder="1" applyAlignment="1">
      <alignment horizontal="center" vertical="center" wrapText="1"/>
    </xf>
    <xf numFmtId="194" fontId="2" fillId="26" borderId="12" xfId="49" applyFont="1" applyFill="1" applyBorder="1" applyAlignment="1">
      <alignment wrapText="1"/>
    </xf>
    <xf numFmtId="43" fontId="2" fillId="26" borderId="12" xfId="42" applyNumberFormat="1" applyFont="1" applyFill="1" applyBorder="1" applyAlignment="1">
      <alignment wrapText="1"/>
    </xf>
    <xf numFmtId="194" fontId="3" fillId="0" borderId="22" xfId="49" applyFont="1" applyBorder="1" applyAlignment="1">
      <alignment vertical="center" wrapText="1"/>
    </xf>
    <xf numFmtId="194" fontId="3" fillId="0" borderId="22" xfId="49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26" borderId="12" xfId="0" applyFont="1" applyFill="1" applyBorder="1" applyAlignment="1">
      <alignment/>
    </xf>
    <xf numFmtId="208" fontId="16" fillId="0" borderId="0" xfId="42" applyNumberFormat="1" applyFont="1" applyAlignment="1">
      <alignment/>
    </xf>
    <xf numFmtId="214" fontId="2" fillId="0" borderId="0" xfId="49" applyNumberFormat="1" applyFont="1" applyFill="1" applyBorder="1" applyAlignment="1">
      <alignment wrapText="1"/>
    </xf>
    <xf numFmtId="0" fontId="2" fillId="0" borderId="0" xfId="0" applyFont="1" applyAlignment="1" quotePrefix="1">
      <alignment/>
    </xf>
    <xf numFmtId="43" fontId="0" fillId="26" borderId="11" xfId="42" applyFont="1" applyFill="1" applyBorder="1" applyAlignment="1">
      <alignment/>
    </xf>
    <xf numFmtId="43" fontId="0" fillId="26" borderId="12" xfId="42" applyFont="1" applyFill="1" applyBorder="1" applyAlignment="1">
      <alignment/>
    </xf>
    <xf numFmtId="194" fontId="0" fillId="26" borderId="12" xfId="51" applyFont="1" applyFill="1" applyBorder="1" applyAlignment="1">
      <alignment/>
    </xf>
    <xf numFmtId="43" fontId="0" fillId="26" borderId="13" xfId="42" applyFont="1" applyFill="1" applyBorder="1" applyAlignment="1">
      <alignment/>
    </xf>
    <xf numFmtId="0" fontId="0" fillId="26" borderId="12" xfId="69" applyFont="1" applyFill="1" applyBorder="1">
      <alignment/>
      <protection/>
    </xf>
    <xf numFmtId="0" fontId="0" fillId="26" borderId="12" xfId="0" applyFont="1" applyFill="1" applyBorder="1" applyAlignment="1" quotePrefix="1">
      <alignment vertical="center"/>
    </xf>
    <xf numFmtId="0" fontId="2" fillId="26" borderId="12" xfId="0" applyFont="1" applyFill="1" applyBorder="1" applyAlignment="1" quotePrefix="1">
      <alignment vertical="center"/>
    </xf>
    <xf numFmtId="0" fontId="0" fillId="26" borderId="12" xfId="69" applyFont="1" applyFill="1" applyBorder="1">
      <alignment/>
      <protection/>
    </xf>
    <xf numFmtId="43" fontId="27" fillId="26" borderId="12" xfId="42" applyFont="1" applyFill="1" applyBorder="1" applyAlignment="1">
      <alignment/>
    </xf>
    <xf numFmtId="43" fontId="0" fillId="26" borderId="12" xfId="42" applyFont="1" applyFill="1" applyBorder="1" applyAlignment="1">
      <alignment/>
    </xf>
    <xf numFmtId="194" fontId="0" fillId="26" borderId="12" xfId="49" applyFont="1" applyFill="1" applyBorder="1" applyAlignment="1">
      <alignment horizontal="left" vertical="center"/>
    </xf>
    <xf numFmtId="0" fontId="21" fillId="26" borderId="12" xfId="69" applyFont="1" applyFill="1" applyBorder="1">
      <alignment/>
      <protection/>
    </xf>
    <xf numFmtId="43" fontId="0" fillId="26" borderId="12" xfId="0" applyNumberFormat="1" applyFont="1" applyFill="1" applyBorder="1" applyAlignment="1">
      <alignment/>
    </xf>
    <xf numFmtId="0" fontId="0" fillId="26" borderId="12" xfId="69" applyFont="1" applyFill="1" applyBorder="1" quotePrefix="1">
      <alignment/>
      <protection/>
    </xf>
    <xf numFmtId="194" fontId="21" fillId="26" borderId="11" xfId="49" applyFont="1" applyFill="1" applyBorder="1" applyAlignment="1">
      <alignment vertical="center" wrapText="1"/>
    </xf>
    <xf numFmtId="0" fontId="0" fillId="26" borderId="13" xfId="69" applyFont="1" applyFill="1" applyBorder="1" applyAlignment="1" quotePrefix="1">
      <alignment vertical="center"/>
      <protection/>
    </xf>
    <xf numFmtId="0" fontId="21" fillId="26" borderId="14" xfId="69" applyFont="1" applyFill="1" applyBorder="1" applyAlignment="1">
      <alignment horizontal="center"/>
      <protection/>
    </xf>
    <xf numFmtId="0" fontId="21" fillId="26" borderId="14" xfId="69" applyFont="1" applyFill="1" applyBorder="1">
      <alignment/>
      <protection/>
    </xf>
    <xf numFmtId="0" fontId="0" fillId="26" borderId="13" xfId="69" applyFont="1" applyFill="1" applyBorder="1" applyAlignment="1" quotePrefix="1">
      <alignment vertical="center"/>
      <protection/>
    </xf>
    <xf numFmtId="194" fontId="2" fillId="26" borderId="12" xfId="49" applyFont="1" applyFill="1" applyBorder="1" applyAlignment="1">
      <alignment horizontal="center" vertical="center" wrapText="1"/>
    </xf>
    <xf numFmtId="194" fontId="3" fillId="0" borderId="22" xfId="49" applyFont="1" applyBorder="1" applyAlignment="1">
      <alignment horizontal="center" wrapText="1"/>
    </xf>
    <xf numFmtId="194" fontId="3" fillId="0" borderId="22" xfId="49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3" fillId="24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26" borderId="0" xfId="0" applyFill="1" applyBorder="1" applyAlignment="1">
      <alignment vertical="top" wrapText="1"/>
    </xf>
    <xf numFmtId="0" fontId="0" fillId="26" borderId="12" xfId="0" applyFill="1" applyBorder="1" applyAlignment="1">
      <alignment vertical="center" wrapText="1"/>
    </xf>
    <xf numFmtId="194" fontId="3" fillId="0" borderId="14" xfId="49" applyFont="1" applyBorder="1" applyAlignment="1">
      <alignment horizontal="center" vertical="center" wrapText="1"/>
    </xf>
    <xf numFmtId="43" fontId="16" fillId="0" borderId="0" xfId="42" applyFont="1" applyAlignment="1">
      <alignment/>
    </xf>
    <xf numFmtId="0" fontId="22" fillId="0" borderId="11" xfId="0" applyFont="1" applyBorder="1" applyAlignment="1">
      <alignment/>
    </xf>
    <xf numFmtId="0" fontId="0" fillId="0" borderId="14" xfId="0" applyFont="1" applyBorder="1" applyAlignment="1">
      <alignment/>
    </xf>
    <xf numFmtId="208" fontId="0" fillId="0" borderId="12" xfId="42" applyNumberFormat="1" applyFont="1" applyBorder="1" applyAlignment="1">
      <alignment/>
    </xf>
    <xf numFmtId="43" fontId="0" fillId="0" borderId="12" xfId="42" applyNumberFormat="1" applyFont="1" applyBorder="1" applyAlignment="1">
      <alignment/>
    </xf>
    <xf numFmtId="0" fontId="0" fillId="0" borderId="0" xfId="0" applyFont="1" applyAlignment="1">
      <alignment/>
    </xf>
    <xf numFmtId="0" fontId="21" fillId="0" borderId="12" xfId="0" applyFont="1" applyBorder="1" applyAlignment="1" quotePrefix="1">
      <alignment horizontal="left" vertical="top" wrapText="1"/>
    </xf>
    <xf numFmtId="43" fontId="0" fillId="26" borderId="11" xfId="42" applyFont="1" applyFill="1" applyBorder="1" applyAlignment="1">
      <alignment/>
    </xf>
    <xf numFmtId="43" fontId="0" fillId="0" borderId="15" xfId="42" applyNumberFormat="1" applyFont="1" applyBorder="1" applyAlignment="1">
      <alignment/>
    </xf>
    <xf numFmtId="0" fontId="0" fillId="0" borderId="15" xfId="0" applyFont="1" applyBorder="1" applyAlignment="1" quotePrefix="1">
      <alignment/>
    </xf>
    <xf numFmtId="208" fontId="0" fillId="0" borderId="12" xfId="42" applyNumberFormat="1" applyFont="1" applyBorder="1" applyAlignment="1">
      <alignment vertical="top"/>
    </xf>
    <xf numFmtId="43" fontId="0" fillId="0" borderId="12" xfId="42" applyNumberFormat="1" applyFont="1" applyBorder="1" applyAlignment="1">
      <alignment vertical="top"/>
    </xf>
    <xf numFmtId="43" fontId="0" fillId="0" borderId="12" xfId="42" applyNumberFormat="1" applyFont="1" applyBorder="1" applyAlignment="1">
      <alignment/>
    </xf>
    <xf numFmtId="0" fontId="0" fillId="0" borderId="12" xfId="0" applyFont="1" applyBorder="1" applyAlignment="1" quotePrefix="1">
      <alignment/>
    </xf>
    <xf numFmtId="0" fontId="21" fillId="0" borderId="23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194" fontId="2" fillId="26" borderId="12" xfId="49" applyFont="1" applyFill="1" applyBorder="1" applyAlignment="1" quotePrefix="1">
      <alignment vertical="center" wrapText="1"/>
    </xf>
    <xf numFmtId="194" fontId="2" fillId="26" borderId="12" xfId="49" applyFont="1" applyFill="1" applyBorder="1" applyAlignment="1">
      <alignment horizontal="left" vertical="center" wrapText="1"/>
    </xf>
    <xf numFmtId="194" fontId="2" fillId="26" borderId="11" xfId="49" applyFont="1" applyFill="1" applyBorder="1" applyAlignment="1">
      <alignment wrapText="1"/>
    </xf>
    <xf numFmtId="43" fontId="0" fillId="0" borderId="15" xfId="42" applyNumberFormat="1" applyFont="1" applyBorder="1" applyAlignment="1" quotePrefix="1">
      <alignment horizontal="left" vertical="top" wrapText="1"/>
    </xf>
    <xf numFmtId="208" fontId="0" fillId="26" borderId="10" xfId="42" applyNumberFormat="1" applyFont="1" applyFill="1" applyBorder="1" applyAlignment="1">
      <alignment vertical="top"/>
    </xf>
    <xf numFmtId="0" fontId="0" fillId="26" borderId="12" xfId="69" applyFont="1" applyFill="1" applyBorder="1" applyAlignment="1">
      <alignment horizontal="left"/>
      <protection/>
    </xf>
    <xf numFmtId="0" fontId="0" fillId="26" borderId="12" xfId="0" applyFont="1" applyFill="1" applyBorder="1" applyAlignment="1" quotePrefix="1">
      <alignment vertical="center"/>
    </xf>
    <xf numFmtId="43" fontId="21" fillId="26" borderId="14" xfId="69" applyNumberFormat="1" applyFont="1" applyFill="1" applyBorder="1" applyAlignment="1">
      <alignment horizontal="center"/>
      <protection/>
    </xf>
    <xf numFmtId="0" fontId="16" fillId="0" borderId="0" xfId="69" applyFont="1">
      <alignment/>
      <protection/>
    </xf>
    <xf numFmtId="0" fontId="21" fillId="26" borderId="12" xfId="69" applyFont="1" applyFill="1" applyBorder="1" applyAlignment="1" quotePrefix="1">
      <alignment wrapText="1"/>
      <protection/>
    </xf>
    <xf numFmtId="43" fontId="0" fillId="0" borderId="13" xfId="42" applyFont="1" applyFill="1" applyBorder="1" applyAlignment="1">
      <alignment/>
    </xf>
    <xf numFmtId="43" fontId="21" fillId="0" borderId="14" xfId="42" applyNumberFormat="1" applyFont="1" applyBorder="1" applyAlignment="1">
      <alignment wrapText="1"/>
    </xf>
    <xf numFmtId="194" fontId="16" fillId="0" borderId="0" xfId="69" applyNumberFormat="1" applyFont="1">
      <alignment/>
      <protection/>
    </xf>
    <xf numFmtId="0" fontId="21" fillId="26" borderId="15" xfId="0" applyFont="1" applyFill="1" applyBorder="1" applyAlignment="1">
      <alignment horizontal="center"/>
    </xf>
    <xf numFmtId="0" fontId="0" fillId="26" borderId="25" xfId="0" applyFont="1" applyFill="1" applyBorder="1" applyAlignment="1">
      <alignment/>
    </xf>
    <xf numFmtId="43" fontId="0" fillId="0" borderId="12" xfId="42" applyFont="1" applyBorder="1" applyAlignment="1">
      <alignment/>
    </xf>
    <xf numFmtId="0" fontId="0" fillId="26" borderId="15" xfId="69" applyFont="1" applyFill="1" applyBorder="1">
      <alignment/>
      <protection/>
    </xf>
    <xf numFmtId="43" fontId="0" fillId="26" borderId="15" xfId="42" applyFont="1" applyFill="1" applyBorder="1" applyAlignment="1">
      <alignment/>
    </xf>
    <xf numFmtId="0" fontId="21" fillId="0" borderId="12" xfId="0" applyFont="1" applyFill="1" applyBorder="1" applyAlignment="1">
      <alignment wrapText="1"/>
    </xf>
    <xf numFmtId="0" fontId="52" fillId="0" borderId="15" xfId="0" applyFont="1" applyBorder="1" applyAlignment="1">
      <alignment/>
    </xf>
    <xf numFmtId="194" fontId="16" fillId="0" borderId="0" xfId="68" applyNumberFormat="1" applyFont="1">
      <alignment/>
      <protection/>
    </xf>
    <xf numFmtId="0" fontId="0" fillId="0" borderId="11" xfId="0" applyFont="1" applyBorder="1" applyAlignment="1">
      <alignment wrapText="1"/>
    </xf>
    <xf numFmtId="43" fontId="0" fillId="26" borderId="26" xfId="42" applyFont="1" applyFill="1" applyBorder="1" applyAlignment="1">
      <alignment/>
    </xf>
    <xf numFmtId="194" fontId="2" fillId="0" borderId="24" xfId="49" applyFont="1" applyFill="1" applyBorder="1" applyAlignment="1">
      <alignment vertical="center" wrapText="1"/>
    </xf>
    <xf numFmtId="194" fontId="2" fillId="0" borderId="27" xfId="49" applyFont="1" applyFill="1" applyBorder="1" applyAlignment="1">
      <alignment vertical="center" wrapText="1"/>
    </xf>
    <xf numFmtId="0" fontId="0" fillId="0" borderId="27" xfId="42" applyNumberFormat="1" applyFont="1" applyBorder="1" applyAlignment="1">
      <alignment horizontal="center" vertical="center" wrapText="1"/>
    </xf>
    <xf numFmtId="43" fontId="21" fillId="0" borderId="15" xfId="42" applyNumberFormat="1" applyFont="1" applyBorder="1" applyAlignment="1" quotePrefix="1">
      <alignment horizontal="left" vertical="top" wrapText="1"/>
    </xf>
    <xf numFmtId="43" fontId="21" fillId="0" borderId="15" xfId="42" applyNumberFormat="1" applyFont="1" applyBorder="1" applyAlignment="1">
      <alignment vertical="top" wrapText="1"/>
    </xf>
    <xf numFmtId="0" fontId="21" fillId="0" borderId="12" xfId="0" applyFont="1" applyBorder="1" applyAlignment="1" quotePrefix="1">
      <alignment horizontal="left" vertical="top"/>
    </xf>
    <xf numFmtId="194" fontId="0" fillId="0" borderId="11" xfId="42" applyNumberFormat="1" applyFont="1" applyBorder="1" applyAlignment="1">
      <alignment vertical="top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43" fontId="0" fillId="26" borderId="11" xfId="42" applyFont="1" applyFill="1" applyBorder="1" applyAlignment="1">
      <alignment vertical="top" wrapText="1"/>
    </xf>
    <xf numFmtId="0" fontId="0" fillId="26" borderId="11" xfId="0" applyFill="1" applyBorder="1" applyAlignment="1">
      <alignment vertical="top" wrapText="1"/>
    </xf>
    <xf numFmtId="43" fontId="0" fillId="0" borderId="12" xfId="0" applyNumberFormat="1" applyBorder="1" applyAlignment="1">
      <alignment/>
    </xf>
    <xf numFmtId="43" fontId="0" fillId="26" borderId="11" xfId="42" applyNumberFormat="1" applyFont="1" applyFill="1" applyBorder="1" applyAlignment="1">
      <alignment/>
    </xf>
    <xf numFmtId="43" fontId="0" fillId="0" borderId="11" xfId="42" applyNumberFormat="1" applyFont="1" applyFill="1" applyBorder="1" applyAlignment="1">
      <alignment/>
    </xf>
    <xf numFmtId="43" fontId="0" fillId="26" borderId="12" xfId="42" applyNumberFormat="1" applyFont="1" applyFill="1" applyBorder="1" applyAlignment="1">
      <alignment/>
    </xf>
    <xf numFmtId="194" fontId="2" fillId="0" borderId="12" xfId="49" applyFont="1" applyFill="1" applyBorder="1" applyAlignment="1">
      <alignment horizontal="left" vertical="center" wrapText="1"/>
    </xf>
    <xf numFmtId="43" fontId="2" fillId="0" borderId="12" xfId="0" applyNumberFormat="1" applyFont="1" applyFill="1" applyBorder="1" applyAlignment="1">
      <alignment/>
    </xf>
    <xf numFmtId="43" fontId="2" fillId="0" borderId="12" xfId="42" applyNumberFormat="1" applyFont="1" applyFill="1" applyBorder="1" applyAlignment="1">
      <alignment/>
    </xf>
    <xf numFmtId="194" fontId="2" fillId="0" borderId="12" xfId="49" applyFont="1" applyFill="1" applyBorder="1" applyAlignment="1">
      <alignment wrapText="1"/>
    </xf>
    <xf numFmtId="194" fontId="3" fillId="0" borderId="11" xfId="49" applyFont="1" applyFill="1" applyBorder="1" applyAlignment="1">
      <alignment wrapText="1"/>
    </xf>
    <xf numFmtId="194" fontId="3" fillId="0" borderId="12" xfId="49" applyFont="1" applyFill="1" applyBorder="1" applyAlignment="1">
      <alignment wrapText="1"/>
    </xf>
    <xf numFmtId="194" fontId="2" fillId="0" borderId="12" xfId="49" applyFont="1" applyFill="1" applyBorder="1" applyAlignment="1">
      <alignment vertical="center" wrapText="1"/>
    </xf>
    <xf numFmtId="194" fontId="2" fillId="0" borderId="11" xfId="49" applyFont="1" applyFill="1" applyBorder="1" applyAlignment="1">
      <alignment horizontal="center" vertical="center" wrapText="1"/>
    </xf>
    <xf numFmtId="194" fontId="53" fillId="0" borderId="12" xfId="49" applyFont="1" applyFill="1" applyBorder="1" applyAlignment="1">
      <alignment horizontal="center" vertical="center" wrapText="1"/>
    </xf>
    <xf numFmtId="194" fontId="2" fillId="0" borderId="26" xfId="49" applyFont="1" applyFill="1" applyBorder="1" applyAlignment="1">
      <alignment wrapText="1"/>
    </xf>
    <xf numFmtId="43" fontId="2" fillId="0" borderId="12" xfId="49" applyNumberFormat="1" applyFont="1" applyFill="1" applyBorder="1" applyAlignment="1">
      <alignment/>
    </xf>
    <xf numFmtId="194" fontId="2" fillId="0" borderId="11" xfId="49" applyFont="1" applyFill="1" applyBorder="1" applyAlignment="1">
      <alignment vertical="center" wrapText="1"/>
    </xf>
    <xf numFmtId="43" fontId="2" fillId="0" borderId="0" xfId="0" applyNumberFormat="1" applyFont="1" applyFill="1" applyAlignment="1">
      <alignment vertical="top" wrapText="1"/>
    </xf>
    <xf numFmtId="194" fontId="2" fillId="0" borderId="15" xfId="49" applyFont="1" applyFill="1" applyBorder="1" applyAlignment="1">
      <alignment wrapText="1"/>
    </xf>
    <xf numFmtId="194" fontId="2" fillId="0" borderId="13" xfId="49" applyFont="1" applyFill="1" applyBorder="1" applyAlignment="1">
      <alignment wrapText="1"/>
    </xf>
    <xf numFmtId="43" fontId="2" fillId="0" borderId="12" xfId="0" applyNumberFormat="1" applyFont="1" applyFill="1" applyBorder="1" applyAlignment="1">
      <alignment vertical="top"/>
    </xf>
    <xf numFmtId="43" fontId="2" fillId="0" borderId="28" xfId="42" applyFont="1" applyFill="1" applyBorder="1" applyAlignment="1">
      <alignment/>
    </xf>
    <xf numFmtId="194" fontId="2" fillId="0" borderId="29" xfId="49" applyFont="1" applyFill="1" applyBorder="1" applyAlignment="1">
      <alignment wrapText="1"/>
    </xf>
    <xf numFmtId="194" fontId="2" fillId="0" borderId="11" xfId="49" applyFont="1" applyFill="1" applyBorder="1" applyAlignment="1">
      <alignment wrapText="1"/>
    </xf>
    <xf numFmtId="194" fontId="3" fillId="26" borderId="12" xfId="49" applyFont="1" applyFill="1" applyBorder="1" applyAlignment="1">
      <alignment wrapText="1"/>
    </xf>
    <xf numFmtId="0" fontId="0" fillId="26" borderId="11" xfId="0" applyFont="1" applyFill="1" applyBorder="1" applyAlignment="1" quotePrefix="1">
      <alignment wrapText="1"/>
    </xf>
    <xf numFmtId="43" fontId="0" fillId="26" borderId="12" xfId="42" applyNumberFormat="1" applyFont="1" applyFill="1" applyBorder="1" applyAlignment="1" quotePrefix="1">
      <alignment horizontal="left" vertical="top" wrapText="1"/>
    </xf>
    <xf numFmtId="194" fontId="0" fillId="26" borderId="12" xfId="51" applyFont="1" applyFill="1" applyBorder="1" applyAlignment="1">
      <alignment/>
    </xf>
    <xf numFmtId="43" fontId="0" fillId="26" borderId="11" xfId="42" applyFont="1" applyFill="1" applyBorder="1" applyAlignment="1">
      <alignment wrapText="1"/>
    </xf>
    <xf numFmtId="43" fontId="54" fillId="26" borderId="12" xfId="42" applyFont="1" applyFill="1" applyBorder="1" applyAlignment="1">
      <alignment/>
    </xf>
    <xf numFmtId="43" fontId="2" fillId="26" borderId="12" xfId="0" applyNumberFormat="1" applyFont="1" applyFill="1" applyBorder="1" applyAlignment="1">
      <alignment vertical="top" wrapText="1"/>
    </xf>
    <xf numFmtId="43" fontId="21" fillId="0" borderId="14" xfId="42" applyFont="1" applyBorder="1" applyAlignment="1" quotePrefix="1">
      <alignment wrapText="1"/>
    </xf>
    <xf numFmtId="194" fontId="0" fillId="0" borderId="0" xfId="0" applyNumberFormat="1" applyBorder="1" applyAlignment="1">
      <alignment/>
    </xf>
    <xf numFmtId="0" fontId="21" fillId="0" borderId="23" xfId="0" applyFont="1" applyBorder="1" applyAlignment="1">
      <alignment horizontal="center" vertical="center"/>
    </xf>
    <xf numFmtId="43" fontId="0" fillId="0" borderId="0" xfId="0" applyNumberFormat="1" applyFont="1" applyAlignment="1">
      <alignment vertical="top" wrapText="1"/>
    </xf>
    <xf numFmtId="43" fontId="0" fillId="26" borderId="11" xfId="42" applyNumberFormat="1" applyFill="1" applyBorder="1" applyAlignment="1">
      <alignment/>
    </xf>
    <xf numFmtId="43" fontId="0" fillId="26" borderId="12" xfId="42" applyFont="1" applyFill="1" applyBorder="1" applyAlignment="1">
      <alignment/>
    </xf>
    <xf numFmtId="43" fontId="0" fillId="26" borderId="12" xfId="42" applyNumberFormat="1" applyFont="1" applyFill="1" applyBorder="1" applyAlignment="1">
      <alignment/>
    </xf>
    <xf numFmtId="43" fontId="0" fillId="26" borderId="11" xfId="42" applyNumberFormat="1" applyFont="1" applyFill="1" applyBorder="1" applyAlignment="1">
      <alignment/>
    </xf>
    <xf numFmtId="43" fontId="0" fillId="0" borderId="0" xfId="42" applyFont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 quotePrefix="1">
      <alignment horizontal="left" vertical="top"/>
    </xf>
    <xf numFmtId="0" fontId="0" fillId="26" borderId="12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26" borderId="11" xfId="42" applyFill="1" applyBorder="1" applyAlignment="1">
      <alignment/>
    </xf>
    <xf numFmtId="43" fontId="55" fillId="26" borderId="11" xfId="42" applyNumberFormat="1" applyFont="1" applyFill="1" applyBorder="1" applyAlignment="1">
      <alignment/>
    </xf>
    <xf numFmtId="43" fontId="55" fillId="26" borderId="11" xfId="42" applyFont="1" applyFill="1" applyBorder="1" applyAlignment="1">
      <alignment/>
    </xf>
    <xf numFmtId="0" fontId="0" fillId="26" borderId="12" xfId="0" applyFont="1" applyFill="1" applyBorder="1" applyAlignment="1" quotePrefix="1">
      <alignment vertical="top" wrapText="1"/>
    </xf>
    <xf numFmtId="0" fontId="0" fillId="0" borderId="0" xfId="67">
      <alignment/>
      <protection/>
    </xf>
    <xf numFmtId="0" fontId="21" fillId="0" borderId="10" xfId="67" applyFont="1" applyBorder="1" applyAlignment="1" quotePrefix="1">
      <alignment horizontal="left" vertical="top"/>
      <protection/>
    </xf>
    <xf numFmtId="0" fontId="0" fillId="0" borderId="10" xfId="67" applyBorder="1" applyAlignment="1" quotePrefix="1">
      <alignment vertical="center"/>
      <protection/>
    </xf>
    <xf numFmtId="0" fontId="0" fillId="0" borderId="10" xfId="67" applyBorder="1">
      <alignment/>
      <protection/>
    </xf>
    <xf numFmtId="0" fontId="21" fillId="0" borderId="12" xfId="67" applyFont="1" applyBorder="1">
      <alignment/>
      <protection/>
    </xf>
    <xf numFmtId="0" fontId="0" fillId="0" borderId="11" xfId="67" applyBorder="1" applyAlignment="1" quotePrefix="1">
      <alignment vertical="center"/>
      <protection/>
    </xf>
    <xf numFmtId="0" fontId="0" fillId="0" borderId="11" xfId="67" applyBorder="1">
      <alignment/>
      <protection/>
    </xf>
    <xf numFmtId="0" fontId="0" fillId="26" borderId="11" xfId="67" applyFont="1" applyFill="1" applyBorder="1" applyAlignment="1">
      <alignment wrapText="1"/>
      <protection/>
    </xf>
    <xf numFmtId="0" fontId="0" fillId="0" borderId="11" xfId="67" applyFont="1" applyBorder="1" applyAlignment="1" quotePrefix="1">
      <alignment/>
      <protection/>
    </xf>
    <xf numFmtId="0" fontId="0" fillId="0" borderId="11" xfId="67" applyFont="1" applyBorder="1">
      <alignment/>
      <protection/>
    </xf>
    <xf numFmtId="0" fontId="0" fillId="26" borderId="12" xfId="67" applyFont="1" applyFill="1" applyBorder="1" applyAlignment="1">
      <alignment wrapText="1"/>
      <protection/>
    </xf>
    <xf numFmtId="0" fontId="21" fillId="26" borderId="12" xfId="67" applyFont="1" applyFill="1" applyBorder="1">
      <alignment/>
      <protection/>
    </xf>
    <xf numFmtId="43" fontId="22" fillId="26" borderId="11" xfId="67" applyNumberFormat="1" applyFont="1" applyFill="1" applyBorder="1" applyAlignment="1">
      <alignment/>
      <protection/>
    </xf>
    <xf numFmtId="0" fontId="0" fillId="26" borderId="12" xfId="67" applyFill="1" applyBorder="1" applyAlignment="1">
      <alignment/>
      <protection/>
    </xf>
    <xf numFmtId="0" fontId="0" fillId="0" borderId="12" xfId="67" applyBorder="1" applyAlignment="1">
      <alignment/>
      <protection/>
    </xf>
    <xf numFmtId="0" fontId="0" fillId="26" borderId="12" xfId="67" applyFont="1" applyFill="1" applyBorder="1" applyAlignment="1">
      <alignment/>
      <protection/>
    </xf>
    <xf numFmtId="0" fontId="21" fillId="0" borderId="14" xfId="67" applyFont="1" applyBorder="1" applyAlignment="1">
      <alignment horizontal="center" vertical="top"/>
      <protection/>
    </xf>
    <xf numFmtId="0" fontId="0" fillId="0" borderId="14" xfId="67" applyBorder="1">
      <alignment/>
      <protection/>
    </xf>
    <xf numFmtId="43" fontId="0" fillId="0" borderId="0" xfId="67" applyNumberFormat="1">
      <alignment/>
      <protection/>
    </xf>
    <xf numFmtId="194" fontId="0" fillId="0" borderId="0" xfId="67" applyNumberFormat="1">
      <alignment/>
      <protection/>
    </xf>
    <xf numFmtId="14" fontId="0" fillId="0" borderId="0" xfId="67" applyNumberFormat="1" quotePrefix="1">
      <alignment/>
      <protection/>
    </xf>
    <xf numFmtId="0" fontId="0" fillId="0" borderId="0" xfId="67" applyFill="1">
      <alignment/>
      <protection/>
    </xf>
    <xf numFmtId="0" fontId="0" fillId="0" borderId="10" xfId="0" applyFont="1" applyBorder="1" applyAlignment="1" quotePrefix="1">
      <alignment wrapText="1"/>
    </xf>
    <xf numFmtId="0" fontId="0" fillId="0" borderId="10" xfId="0" applyFont="1" applyBorder="1" applyAlignment="1" quotePrefix="1">
      <alignment vertical="center"/>
    </xf>
    <xf numFmtId="208" fontId="0" fillId="0" borderId="11" xfId="42" applyNumberFormat="1" applyFont="1" applyBorder="1" applyAlignment="1">
      <alignment/>
    </xf>
    <xf numFmtId="43" fontId="0" fillId="0" borderId="12" xfId="42" applyFont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26" borderId="15" xfId="0" applyFont="1" applyFill="1" applyBorder="1" applyAlignment="1" quotePrefix="1">
      <alignment vertical="top" wrapText="1"/>
    </xf>
    <xf numFmtId="43" fontId="0" fillId="26" borderId="15" xfId="42" applyFont="1" applyFill="1" applyBorder="1" applyAlignment="1">
      <alignment/>
    </xf>
    <xf numFmtId="0" fontId="0" fillId="26" borderId="15" xfId="0" applyFont="1" applyFill="1" applyBorder="1" applyAlignment="1">
      <alignment/>
    </xf>
    <xf numFmtId="43" fontId="0" fillId="26" borderId="15" xfId="42" applyFont="1" applyFill="1" applyBorder="1" applyAlignment="1">
      <alignment/>
    </xf>
    <xf numFmtId="43" fontId="0" fillId="26" borderId="15" xfId="42" applyNumberFormat="1" applyFont="1" applyFill="1" applyBorder="1" applyAlignment="1">
      <alignment/>
    </xf>
    <xf numFmtId="0" fontId="0" fillId="26" borderId="15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Border="1" applyAlignment="1" quotePrefix="1">
      <alignment vertical="center" wrapText="1"/>
    </xf>
    <xf numFmtId="194" fontId="0" fillId="0" borderId="11" xfId="42" applyNumberFormat="1" applyFont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26" borderId="0" xfId="0" applyFill="1" applyBorder="1" applyAlignment="1">
      <alignment vertical="top"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43" fontId="0" fillId="26" borderId="12" xfId="42" applyNumberFormat="1" applyFont="1" applyFill="1" applyBorder="1" applyAlignment="1">
      <alignment/>
    </xf>
    <xf numFmtId="194" fontId="0" fillId="0" borderId="0" xfId="0" applyNumberFormat="1" applyAlignment="1">
      <alignment vertical="top"/>
    </xf>
    <xf numFmtId="0" fontId="0" fillId="26" borderId="11" xfId="0" applyFont="1" applyFill="1" applyBorder="1" applyAlignment="1">
      <alignment/>
    </xf>
    <xf numFmtId="0" fontId="0" fillId="0" borderId="11" xfId="0" applyBorder="1" applyAlignment="1" quotePrefix="1">
      <alignment/>
    </xf>
    <xf numFmtId="43" fontId="0" fillId="0" borderId="15" xfId="42" applyNumberFormat="1" applyFont="1" applyBorder="1" applyAlignment="1">
      <alignment wrapText="1"/>
    </xf>
    <xf numFmtId="43" fontId="21" fillId="0" borderId="12" xfId="42" applyNumberFormat="1" applyFont="1" applyBorder="1" applyAlignment="1" quotePrefix="1">
      <alignment horizontal="left" vertical="top" wrapText="1"/>
    </xf>
    <xf numFmtId="43" fontId="0" fillId="0" borderId="12" xfId="42" applyNumberFormat="1" applyFont="1" applyBorder="1" applyAlignment="1" quotePrefix="1">
      <alignment wrapText="1"/>
    </xf>
    <xf numFmtId="43" fontId="0" fillId="0" borderId="12" xfId="42" applyNumberFormat="1" applyFont="1" applyBorder="1" applyAlignment="1" quotePrefix="1">
      <alignment horizontal="left" vertical="top" wrapText="1"/>
    </xf>
    <xf numFmtId="43" fontId="0" fillId="26" borderId="12" xfId="42" applyFont="1" applyFill="1" applyBorder="1" applyAlignment="1">
      <alignment vertical="top" wrapText="1"/>
    </xf>
    <xf numFmtId="0" fontId="0" fillId="26" borderId="12" xfId="0" applyFill="1" applyBorder="1" applyAlignment="1">
      <alignment vertical="top" wrapText="1"/>
    </xf>
    <xf numFmtId="0" fontId="0" fillId="26" borderId="12" xfId="0" applyFill="1" applyBorder="1" applyAlignment="1">
      <alignment vertical="center"/>
    </xf>
    <xf numFmtId="0" fontId="0" fillId="26" borderId="11" xfId="0" applyFont="1" applyFill="1" applyBorder="1" applyAlignment="1">
      <alignment vertical="top" wrapText="1"/>
    </xf>
    <xf numFmtId="43" fontId="21" fillId="26" borderId="0" xfId="0" applyNumberFormat="1" applyFont="1" applyFill="1" applyBorder="1" applyAlignment="1">
      <alignment vertical="top" wrapText="1"/>
    </xf>
    <xf numFmtId="43" fontId="0" fillId="26" borderId="12" xfId="42" applyNumberFormat="1" applyFont="1" applyFill="1" applyBorder="1" applyAlignment="1" quotePrefix="1">
      <alignment wrapText="1"/>
    </xf>
    <xf numFmtId="43" fontId="0" fillId="24" borderId="0" xfId="42" applyFont="1" applyFill="1" applyAlignment="1">
      <alignment vertical="top" wrapText="1"/>
    </xf>
    <xf numFmtId="43" fontId="56" fillId="26" borderId="12" xfId="42" applyFont="1" applyFill="1" applyBorder="1" applyAlignment="1">
      <alignment/>
    </xf>
    <xf numFmtId="0" fontId="0" fillId="26" borderId="12" xfId="49" applyNumberFormat="1" applyFont="1" applyFill="1" applyBorder="1" applyAlignment="1">
      <alignment horizontal="left" vertical="center"/>
    </xf>
    <xf numFmtId="0" fontId="0" fillId="26" borderId="13" xfId="69" applyFont="1" applyFill="1" applyBorder="1">
      <alignment/>
      <protection/>
    </xf>
    <xf numFmtId="43" fontId="54" fillId="26" borderId="11" xfId="42" applyFont="1" applyFill="1" applyBorder="1" applyAlignment="1">
      <alignment/>
    </xf>
    <xf numFmtId="43" fontId="0" fillId="26" borderId="11" xfId="0" applyNumberFormat="1" applyFont="1" applyFill="1" applyBorder="1" applyAlignment="1">
      <alignment/>
    </xf>
    <xf numFmtId="0" fontId="0" fillId="26" borderId="12" xfId="69" applyFont="1" applyFill="1" applyBorder="1" applyAlignment="1">
      <alignment horizontal="left" wrapText="1"/>
      <protection/>
    </xf>
    <xf numFmtId="43" fontId="0" fillId="24" borderId="0" xfId="0" applyNumberFormat="1" applyFill="1" applyBorder="1" applyAlignment="1">
      <alignment/>
    </xf>
    <xf numFmtId="43" fontId="0" fillId="26" borderId="0" xfId="42" applyFont="1" applyFill="1" applyBorder="1" applyAlignment="1">
      <alignment wrapText="1"/>
    </xf>
    <xf numFmtId="43" fontId="0" fillId="26" borderId="11" xfId="42" applyFont="1" applyFill="1" applyBorder="1" applyAlignment="1">
      <alignment/>
    </xf>
    <xf numFmtId="208" fontId="0" fillId="0" borderId="15" xfId="42" applyNumberFormat="1" applyFont="1" applyBorder="1" applyAlignment="1">
      <alignment vertical="top"/>
    </xf>
    <xf numFmtId="43" fontId="0" fillId="0" borderId="15" xfId="42" applyFont="1" applyBorder="1" applyAlignment="1">
      <alignment/>
    </xf>
    <xf numFmtId="43" fontId="0" fillId="0" borderId="15" xfId="42" applyNumberFormat="1" applyFont="1" applyBorder="1" applyAlignment="1">
      <alignment vertical="top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wrapText="1"/>
    </xf>
    <xf numFmtId="43" fontId="0" fillId="0" borderId="15" xfId="42" applyFont="1" applyBorder="1" applyAlignment="1">
      <alignment wrapText="1"/>
    </xf>
    <xf numFmtId="43" fontId="0" fillId="0" borderId="13" xfId="42" applyNumberFormat="1" applyFont="1" applyBorder="1" applyAlignment="1" quotePrefix="1">
      <alignment wrapText="1"/>
    </xf>
    <xf numFmtId="43" fontId="0" fillId="0" borderId="12" xfId="42" applyNumberFormat="1" applyFont="1" applyBorder="1" applyAlignment="1">
      <alignment wrapText="1"/>
    </xf>
    <xf numFmtId="43" fontId="0" fillId="0" borderId="11" xfId="42" applyFont="1" applyBorder="1" applyAlignment="1">
      <alignment wrapText="1"/>
    </xf>
    <xf numFmtId="43" fontId="0" fillId="0" borderId="11" xfId="42" applyNumberFormat="1" applyFont="1" applyBorder="1" applyAlignment="1" quotePrefix="1">
      <alignment wrapText="1"/>
    </xf>
    <xf numFmtId="43" fontId="0" fillId="0" borderId="14" xfId="42" applyFont="1" applyBorder="1" applyAlignment="1">
      <alignment wrapText="1"/>
    </xf>
    <xf numFmtId="43" fontId="0" fillId="0" borderId="13" xfId="42" applyNumberFormat="1" applyFont="1" applyBorder="1" applyAlignment="1">
      <alignment wrapText="1"/>
    </xf>
    <xf numFmtId="43" fontId="0" fillId="0" borderId="13" xfId="42" applyFont="1" applyBorder="1" applyAlignment="1">
      <alignment wrapText="1"/>
    </xf>
    <xf numFmtId="0" fontId="0" fillId="26" borderId="20" xfId="0" applyFont="1" applyFill="1" applyBorder="1" applyAlignment="1">
      <alignment vertical="top" wrapText="1"/>
    </xf>
    <xf numFmtId="208" fontId="0" fillId="26" borderId="20" xfId="42" applyNumberFormat="1" applyFont="1" applyFill="1" applyBorder="1" applyAlignment="1">
      <alignment wrapText="1"/>
    </xf>
    <xf numFmtId="43" fontId="0" fillId="26" borderId="20" xfId="42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43" fontId="0" fillId="26" borderId="12" xfId="42" applyNumberFormat="1" applyFont="1" applyFill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top" wrapText="1"/>
    </xf>
    <xf numFmtId="0" fontId="0" fillId="26" borderId="11" xfId="0" applyFill="1" applyBorder="1" applyAlignment="1">
      <alignment/>
    </xf>
    <xf numFmtId="43" fontId="0" fillId="0" borderId="0" xfId="42" applyNumberFormat="1" applyFont="1" applyBorder="1" applyAlignment="1">
      <alignment/>
    </xf>
    <xf numFmtId="43" fontId="0" fillId="0" borderId="15" xfId="42" applyNumberFormat="1" applyBorder="1" applyAlignment="1">
      <alignment/>
    </xf>
    <xf numFmtId="43" fontId="0" fillId="0" borderId="15" xfId="42" applyFont="1" applyBorder="1" applyAlignment="1">
      <alignment/>
    </xf>
    <xf numFmtId="0" fontId="0" fillId="0" borderId="15" xfId="0" applyFont="1" applyBorder="1" applyAlignment="1" quotePrefix="1">
      <alignment vertical="center"/>
    </xf>
    <xf numFmtId="0" fontId="0" fillId="0" borderId="15" xfId="0" applyBorder="1" applyAlignment="1" quotePrefix="1">
      <alignment vertical="justify"/>
    </xf>
    <xf numFmtId="43" fontId="0" fillId="0" borderId="13" xfId="42" applyBorder="1" applyAlignment="1">
      <alignment/>
    </xf>
    <xf numFmtId="0" fontId="0" fillId="0" borderId="12" xfId="42" applyNumberFormat="1" applyBorder="1" applyAlignment="1">
      <alignment/>
    </xf>
    <xf numFmtId="0" fontId="0" fillId="26" borderId="15" xfId="0" applyFill="1" applyBorder="1" applyAlignment="1">
      <alignment/>
    </xf>
    <xf numFmtId="0" fontId="0" fillId="0" borderId="0" xfId="0" applyFont="1" applyAlignment="1">
      <alignment vertical="top"/>
    </xf>
    <xf numFmtId="43" fontId="0" fillId="0" borderId="26" xfId="42" applyNumberFormat="1" applyFont="1" applyBorder="1" applyAlignment="1" quotePrefix="1">
      <alignment horizontal="left" vertical="top" wrapText="1"/>
    </xf>
    <xf numFmtId="0" fontId="0" fillId="26" borderId="12" xfId="69" applyFont="1" applyFill="1" applyBorder="1" applyAlignment="1" quotePrefix="1">
      <alignment wrapText="1"/>
      <protection/>
    </xf>
    <xf numFmtId="43" fontId="0" fillId="26" borderId="11" xfId="42" applyNumberFormat="1" applyFont="1" applyFill="1" applyBorder="1" applyAlignment="1">
      <alignment vertical="top"/>
    </xf>
    <xf numFmtId="0" fontId="0" fillId="26" borderId="11" xfId="0" applyFont="1" applyFill="1" applyBorder="1" applyAlignment="1" quotePrefix="1">
      <alignment vertical="center" wrapText="1"/>
    </xf>
    <xf numFmtId="208" fontId="0" fillId="0" borderId="12" xfId="42" applyNumberFormat="1" applyFont="1" applyBorder="1" applyAlignment="1">
      <alignment/>
    </xf>
    <xf numFmtId="43" fontId="0" fillId="0" borderId="26" xfId="42" applyNumberFormat="1" applyFont="1" applyBorder="1" applyAlignment="1" quotePrefix="1">
      <alignment wrapText="1"/>
    </xf>
    <xf numFmtId="0" fontId="0" fillId="0" borderId="12" xfId="0" applyFont="1" applyBorder="1" applyAlignment="1" quotePrefix="1">
      <alignment vertical="center"/>
    </xf>
    <xf numFmtId="0" fontId="0" fillId="0" borderId="12" xfId="0" applyBorder="1" applyAlignment="1" quotePrefix="1">
      <alignment vertical="justify"/>
    </xf>
    <xf numFmtId="0" fontId="21" fillId="0" borderId="12" xfId="0" applyFont="1" applyBorder="1" applyAlignment="1">
      <alignment wrapText="1"/>
    </xf>
    <xf numFmtId="43" fontId="21" fillId="26" borderId="14" xfId="42" applyNumberFormat="1" applyFont="1" applyFill="1" applyBorder="1" applyAlignment="1">
      <alignment/>
    </xf>
    <xf numFmtId="43" fontId="0" fillId="26" borderId="0" xfId="42" applyFont="1" applyFill="1" applyAlignment="1">
      <alignment/>
    </xf>
    <xf numFmtId="0" fontId="0" fillId="26" borderId="13" xfId="67" applyFont="1" applyFill="1" applyBorder="1" applyAlignment="1">
      <alignment vertical="top" wrapText="1"/>
      <protection/>
    </xf>
    <xf numFmtId="0" fontId="0" fillId="26" borderId="13" xfId="67" applyFill="1" applyBorder="1" applyAlignment="1">
      <alignment/>
      <protection/>
    </xf>
    <xf numFmtId="0" fontId="0" fillId="26" borderId="30" xfId="67" applyFont="1" applyFill="1" applyBorder="1" applyAlignment="1">
      <alignment wrapText="1"/>
      <protection/>
    </xf>
    <xf numFmtId="0" fontId="0" fillId="26" borderId="12" xfId="0" applyFill="1" applyBorder="1" applyAlignment="1">
      <alignment/>
    </xf>
    <xf numFmtId="9" fontId="0" fillId="26" borderId="12" xfId="0" applyNumberFormat="1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43" fontId="0" fillId="26" borderId="13" xfId="42" applyFill="1" applyBorder="1" applyAlignment="1">
      <alignment/>
    </xf>
    <xf numFmtId="0" fontId="0" fillId="26" borderId="13" xfId="0" applyFill="1" applyBorder="1" applyAlignment="1">
      <alignment/>
    </xf>
    <xf numFmtId="0" fontId="0" fillId="26" borderId="13" xfId="0" applyFill="1" applyBorder="1" applyAlignment="1">
      <alignment/>
    </xf>
    <xf numFmtId="0" fontId="0" fillId="26" borderId="13" xfId="0" applyFill="1" applyBorder="1" applyAlignment="1">
      <alignment horizontal="center"/>
    </xf>
    <xf numFmtId="43" fontId="0" fillId="26" borderId="12" xfId="0" applyNumberFormat="1" applyFill="1" applyBorder="1" applyAlignment="1">
      <alignment horizontal="center"/>
    </xf>
    <xf numFmtId="43" fontId="21" fillId="26" borderId="14" xfId="0" applyNumberFormat="1" applyFont="1" applyFill="1" applyBorder="1" applyAlignment="1" quotePrefix="1">
      <alignment horizontal="left" vertical="top"/>
    </xf>
    <xf numFmtId="43" fontId="0" fillId="26" borderId="14" xfId="0" applyNumberFormat="1" applyFill="1" applyBorder="1" applyAlignment="1">
      <alignment/>
    </xf>
    <xf numFmtId="0" fontId="0" fillId="26" borderId="0" xfId="0" applyFont="1" applyFill="1" applyBorder="1" applyAlignment="1">
      <alignment vertical="top" wrapText="1"/>
    </xf>
    <xf numFmtId="43" fontId="2" fillId="0" borderId="13" xfId="0" applyNumberFormat="1" applyFont="1" applyFill="1" applyBorder="1" applyAlignment="1">
      <alignment vertical="top" wrapText="1"/>
    </xf>
    <xf numFmtId="0" fontId="2" fillId="26" borderId="13" xfId="0" applyFont="1" applyFill="1" applyBorder="1" applyAlignment="1">
      <alignment/>
    </xf>
    <xf numFmtId="43" fontId="0" fillId="0" borderId="0" xfId="0" applyNumberFormat="1" applyAlignment="1">
      <alignment vertical="top"/>
    </xf>
    <xf numFmtId="43" fontId="21" fillId="0" borderId="14" xfId="42" applyFont="1" applyBorder="1" applyAlignment="1">
      <alignment wrapText="1"/>
    </xf>
    <xf numFmtId="0" fontId="21" fillId="26" borderId="10" xfId="0" applyFont="1" applyFill="1" applyBorder="1" applyAlignment="1">
      <alignment horizontal="left" vertical="top" wrapText="1"/>
    </xf>
    <xf numFmtId="43" fontId="0" fillId="26" borderId="10" xfId="42" applyFont="1" applyFill="1" applyBorder="1" applyAlignment="1">
      <alignment vertical="top" wrapText="1"/>
    </xf>
    <xf numFmtId="43" fontId="0" fillId="26" borderId="10" xfId="42" applyNumberFormat="1" applyFont="1" applyFill="1" applyBorder="1" applyAlignment="1">
      <alignment vertical="top" wrapText="1"/>
    </xf>
    <xf numFmtId="0" fontId="0" fillId="26" borderId="10" xfId="0" applyFill="1" applyBorder="1" applyAlignment="1" quotePrefix="1">
      <alignment vertical="top" wrapText="1"/>
    </xf>
    <xf numFmtId="0" fontId="0" fillId="26" borderId="10" xfId="0" applyFill="1" applyBorder="1" applyAlignment="1">
      <alignment vertical="top" wrapText="1"/>
    </xf>
    <xf numFmtId="43" fontId="0" fillId="26" borderId="11" xfId="42" applyNumberFormat="1" applyFont="1" applyFill="1" applyBorder="1" applyAlignment="1">
      <alignment vertical="top" wrapText="1"/>
    </xf>
    <xf numFmtId="0" fontId="0" fillId="26" borderId="11" xfId="0" applyFill="1" applyBorder="1" applyAlignment="1" quotePrefix="1">
      <alignment vertical="top" wrapText="1"/>
    </xf>
    <xf numFmtId="0" fontId="0" fillId="26" borderId="12" xfId="0" applyFont="1" applyFill="1" applyBorder="1" applyAlignment="1">
      <alignment horizontal="left" wrapText="1"/>
    </xf>
    <xf numFmtId="43" fontId="2" fillId="0" borderId="12" xfId="42" applyFont="1" applyBorder="1" applyAlignment="1">
      <alignment vertical="top" wrapText="1"/>
    </xf>
    <xf numFmtId="43" fontId="0" fillId="26" borderId="26" xfId="42" applyFont="1" applyFill="1" applyBorder="1" applyAlignment="1">
      <alignment/>
    </xf>
    <xf numFmtId="43" fontId="0" fillId="26" borderId="11" xfId="42" applyNumberFormat="1" applyFont="1" applyFill="1" applyBorder="1" applyAlignment="1" quotePrefix="1">
      <alignment horizontal="left" vertical="top" wrapText="1"/>
    </xf>
    <xf numFmtId="43" fontId="16" fillId="0" borderId="0" xfId="42" applyNumberFormat="1" applyFont="1" applyAlignment="1">
      <alignment/>
    </xf>
    <xf numFmtId="0" fontId="57" fillId="26" borderId="0" xfId="69" applyFont="1" applyFill="1" applyBorder="1" applyAlignment="1">
      <alignment horizontal="center"/>
      <protection/>
    </xf>
    <xf numFmtId="0" fontId="29" fillId="26" borderId="16" xfId="69" applyFont="1" applyFill="1" applyBorder="1" applyAlignment="1">
      <alignment horizontal="center"/>
      <protection/>
    </xf>
    <xf numFmtId="194" fontId="29" fillId="26" borderId="16" xfId="69" applyNumberFormat="1" applyFont="1" applyFill="1" applyBorder="1" applyAlignment="1">
      <alignment horizontal="center"/>
      <protection/>
    </xf>
    <xf numFmtId="43" fontId="29" fillId="26" borderId="0" xfId="42" applyFont="1" applyFill="1" applyBorder="1" applyAlignment="1">
      <alignment horizontal="center"/>
    </xf>
    <xf numFmtId="0" fontId="29" fillId="26" borderId="0" xfId="69" applyFont="1" applyFill="1" applyBorder="1" applyAlignment="1">
      <alignment horizontal="center"/>
      <protection/>
    </xf>
    <xf numFmtId="43" fontId="21" fillId="26" borderId="22" xfId="42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0" fontId="21" fillId="26" borderId="22" xfId="69" applyFont="1" applyFill="1" applyBorder="1" applyAlignment="1">
      <alignment horizontal="center"/>
      <protection/>
    </xf>
    <xf numFmtId="0" fontId="21" fillId="26" borderId="23" xfId="69" applyFont="1" applyFill="1" applyBorder="1" applyAlignment="1">
      <alignment horizontal="center"/>
      <protection/>
    </xf>
    <xf numFmtId="43" fontId="0" fillId="0" borderId="11" xfId="42" applyNumberFormat="1" applyFont="1" applyBorder="1" applyAlignment="1" quotePrefix="1">
      <alignment horizontal="left" vertical="top" wrapText="1"/>
    </xf>
    <xf numFmtId="194" fontId="2" fillId="26" borderId="26" xfId="49" applyFont="1" applyFill="1" applyBorder="1" applyAlignment="1">
      <alignment wrapText="1"/>
    </xf>
    <xf numFmtId="43" fontId="2" fillId="26" borderId="15" xfId="49" applyNumberFormat="1" applyFont="1" applyFill="1" applyBorder="1" applyAlignment="1">
      <alignment/>
    </xf>
    <xf numFmtId="0" fontId="0" fillId="26" borderId="12" xfId="69" applyFont="1" applyFill="1" applyBorder="1" applyAlignment="1" quotePrefix="1">
      <alignment vertical="center" wrapText="1"/>
      <protection/>
    </xf>
    <xf numFmtId="0" fontId="0" fillId="26" borderId="11" xfId="0" applyFill="1" applyBorder="1" applyAlignment="1" quotePrefix="1">
      <alignment vertical="center"/>
    </xf>
    <xf numFmtId="194" fontId="2" fillId="0" borderId="0" xfId="50" applyFont="1" applyFill="1" applyBorder="1" applyAlignment="1">
      <alignment vertical="center" wrapText="1"/>
    </xf>
    <xf numFmtId="194" fontId="16" fillId="0" borderId="0" xfId="50" applyFont="1" applyAlignment="1">
      <alignment vertical="center" wrapText="1"/>
    </xf>
    <xf numFmtId="0" fontId="0" fillId="0" borderId="11" xfId="0" applyFont="1" applyBorder="1" applyAlignment="1" quotePrefix="1">
      <alignment horizontal="center"/>
    </xf>
    <xf numFmtId="43" fontId="0" fillId="0" borderId="11" xfId="42" applyNumberFormat="1" applyFont="1" applyBorder="1" applyAlignment="1">
      <alignment/>
    </xf>
    <xf numFmtId="43" fontId="0" fillId="0" borderId="12" xfId="42" applyNumberFormat="1" applyFont="1" applyBorder="1" applyAlignment="1">
      <alignment/>
    </xf>
    <xf numFmtId="194" fontId="0" fillId="26" borderId="12" xfId="49" applyFont="1" applyFill="1" applyBorder="1" applyAlignment="1">
      <alignment horizontal="left" vertical="center" wrapText="1"/>
    </xf>
    <xf numFmtId="0" fontId="21" fillId="26" borderId="23" xfId="69" applyFont="1" applyFill="1" applyBorder="1" applyAlignment="1">
      <alignment horizontal="center"/>
      <protection/>
    </xf>
    <xf numFmtId="43" fontId="0" fillId="26" borderId="13" xfId="42" applyFont="1" applyFill="1" applyBorder="1" applyAlignment="1">
      <alignment/>
    </xf>
    <xf numFmtId="0" fontId="0" fillId="26" borderId="12" xfId="69" applyFont="1" applyFill="1" applyBorder="1" applyAlignment="1">
      <alignment vertical="top" wrapText="1"/>
      <protection/>
    </xf>
    <xf numFmtId="194" fontId="0" fillId="26" borderId="11" xfId="51" applyFont="1" applyFill="1" applyBorder="1" applyAlignment="1">
      <alignment/>
    </xf>
    <xf numFmtId="43" fontId="0" fillId="26" borderId="12" xfId="0" applyNumberFormat="1" applyFont="1" applyFill="1" applyBorder="1" applyAlignment="1">
      <alignment vertical="top"/>
    </xf>
    <xf numFmtId="0" fontId="0" fillId="26" borderId="12" xfId="69" applyFont="1" applyFill="1" applyBorder="1" quotePrefix="1">
      <alignment/>
      <protection/>
    </xf>
    <xf numFmtId="194" fontId="0" fillId="26" borderId="12" xfId="0" applyNumberFormat="1" applyFont="1" applyFill="1" applyBorder="1" applyAlignment="1">
      <alignment/>
    </xf>
    <xf numFmtId="194" fontId="0" fillId="26" borderId="0" xfId="0" applyNumberFormat="1" applyFont="1" applyFill="1" applyAlignment="1">
      <alignment/>
    </xf>
    <xf numFmtId="0" fontId="21" fillId="26" borderId="12" xfId="0" applyFont="1" applyFill="1" applyBorder="1" applyAlignment="1">
      <alignment vertical="center" wrapText="1"/>
    </xf>
    <xf numFmtId="0" fontId="27" fillId="26" borderId="12" xfId="69" applyFont="1" applyFill="1" applyBorder="1">
      <alignment/>
      <protection/>
    </xf>
    <xf numFmtId="194" fontId="27" fillId="26" borderId="12" xfId="69" applyNumberFormat="1" applyFont="1" applyFill="1" applyBorder="1">
      <alignment/>
      <protection/>
    </xf>
    <xf numFmtId="0" fontId="0" fillId="26" borderId="12" xfId="0" applyFont="1" applyFill="1" applyBorder="1" applyAlignment="1" quotePrefix="1">
      <alignment vertical="center" wrapText="1"/>
    </xf>
    <xf numFmtId="0" fontId="21" fillId="26" borderId="12" xfId="69" applyFont="1" applyFill="1" applyBorder="1" quotePrefix="1">
      <alignment/>
      <protection/>
    </xf>
    <xf numFmtId="194" fontId="0" fillId="26" borderId="12" xfId="69" applyNumberFormat="1" applyFont="1" applyFill="1" applyBorder="1">
      <alignment/>
      <protection/>
    </xf>
    <xf numFmtId="0" fontId="21" fillId="26" borderId="11" xfId="69" applyFont="1" applyFill="1" applyBorder="1">
      <alignment/>
      <protection/>
    </xf>
    <xf numFmtId="194" fontId="0" fillId="26" borderId="12" xfId="69" applyNumberFormat="1" applyFont="1" applyFill="1" applyBorder="1">
      <alignment/>
      <protection/>
    </xf>
    <xf numFmtId="0" fontId="2" fillId="26" borderId="12" xfId="69" applyFont="1" applyFill="1" applyBorder="1" quotePrefix="1">
      <alignment/>
      <protection/>
    </xf>
    <xf numFmtId="43" fontId="0" fillId="26" borderId="11" xfId="42" applyFont="1" applyFill="1" applyBorder="1" applyAlignment="1">
      <alignment vertical="top" wrapText="1"/>
    </xf>
    <xf numFmtId="194" fontId="0" fillId="26" borderId="11" xfId="51" applyFont="1" applyFill="1" applyBorder="1" applyAlignment="1">
      <alignment/>
    </xf>
    <xf numFmtId="0" fontId="16" fillId="26" borderId="11" xfId="69" applyFill="1" applyBorder="1">
      <alignment/>
      <protection/>
    </xf>
    <xf numFmtId="0" fontId="0" fillId="26" borderId="12" xfId="69" applyFont="1" applyFill="1" applyBorder="1" applyAlignment="1" quotePrefix="1">
      <alignment vertical="center"/>
      <protection/>
    </xf>
    <xf numFmtId="0" fontId="3" fillId="26" borderId="12" xfId="69" applyFont="1" applyFill="1" applyBorder="1">
      <alignment/>
      <protection/>
    </xf>
    <xf numFmtId="43" fontId="0" fillId="26" borderId="12" xfId="49" applyNumberFormat="1" applyFont="1" applyFill="1" applyBorder="1" applyAlignment="1">
      <alignment/>
    </xf>
    <xf numFmtId="0" fontId="0" fillId="26" borderId="12" xfId="49" applyNumberFormat="1" applyFont="1" applyFill="1" applyBorder="1" applyAlignment="1">
      <alignment horizontal="left" vertical="center"/>
    </xf>
    <xf numFmtId="194" fontId="3" fillId="26" borderId="11" xfId="49" applyFont="1" applyFill="1" applyBorder="1" applyAlignment="1">
      <alignment vertical="center" wrapText="1"/>
    </xf>
    <xf numFmtId="43" fontId="0" fillId="26" borderId="11" xfId="49" applyNumberFormat="1" applyFont="1" applyFill="1" applyBorder="1" applyAlignment="1">
      <alignment/>
    </xf>
    <xf numFmtId="194" fontId="3" fillId="26" borderId="12" xfId="49" applyFont="1" applyFill="1" applyBorder="1" applyAlignment="1">
      <alignment vertical="center" wrapText="1"/>
    </xf>
    <xf numFmtId="194" fontId="0" fillId="26" borderId="12" xfId="49" applyFont="1" applyFill="1" applyBorder="1" applyAlignment="1" quotePrefix="1">
      <alignment vertical="center" wrapText="1"/>
    </xf>
    <xf numFmtId="194" fontId="3" fillId="26" borderId="12" xfId="49" applyFont="1" applyFill="1" applyBorder="1" applyAlignment="1">
      <alignment horizontal="left" vertical="center" wrapText="1"/>
    </xf>
    <xf numFmtId="194" fontId="0" fillId="26" borderId="12" xfId="49" applyFont="1" applyFill="1" applyBorder="1" applyAlignment="1">
      <alignment horizontal="left" vertical="center"/>
    </xf>
    <xf numFmtId="194" fontId="0" fillId="26" borderId="12" xfId="49" applyFont="1" applyFill="1" applyBorder="1" applyAlignment="1">
      <alignment horizontal="left" vertical="top"/>
    </xf>
    <xf numFmtId="0" fontId="0" fillId="26" borderId="12" xfId="69" applyFont="1" applyFill="1" applyBorder="1" applyAlignment="1" quotePrefix="1">
      <alignment vertical="center"/>
      <protection/>
    </xf>
    <xf numFmtId="43" fontId="0" fillId="26" borderId="12" xfId="42" applyFont="1" applyFill="1" applyBorder="1" applyAlignment="1">
      <alignment vertical="top" wrapText="1"/>
    </xf>
    <xf numFmtId="43" fontId="0" fillId="26" borderId="12" xfId="42" applyFont="1" applyFill="1" applyBorder="1" applyAlignment="1">
      <alignment/>
    </xf>
    <xf numFmtId="43" fontId="0" fillId="26" borderId="12" xfId="49" applyNumberFormat="1" applyFont="1" applyFill="1" applyBorder="1" applyAlignment="1">
      <alignment/>
    </xf>
    <xf numFmtId="43" fontId="35" fillId="26" borderId="12" xfId="42" applyFont="1" applyFill="1" applyBorder="1" applyAlignment="1">
      <alignment/>
    </xf>
    <xf numFmtId="208" fontId="0" fillId="26" borderId="12" xfId="48" applyNumberFormat="1" applyFont="1" applyFill="1" applyBorder="1" applyAlignment="1" quotePrefix="1">
      <alignment vertical="center"/>
    </xf>
    <xf numFmtId="0" fontId="0" fillId="26" borderId="12" xfId="0" applyFont="1" applyFill="1" applyBorder="1" applyAlignment="1" quotePrefix="1">
      <alignment/>
    </xf>
    <xf numFmtId="194" fontId="0" fillId="26" borderId="0" xfId="69" applyNumberFormat="1" applyFont="1" applyFill="1" quotePrefix="1">
      <alignment/>
      <protection/>
    </xf>
    <xf numFmtId="0" fontId="0" fillId="26" borderId="13" xfId="69" applyFont="1" applyFill="1" applyBorder="1" applyAlignment="1" quotePrefix="1">
      <alignment vertical="center" wrapText="1"/>
      <protection/>
    </xf>
    <xf numFmtId="0" fontId="0" fillId="26" borderId="0" xfId="0" applyFont="1" applyFill="1" applyAlignment="1">
      <alignment/>
    </xf>
    <xf numFmtId="0" fontId="21" fillId="0" borderId="22" xfId="67" applyFont="1" applyBorder="1" applyAlignment="1">
      <alignment horizontal="center"/>
      <protection/>
    </xf>
    <xf numFmtId="0" fontId="21" fillId="26" borderId="22" xfId="67" applyFont="1" applyFill="1" applyBorder="1" applyAlignment="1">
      <alignment horizontal="center"/>
      <protection/>
    </xf>
    <xf numFmtId="43" fontId="21" fillId="0" borderId="12" xfId="42" applyNumberFormat="1" applyFont="1" applyBorder="1" applyAlignment="1" quotePrefix="1">
      <alignment wrapText="1"/>
    </xf>
    <xf numFmtId="43" fontId="0" fillId="0" borderId="15" xfId="42" applyNumberFormat="1" applyFont="1" applyBorder="1" applyAlignment="1" quotePrefix="1">
      <alignment wrapText="1"/>
    </xf>
    <xf numFmtId="43" fontId="21" fillId="26" borderId="12" xfId="0" applyNumberFormat="1" applyFont="1" applyFill="1" applyBorder="1" applyAlignment="1">
      <alignment/>
    </xf>
    <xf numFmtId="43" fontId="21" fillId="26" borderId="15" xfId="0" applyNumberFormat="1" applyFont="1" applyFill="1" applyBorder="1" applyAlignment="1">
      <alignment/>
    </xf>
    <xf numFmtId="43" fontId="21" fillId="26" borderId="31" xfId="0" applyNumberFormat="1" applyFont="1" applyFill="1" applyBorder="1" applyAlignment="1">
      <alignment/>
    </xf>
    <xf numFmtId="0" fontId="0" fillId="26" borderId="31" xfId="0" applyFill="1" applyBorder="1" applyAlignment="1">
      <alignment/>
    </xf>
    <xf numFmtId="0" fontId="21" fillId="26" borderId="19" xfId="0" applyFont="1" applyFill="1" applyBorder="1" applyAlignment="1">
      <alignment horizontal="center"/>
    </xf>
    <xf numFmtId="0" fontId="0" fillId="26" borderId="31" xfId="0" applyFont="1" applyFill="1" applyBorder="1" applyAlignment="1">
      <alignment horizontal="left" wrapText="1"/>
    </xf>
    <xf numFmtId="0" fontId="0" fillId="26" borderId="13" xfId="0" applyFont="1" applyFill="1" applyBorder="1" applyAlignment="1">
      <alignment horizontal="left" vertical="top" wrapText="1"/>
    </xf>
    <xf numFmtId="0" fontId="0" fillId="26" borderId="13" xfId="0" applyFont="1" applyFill="1" applyBorder="1" applyAlignment="1">
      <alignment wrapText="1"/>
    </xf>
    <xf numFmtId="0" fontId="0" fillId="0" borderId="13" xfId="0" applyFont="1" applyBorder="1" applyAlignment="1">
      <alignment vertical="top" wrapText="1"/>
    </xf>
    <xf numFmtId="43" fontId="36" fillId="0" borderId="0" xfId="42" applyFont="1" applyAlignment="1">
      <alignment/>
    </xf>
    <xf numFmtId="0" fontId="21" fillId="0" borderId="11" xfId="0" applyFont="1" applyBorder="1" applyAlignment="1" quotePrefix="1">
      <alignment horizontal="left" vertical="top" wrapText="1"/>
    </xf>
    <xf numFmtId="0" fontId="0" fillId="0" borderId="13" xfId="0" applyFont="1" applyBorder="1" applyAlignment="1">
      <alignment vertical="justify" wrapText="1"/>
    </xf>
    <xf numFmtId="208" fontId="0" fillId="0" borderId="13" xfId="42" applyNumberFormat="1" applyFont="1" applyBorder="1" applyAlignment="1">
      <alignment vertical="top"/>
    </xf>
    <xf numFmtId="43" fontId="0" fillId="0" borderId="13" xfId="42" applyFont="1" applyBorder="1" applyAlignment="1">
      <alignment/>
    </xf>
    <xf numFmtId="43" fontId="0" fillId="0" borderId="13" xfId="42" applyNumberFormat="1" applyFont="1" applyBorder="1" applyAlignment="1">
      <alignment vertical="top"/>
    </xf>
    <xf numFmtId="43" fontId="0" fillId="0" borderId="13" xfId="42" applyNumberFormat="1" applyFont="1" applyBorder="1" applyAlignment="1">
      <alignment/>
    </xf>
    <xf numFmtId="0" fontId="21" fillId="26" borderId="13" xfId="69" applyFont="1" applyFill="1" applyBorder="1" applyAlignment="1" quotePrefix="1">
      <alignment wrapText="1"/>
      <protection/>
    </xf>
    <xf numFmtId="0" fontId="0" fillId="0" borderId="11" xfId="67" applyFont="1" applyBorder="1" applyAlignment="1" quotePrefix="1">
      <alignment wrapText="1"/>
      <protection/>
    </xf>
    <xf numFmtId="0" fontId="0" fillId="26" borderId="11" xfId="0" applyFill="1" applyBorder="1" applyAlignment="1">
      <alignment horizontal="left" wrapText="1"/>
    </xf>
    <xf numFmtId="43" fontId="21" fillId="0" borderId="14" xfId="42" applyNumberFormat="1" applyFont="1" applyBorder="1" applyAlignment="1">
      <alignment horizontal="center"/>
    </xf>
    <xf numFmtId="43" fontId="0" fillId="0" borderId="31" xfId="42" applyNumberFormat="1" applyFont="1" applyBorder="1" applyAlignment="1">
      <alignment/>
    </xf>
    <xf numFmtId="0" fontId="0" fillId="26" borderId="31" xfId="69" applyFont="1" applyFill="1" applyBorder="1" applyAlignment="1" quotePrefix="1">
      <alignment wrapText="1"/>
      <protection/>
    </xf>
    <xf numFmtId="0" fontId="0" fillId="0" borderId="31" xfId="0" applyBorder="1" applyAlignment="1">
      <alignment horizontal="left"/>
    </xf>
    <xf numFmtId="43" fontId="21" fillId="0" borderId="19" xfId="42" applyNumberFormat="1" applyFont="1" applyBorder="1" applyAlignment="1">
      <alignment/>
    </xf>
    <xf numFmtId="43" fontId="0" fillId="26" borderId="13" xfId="42" applyNumberFormat="1" applyFont="1" applyFill="1" applyBorder="1" applyAlignment="1">
      <alignment/>
    </xf>
    <xf numFmtId="43" fontId="0" fillId="0" borderId="11" xfId="42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 quotePrefix="1">
      <alignment horizontal="left" vertical="top" wrapText="1"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8" fillId="26" borderId="11" xfId="0" applyFont="1" applyFill="1" applyBorder="1" applyAlignment="1">
      <alignment/>
    </xf>
    <xf numFmtId="0" fontId="59" fillId="0" borderId="12" xfId="0" applyFont="1" applyBorder="1" applyAlignment="1">
      <alignment/>
    </xf>
    <xf numFmtId="0" fontId="0" fillId="26" borderId="11" xfId="0" applyFill="1" applyBorder="1" applyAlignment="1">
      <alignment vertical="center" wrapText="1"/>
    </xf>
    <xf numFmtId="0" fontId="0" fillId="26" borderId="12" xfId="0" applyFont="1" applyFill="1" applyBorder="1" applyAlignment="1" quotePrefix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1" fillId="0" borderId="11" xfId="0" applyFont="1" applyFill="1" applyBorder="1" applyAlignment="1">
      <alignment horizontal="left"/>
    </xf>
    <xf numFmtId="194" fontId="2" fillId="26" borderId="12" xfId="50" applyFont="1" applyFill="1" applyBorder="1" applyAlignment="1">
      <alignment vertical="center" wrapText="1"/>
    </xf>
    <xf numFmtId="194" fontId="0" fillId="0" borderId="0" xfId="0" applyNumberFormat="1" applyFont="1" applyAlignment="1">
      <alignment/>
    </xf>
    <xf numFmtId="43" fontId="55" fillId="0" borderId="15" xfId="42" applyNumberFormat="1" applyFont="1" applyBorder="1" applyAlignment="1">
      <alignment wrapText="1"/>
    </xf>
    <xf numFmtId="43" fontId="0" fillId="0" borderId="0" xfId="42" applyNumberFormat="1" applyFont="1" applyBorder="1" applyAlignment="1">
      <alignment/>
    </xf>
    <xf numFmtId="0" fontId="0" fillId="0" borderId="12" xfId="0" applyFont="1" applyBorder="1" applyAlignment="1">
      <alignment vertical="center" wrapText="1"/>
    </xf>
    <xf numFmtId="43" fontId="0" fillId="26" borderId="15" xfId="42" applyFont="1" applyFill="1" applyBorder="1" applyAlignment="1">
      <alignment wrapText="1"/>
    </xf>
    <xf numFmtId="43" fontId="0" fillId="26" borderId="12" xfId="42" applyFont="1" applyFill="1" applyBorder="1" applyAlignment="1">
      <alignment vertical="top"/>
    </xf>
    <xf numFmtId="43" fontId="0" fillId="0" borderId="13" xfId="42" applyFont="1" applyBorder="1" applyAlignment="1">
      <alignment vertical="top"/>
    </xf>
    <xf numFmtId="43" fontId="0" fillId="0" borderId="12" xfId="42" applyFont="1" applyBorder="1" applyAlignment="1">
      <alignment vertical="top"/>
    </xf>
    <xf numFmtId="0" fontId="0" fillId="0" borderId="10" xfId="0" applyFont="1" applyFill="1" applyBorder="1" applyAlignment="1" quotePrefix="1">
      <alignment vertical="center"/>
    </xf>
    <xf numFmtId="208" fontId="0" fillId="0" borderId="11" xfId="42" applyNumberFormat="1" applyFont="1" applyFill="1" applyBorder="1" applyAlignment="1">
      <alignment vertical="top"/>
    </xf>
    <xf numFmtId="0" fontId="0" fillId="0" borderId="11" xfId="0" applyFont="1" applyFill="1" applyBorder="1" applyAlignment="1" quotePrefix="1">
      <alignment vertical="center"/>
    </xf>
    <xf numFmtId="0" fontId="0" fillId="0" borderId="11" xfId="0" applyFont="1" applyFill="1" applyBorder="1" applyAlignment="1" quotePrefix="1">
      <alignment vertical="top" wrapText="1"/>
    </xf>
    <xf numFmtId="0" fontId="0" fillId="0" borderId="12" xfId="0" applyFont="1" applyFill="1" applyBorder="1" applyAlignment="1">
      <alignment/>
    </xf>
    <xf numFmtId="43" fontId="0" fillId="0" borderId="12" xfId="42" applyFont="1" applyFill="1" applyBorder="1" applyAlignment="1">
      <alignment/>
    </xf>
    <xf numFmtId="43" fontId="0" fillId="0" borderId="11" xfId="42" applyNumberFormat="1" applyFont="1" applyFill="1" applyBorder="1" applyAlignment="1">
      <alignment/>
    </xf>
    <xf numFmtId="0" fontId="0" fillId="0" borderId="12" xfId="0" applyFont="1" applyFill="1" applyBorder="1" applyAlignment="1" quotePrefix="1">
      <alignment vertical="top" wrapText="1"/>
    </xf>
    <xf numFmtId="0" fontId="0" fillId="0" borderId="12" xfId="0" applyFont="1" applyFill="1" applyBorder="1" applyAlignment="1">
      <alignment vertical="top"/>
    </xf>
    <xf numFmtId="0" fontId="21" fillId="0" borderId="12" xfId="0" applyFont="1" applyFill="1" applyBorder="1" applyAlignment="1">
      <alignment/>
    </xf>
    <xf numFmtId="43" fontId="0" fillId="0" borderId="15" xfId="42" applyFont="1" applyFill="1" applyBorder="1" applyAlignment="1">
      <alignment/>
    </xf>
    <xf numFmtId="0" fontId="0" fillId="0" borderId="15" xfId="0" applyFont="1" applyFill="1" applyBorder="1" applyAlignment="1">
      <alignment/>
    </xf>
    <xf numFmtId="43" fontId="0" fillId="0" borderId="12" xfId="42" applyNumberFormat="1" applyFont="1" applyFill="1" applyBorder="1" applyAlignment="1">
      <alignment/>
    </xf>
    <xf numFmtId="43" fontId="0" fillId="0" borderId="11" xfId="42" applyFont="1" applyFill="1" applyBorder="1" applyAlignment="1">
      <alignment/>
    </xf>
    <xf numFmtId="0" fontId="0" fillId="0" borderId="15" xfId="0" applyFont="1" applyFill="1" applyBorder="1" applyAlignment="1">
      <alignment vertical="top"/>
    </xf>
    <xf numFmtId="43" fontId="0" fillId="0" borderId="15" xfId="42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43" fontId="0" fillId="0" borderId="11" xfId="42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59" fillId="0" borderId="15" xfId="0" applyFont="1" applyBorder="1" applyAlignment="1">
      <alignment/>
    </xf>
    <xf numFmtId="0" fontId="2" fillId="26" borderId="12" xfId="69" applyFont="1" applyFill="1" applyBorder="1" applyAlignment="1" quotePrefix="1">
      <alignment horizontal="center" wrapText="1"/>
      <protection/>
    </xf>
    <xf numFmtId="194" fontId="3" fillId="26" borderId="12" xfId="50" applyFont="1" applyFill="1" applyBorder="1" applyAlignment="1">
      <alignment vertical="center" wrapText="1"/>
    </xf>
    <xf numFmtId="43" fontId="0" fillId="26" borderId="13" xfId="0" applyNumberFormat="1" applyFont="1" applyFill="1" applyBorder="1" applyAlignment="1">
      <alignment/>
    </xf>
    <xf numFmtId="43" fontId="0" fillId="0" borderId="12" xfId="42" applyFont="1" applyBorder="1" applyAlignment="1">
      <alignment vertical="top" wrapText="1"/>
    </xf>
    <xf numFmtId="0" fontId="0" fillId="26" borderId="15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wrapText="1"/>
    </xf>
    <xf numFmtId="0" fontId="22" fillId="26" borderId="0" xfId="0" applyFont="1" applyFill="1" applyBorder="1" applyAlignment="1">
      <alignment wrapText="1"/>
    </xf>
    <xf numFmtId="43" fontId="22" fillId="26" borderId="12" xfId="42" applyFont="1" applyFill="1" applyBorder="1" applyAlignment="1">
      <alignment wrapText="1"/>
    </xf>
    <xf numFmtId="43" fontId="0" fillId="26" borderId="0" xfId="42" applyFont="1" applyFill="1" applyAlignment="1">
      <alignment vertical="top" wrapText="1"/>
    </xf>
    <xf numFmtId="0" fontId="0" fillId="26" borderId="13" xfId="0" applyFont="1" applyFill="1" applyBorder="1" applyAlignment="1" quotePrefix="1">
      <alignment vertical="center"/>
    </xf>
    <xf numFmtId="194" fontId="56" fillId="26" borderId="12" xfId="51" applyFont="1" applyFill="1" applyBorder="1" applyAlignment="1">
      <alignment/>
    </xf>
    <xf numFmtId="0" fontId="56" fillId="26" borderId="12" xfId="69" applyFont="1" applyFill="1" applyBorder="1">
      <alignment/>
      <protection/>
    </xf>
    <xf numFmtId="194" fontId="56" fillId="26" borderId="11" xfId="69" applyNumberFormat="1" applyFont="1" applyFill="1" applyBorder="1">
      <alignment/>
      <protection/>
    </xf>
    <xf numFmtId="43" fontId="2" fillId="26" borderId="29" xfId="42" applyFont="1" applyFill="1" applyBorder="1" applyAlignment="1">
      <alignment/>
    </xf>
    <xf numFmtId="0" fontId="60" fillId="26" borderId="15" xfId="0" applyFont="1" applyFill="1" applyBorder="1" applyAlignment="1">
      <alignment/>
    </xf>
    <xf numFmtId="194" fontId="2" fillId="26" borderId="12" xfId="49" applyFont="1" applyFill="1" applyBorder="1" applyAlignment="1">
      <alignment/>
    </xf>
    <xf numFmtId="194" fontId="2" fillId="26" borderId="0" xfId="49" applyFont="1" applyFill="1" applyBorder="1" applyAlignment="1">
      <alignment/>
    </xf>
    <xf numFmtId="43" fontId="2" fillId="26" borderId="13" xfId="0" applyNumberFormat="1" applyFont="1" applyFill="1" applyBorder="1" applyAlignment="1">
      <alignment/>
    </xf>
    <xf numFmtId="43" fontId="2" fillId="26" borderId="0" xfId="0" applyNumberFormat="1" applyFont="1" applyFill="1" applyBorder="1" applyAlignment="1">
      <alignment/>
    </xf>
    <xf numFmtId="43" fontId="0" fillId="26" borderId="10" xfId="0" applyNumberFormat="1" applyFont="1" applyFill="1" applyBorder="1" applyAlignment="1">
      <alignment/>
    </xf>
    <xf numFmtId="43" fontId="2" fillId="26" borderId="10" xfId="0" applyNumberFormat="1" applyFont="1" applyFill="1" applyBorder="1" applyAlignment="1">
      <alignment/>
    </xf>
    <xf numFmtId="194" fontId="3" fillId="26" borderId="32" xfId="49" applyFont="1" applyFill="1" applyBorder="1" applyAlignment="1">
      <alignment wrapText="1"/>
    </xf>
    <xf numFmtId="194" fontId="0" fillId="26" borderId="15" xfId="51" applyFont="1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43" fontId="56" fillId="26" borderId="11" xfId="42" applyFont="1" applyFill="1" applyBorder="1" applyAlignment="1">
      <alignment/>
    </xf>
    <xf numFmtId="43" fontId="0" fillId="26" borderId="12" xfId="0" applyNumberFormat="1" applyFont="1" applyFill="1" applyBorder="1" applyAlignment="1" quotePrefix="1">
      <alignment horizontal="left" vertical="top"/>
    </xf>
    <xf numFmtId="0" fontId="21" fillId="26" borderId="13" xfId="69" applyFont="1" applyFill="1" applyBorder="1" applyAlignment="1" quotePrefix="1">
      <alignment vertical="center"/>
      <protection/>
    </xf>
    <xf numFmtId="43" fontId="0" fillId="26" borderId="13" xfId="42" applyFont="1" applyFill="1" applyBorder="1" applyAlignment="1">
      <alignment/>
    </xf>
    <xf numFmtId="43" fontId="0" fillId="26" borderId="12" xfId="69" applyNumberFormat="1" applyFont="1" applyFill="1" applyBorder="1">
      <alignment/>
      <protection/>
    </xf>
    <xf numFmtId="43" fontId="55" fillId="26" borderId="12" xfId="42" applyFont="1" applyFill="1" applyBorder="1" applyAlignment="1">
      <alignment/>
    </xf>
    <xf numFmtId="43" fontId="0" fillId="0" borderId="11" xfId="42" applyFont="1" applyBorder="1" applyAlignment="1">
      <alignment vertical="top" wrapText="1"/>
    </xf>
    <xf numFmtId="43" fontId="0" fillId="26" borderId="33" xfId="42" applyFont="1" applyFill="1" applyBorder="1" applyAlignment="1">
      <alignment/>
    </xf>
    <xf numFmtId="43" fontId="61" fillId="26" borderId="12" xfId="42" applyFont="1" applyFill="1" applyBorder="1" applyAlignment="1">
      <alignment/>
    </xf>
    <xf numFmtId="43" fontId="0" fillId="26" borderId="12" xfId="0" applyNumberFormat="1" applyFill="1" applyBorder="1" applyAlignment="1">
      <alignment/>
    </xf>
    <xf numFmtId="0" fontId="62" fillId="26" borderId="0" xfId="0" applyFont="1" applyFill="1" applyAlignment="1">
      <alignment/>
    </xf>
    <xf numFmtId="43" fontId="63" fillId="26" borderId="12" xfId="69" applyNumberFormat="1" applyFont="1" applyFill="1" applyBorder="1">
      <alignment/>
      <protection/>
    </xf>
    <xf numFmtId="43" fontId="63" fillId="26" borderId="13" xfId="69" applyNumberFormat="1" applyFont="1" applyFill="1" applyBorder="1">
      <alignment/>
      <protection/>
    </xf>
    <xf numFmtId="209" fontId="21" fillId="0" borderId="19" xfId="42" applyNumberFormat="1" applyFont="1" applyBorder="1" applyAlignment="1">
      <alignment horizontal="center"/>
    </xf>
    <xf numFmtId="0" fontId="0" fillId="26" borderId="31" xfId="0" applyFont="1" applyFill="1" applyBorder="1" applyAlignment="1">
      <alignment vertical="top" wrapText="1"/>
    </xf>
    <xf numFmtId="0" fontId="0" fillId="0" borderId="34" xfId="0" applyFont="1" applyFill="1" applyBorder="1" applyAlignment="1" quotePrefix="1">
      <alignment vertical="center"/>
    </xf>
    <xf numFmtId="0" fontId="0" fillId="0" borderId="28" xfId="0" applyFont="1" applyFill="1" applyBorder="1" applyAlignment="1" quotePrefix="1">
      <alignment vertical="center"/>
    </xf>
    <xf numFmtId="0" fontId="0" fillId="0" borderId="28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26" borderId="29" xfId="0" applyFill="1" applyBorder="1" applyAlignment="1">
      <alignment horizontal="left"/>
    </xf>
    <xf numFmtId="0" fontId="0" fillId="26" borderId="24" xfId="0" applyFont="1" applyFill="1" applyBorder="1" applyAlignment="1">
      <alignment horizontal="left"/>
    </xf>
    <xf numFmtId="0" fontId="0" fillId="0" borderId="35" xfId="0" applyBorder="1" applyAlignment="1">
      <alignment/>
    </xf>
    <xf numFmtId="0" fontId="64" fillId="26" borderId="12" xfId="0" applyFont="1" applyFill="1" applyBorder="1" applyAlignment="1">
      <alignment/>
    </xf>
    <xf numFmtId="0" fontId="61" fillId="26" borderId="12" xfId="0" applyFont="1" applyFill="1" applyBorder="1" applyAlignment="1">
      <alignment/>
    </xf>
    <xf numFmtId="0" fontId="0" fillId="0" borderId="29" xfId="0" applyFont="1" applyFill="1" applyBorder="1" applyAlignment="1">
      <alignment horizontal="left" wrapText="1"/>
    </xf>
    <xf numFmtId="0" fontId="21" fillId="27" borderId="13" xfId="69" applyFont="1" applyFill="1" applyBorder="1">
      <alignment/>
      <protection/>
    </xf>
    <xf numFmtId="43" fontId="0" fillId="27" borderId="13" xfId="42" applyFont="1" applyFill="1" applyBorder="1" applyAlignment="1">
      <alignment/>
    </xf>
    <xf numFmtId="43" fontId="0" fillId="27" borderId="12" xfId="42" applyFont="1" applyFill="1" applyBorder="1" applyAlignment="1">
      <alignment/>
    </xf>
    <xf numFmtId="43" fontId="0" fillId="27" borderId="26" xfId="42" applyFont="1" applyFill="1" applyBorder="1" applyAlignment="1">
      <alignment/>
    </xf>
    <xf numFmtId="194" fontId="0" fillId="27" borderId="12" xfId="51" applyFont="1" applyFill="1" applyBorder="1" applyAlignment="1">
      <alignment/>
    </xf>
    <xf numFmtId="194" fontId="0" fillId="27" borderId="12" xfId="49" applyFont="1" applyFill="1" applyBorder="1" applyAlignment="1">
      <alignment horizontal="left" vertical="center"/>
    </xf>
    <xf numFmtId="43" fontId="35" fillId="26" borderId="36" xfId="42" applyFont="1" applyFill="1" applyBorder="1" applyAlignment="1">
      <alignment/>
    </xf>
    <xf numFmtId="0" fontId="21" fillId="0" borderId="20" xfId="67" applyFont="1" applyBorder="1" applyAlignment="1">
      <alignment horizontal="center" wrapText="1"/>
      <protection/>
    </xf>
    <xf numFmtId="0" fontId="0" fillId="0" borderId="0" xfId="67" applyAlignment="1">
      <alignment vertical="top" wrapText="1"/>
      <protection/>
    </xf>
    <xf numFmtId="0" fontId="0" fillId="0" borderId="0" xfId="67" applyAlignment="1">
      <alignment horizontal="center"/>
      <protection/>
    </xf>
    <xf numFmtId="0" fontId="21" fillId="0" borderId="20" xfId="67" applyFont="1" applyBorder="1" applyAlignment="1">
      <alignment horizontal="center"/>
      <protection/>
    </xf>
    <xf numFmtId="0" fontId="21" fillId="0" borderId="10" xfId="67" applyFont="1" applyBorder="1" applyAlignment="1" quotePrefix="1">
      <alignment horizontal="left" vertical="top" wrapText="1"/>
      <protection/>
    </xf>
    <xf numFmtId="0" fontId="0" fillId="0" borderId="10" xfId="67" applyBorder="1" applyAlignment="1" quotePrefix="1">
      <alignment vertical="top" wrapText="1"/>
      <protection/>
    </xf>
    <xf numFmtId="0" fontId="21" fillId="0" borderId="15" xfId="67" applyFont="1" applyBorder="1" applyAlignment="1" quotePrefix="1">
      <alignment horizontal="left" vertical="top" wrapText="1"/>
      <protection/>
    </xf>
    <xf numFmtId="0" fontId="0" fillId="0" borderId="15" xfId="67" applyFont="1" applyBorder="1" applyAlignment="1" quotePrefix="1">
      <alignment vertical="top" wrapText="1"/>
      <protection/>
    </xf>
    <xf numFmtId="0" fontId="0" fillId="0" borderId="13" xfId="67" applyFont="1" applyBorder="1" applyAlignment="1" quotePrefix="1">
      <alignment vertical="top" wrapText="1"/>
      <protection/>
    </xf>
    <xf numFmtId="0" fontId="0" fillId="0" borderId="15" xfId="67" applyBorder="1">
      <alignment/>
      <protection/>
    </xf>
    <xf numFmtId="0" fontId="0" fillId="0" borderId="12" xfId="67" applyFont="1" applyBorder="1" applyAlignment="1" quotePrefix="1">
      <alignment horizontal="left" wrapText="1"/>
      <protection/>
    </xf>
    <xf numFmtId="0" fontId="0" fillId="0" borderId="12" xfId="67" applyFont="1" applyBorder="1" applyAlignment="1" quotePrefix="1">
      <alignment wrapText="1"/>
      <protection/>
    </xf>
    <xf numFmtId="0" fontId="0" fillId="0" borderId="12" xfId="67" applyBorder="1">
      <alignment/>
      <protection/>
    </xf>
    <xf numFmtId="43" fontId="0" fillId="0" borderId="26" xfId="42" applyNumberFormat="1" applyFont="1" applyBorder="1" applyAlignment="1" quotePrefix="1">
      <alignment horizontal="left" wrapText="1"/>
    </xf>
    <xf numFmtId="43" fontId="0" fillId="0" borderId="12" xfId="42" applyNumberFormat="1" applyFont="1" applyBorder="1" applyAlignment="1" quotePrefix="1">
      <alignment horizontal="left" wrapText="1"/>
    </xf>
    <xf numFmtId="0" fontId="21" fillId="0" borderId="14" xfId="67" applyFont="1" applyBorder="1" applyAlignment="1">
      <alignment horizontal="center" wrapText="1"/>
      <protection/>
    </xf>
    <xf numFmtId="0" fontId="0" fillId="0" borderId="14" xfId="67" applyFont="1" applyBorder="1" applyAlignment="1" quotePrefix="1">
      <alignment wrapText="1"/>
      <protection/>
    </xf>
    <xf numFmtId="0" fontId="21" fillId="0" borderId="15" xfId="67" applyFont="1" applyFill="1" applyBorder="1" applyAlignment="1">
      <alignment horizontal="left" wrapText="1"/>
      <protection/>
    </xf>
    <xf numFmtId="0" fontId="0" fillId="26" borderId="12" xfId="67" applyFont="1" applyFill="1" applyBorder="1" applyAlignment="1">
      <alignment vertical="center" wrapText="1"/>
      <protection/>
    </xf>
    <xf numFmtId="0" fontId="0" fillId="0" borderId="13" xfId="67" applyBorder="1">
      <alignment/>
      <protection/>
    </xf>
    <xf numFmtId="0" fontId="0" fillId="0" borderId="12" xfId="67" applyFont="1" applyBorder="1" applyAlignment="1">
      <alignment wrapText="1"/>
      <protection/>
    </xf>
    <xf numFmtId="9" fontId="0" fillId="0" borderId="12" xfId="67" applyNumberFormat="1" applyBorder="1" applyAlignment="1">
      <alignment horizontal="center"/>
      <protection/>
    </xf>
    <xf numFmtId="0" fontId="0" fillId="0" borderId="12" xfId="67" applyFont="1" applyFill="1" applyBorder="1" applyAlignment="1">
      <alignment horizontal="left" wrapText="1"/>
      <protection/>
    </xf>
    <xf numFmtId="0" fontId="0" fillId="0" borderId="12" xfId="67" applyFont="1" applyFill="1" applyBorder="1" applyAlignment="1">
      <alignment wrapText="1"/>
      <protection/>
    </xf>
    <xf numFmtId="0" fontId="0" fillId="0" borderId="12" xfId="67" applyFont="1" applyFill="1" applyBorder="1" applyAlignment="1">
      <alignment vertical="center" wrapText="1"/>
      <protection/>
    </xf>
    <xf numFmtId="0" fontId="0" fillId="0" borderId="12" xfId="67" applyFont="1" applyBorder="1" applyAlignment="1" quotePrefix="1">
      <alignment horizontal="center" wrapText="1"/>
      <protection/>
    </xf>
    <xf numFmtId="0" fontId="0" fillId="0" borderId="13" xfId="67" applyBorder="1" applyAlignment="1">
      <alignment/>
      <protection/>
    </xf>
    <xf numFmtId="0" fontId="0" fillId="0" borderId="15" xfId="67" applyBorder="1" applyAlignment="1">
      <alignment wrapText="1"/>
      <protection/>
    </xf>
    <xf numFmtId="0" fontId="0" fillId="0" borderId="12" xfId="67" applyBorder="1" applyAlignment="1">
      <alignment wrapText="1"/>
      <protection/>
    </xf>
    <xf numFmtId="0" fontId="0" fillId="0" borderId="13" xfId="67" applyFont="1" applyBorder="1" applyAlignment="1" quotePrefix="1">
      <alignment wrapText="1"/>
      <protection/>
    </xf>
    <xf numFmtId="0" fontId="0" fillId="0" borderId="12" xfId="67" applyFont="1" applyBorder="1" applyAlignment="1" quotePrefix="1">
      <alignment vertical="top" wrapText="1"/>
      <protection/>
    </xf>
    <xf numFmtId="43" fontId="0" fillId="0" borderId="14" xfId="67" applyNumberFormat="1" applyBorder="1" applyAlignment="1">
      <alignment wrapText="1"/>
      <protection/>
    </xf>
    <xf numFmtId="0" fontId="0" fillId="0" borderId="14" xfId="67" applyFont="1" applyBorder="1" applyAlignment="1" quotePrefix="1">
      <alignment vertical="top" wrapText="1"/>
      <protection/>
    </xf>
    <xf numFmtId="0" fontId="0" fillId="0" borderId="11" xfId="67" applyBorder="1" applyAlignment="1">
      <alignment wrapText="1"/>
      <protection/>
    </xf>
    <xf numFmtId="0" fontId="0" fillId="0" borderId="11" xfId="67" applyFont="1" applyBorder="1" applyAlignment="1" quotePrefix="1">
      <alignment vertical="top" wrapText="1"/>
      <protection/>
    </xf>
    <xf numFmtId="0" fontId="0" fillId="0" borderId="13" xfId="67" applyFont="1" applyFill="1" applyBorder="1" applyAlignment="1">
      <alignment vertical="center" wrapText="1"/>
      <protection/>
    </xf>
    <xf numFmtId="0" fontId="0" fillId="0" borderId="13" xfId="67" applyBorder="1" applyAlignment="1">
      <alignment wrapText="1"/>
      <protection/>
    </xf>
    <xf numFmtId="0" fontId="0" fillId="0" borderId="14" xfId="67" applyBorder="1" applyAlignment="1">
      <alignment wrapText="1"/>
      <protection/>
    </xf>
    <xf numFmtId="0" fontId="0" fillId="0" borderId="15" xfId="67" applyFont="1" applyBorder="1" applyAlignment="1" quotePrefix="1">
      <alignment wrapText="1"/>
      <protection/>
    </xf>
    <xf numFmtId="0" fontId="21" fillId="0" borderId="11" xfId="67" applyFont="1" applyBorder="1" applyAlignment="1">
      <alignment wrapText="1"/>
      <protection/>
    </xf>
    <xf numFmtId="0" fontId="0" fillId="0" borderId="15" xfId="67" applyFont="1" applyBorder="1" applyAlignment="1">
      <alignment wrapText="1"/>
      <protection/>
    </xf>
    <xf numFmtId="0" fontId="21" fillId="0" borderId="12" xfId="70" applyFont="1" applyFill="1" applyBorder="1" applyAlignment="1" quotePrefix="1">
      <alignment/>
      <protection/>
    </xf>
    <xf numFmtId="0" fontId="21" fillId="0" borderId="15" xfId="67" applyFont="1" applyBorder="1" applyAlignment="1" quotePrefix="1">
      <alignment wrapText="1"/>
      <protection/>
    </xf>
    <xf numFmtId="0" fontId="0" fillId="0" borderId="13" xfId="70" applyFont="1" applyFill="1" applyBorder="1" applyAlignment="1" quotePrefix="1">
      <alignment vertical="center"/>
      <protection/>
    </xf>
    <xf numFmtId="0" fontId="0" fillId="0" borderId="12" xfId="70" applyFont="1" applyFill="1" applyBorder="1" applyAlignment="1" quotePrefix="1">
      <alignment vertical="center"/>
      <protection/>
    </xf>
    <xf numFmtId="0" fontId="0" fillId="0" borderId="11" xfId="67" applyFont="1" applyFill="1" applyBorder="1" applyAlignment="1">
      <alignment wrapText="1"/>
      <protection/>
    </xf>
    <xf numFmtId="0" fontId="0" fillId="0" borderId="25" xfId="67" applyFont="1" applyBorder="1" applyAlignment="1">
      <alignment wrapText="1"/>
      <protection/>
    </xf>
    <xf numFmtId="0" fontId="0" fillId="0" borderId="15" xfId="70" applyFont="1" applyFill="1" applyBorder="1" applyAlignment="1" quotePrefix="1">
      <alignment vertical="center"/>
      <protection/>
    </xf>
    <xf numFmtId="0" fontId="21" fillId="0" borderId="14" xfId="67" applyFont="1" applyBorder="1" applyAlignment="1">
      <alignment horizontal="center" vertical="top" wrapText="1"/>
      <protection/>
    </xf>
    <xf numFmtId="0" fontId="0" fillId="0" borderId="14" xfId="67" applyFont="1" applyBorder="1" applyAlignment="1">
      <alignment wrapText="1"/>
      <protection/>
    </xf>
    <xf numFmtId="0" fontId="21" fillId="0" borderId="19" xfId="67" applyFont="1" applyBorder="1" applyAlignment="1">
      <alignment wrapText="1"/>
      <protection/>
    </xf>
    <xf numFmtId="0" fontId="21" fillId="0" borderId="19" xfId="67" applyFont="1" applyBorder="1" applyAlignment="1">
      <alignment horizontal="center" vertical="top" wrapText="1"/>
      <protection/>
    </xf>
    <xf numFmtId="0" fontId="0" fillId="0" borderId="19" xfId="67" applyBorder="1" applyAlignment="1">
      <alignment vertical="top" wrapText="1"/>
      <protection/>
    </xf>
    <xf numFmtId="0" fontId="0" fillId="0" borderId="19" xfId="67" applyBorder="1">
      <alignment/>
      <protection/>
    </xf>
    <xf numFmtId="194" fontId="0" fillId="0" borderId="0" xfId="67" applyNumberFormat="1" applyAlignment="1">
      <alignment vertical="top" wrapText="1"/>
      <protection/>
    </xf>
    <xf numFmtId="43" fontId="0" fillId="0" borderId="0" xfId="67" applyNumberFormat="1" applyAlignment="1">
      <alignment vertical="top" wrapText="1"/>
      <protection/>
    </xf>
    <xf numFmtId="0" fontId="21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194" fontId="3" fillId="0" borderId="0" xfId="49" applyFont="1" applyAlignment="1">
      <alignment horizontal="center" vertical="center" wrapText="1"/>
    </xf>
    <xf numFmtId="194" fontId="2" fillId="26" borderId="0" xfId="50" applyFont="1" applyFill="1" applyBorder="1" applyAlignment="1">
      <alignment horizontal="left" vertical="center" wrapText="1"/>
    </xf>
    <xf numFmtId="0" fontId="21" fillId="26" borderId="13" xfId="69" applyFont="1" applyFill="1" applyBorder="1" applyAlignment="1" quotePrefix="1">
      <alignment horizontal="left" vertical="center"/>
      <protection/>
    </xf>
    <xf numFmtId="0" fontId="21" fillId="26" borderId="11" xfId="69" applyFont="1" applyFill="1" applyBorder="1" applyAlignment="1" quotePrefix="1">
      <alignment horizontal="left" vertical="center"/>
      <protection/>
    </xf>
    <xf numFmtId="0" fontId="0" fillId="26" borderId="13" xfId="69" applyFont="1" applyFill="1" applyBorder="1" applyAlignment="1" quotePrefix="1">
      <alignment horizontal="left" vertical="center"/>
      <protection/>
    </xf>
    <xf numFmtId="0" fontId="0" fillId="26" borderId="11" xfId="69" applyFont="1" applyFill="1" applyBorder="1" applyAlignment="1" quotePrefix="1">
      <alignment horizontal="left" vertical="center"/>
      <protection/>
    </xf>
    <xf numFmtId="0" fontId="0" fillId="26" borderId="13" xfId="0" applyFont="1" applyFill="1" applyBorder="1" applyAlignment="1" quotePrefix="1">
      <alignment horizontal="left" vertical="center"/>
    </xf>
    <xf numFmtId="0" fontId="0" fillId="26" borderId="11" xfId="0" applyFont="1" applyFill="1" applyBorder="1" applyAlignment="1" quotePrefix="1">
      <alignment horizontal="left" vertical="center"/>
    </xf>
    <xf numFmtId="0" fontId="0" fillId="26" borderId="13" xfId="69" applyFont="1" applyFill="1" applyBorder="1" applyAlignment="1" quotePrefix="1">
      <alignment horizontal="left" vertical="center"/>
      <protection/>
    </xf>
    <xf numFmtId="0" fontId="0" fillId="26" borderId="11" xfId="69" applyFont="1" applyFill="1" applyBorder="1" applyAlignment="1" quotePrefix="1">
      <alignment horizontal="left" vertical="center"/>
      <protection/>
    </xf>
    <xf numFmtId="0" fontId="21" fillId="26" borderId="15" xfId="69" applyFont="1" applyFill="1" applyBorder="1" applyAlignment="1" quotePrefix="1">
      <alignment horizontal="left" vertical="center"/>
      <protection/>
    </xf>
    <xf numFmtId="0" fontId="0" fillId="26" borderId="13" xfId="69" applyFont="1" applyFill="1" applyBorder="1" applyAlignment="1" quotePrefix="1">
      <alignment horizontal="left" vertical="center" wrapText="1"/>
      <protection/>
    </xf>
    <xf numFmtId="0" fontId="0" fillId="26" borderId="11" xfId="69" applyFont="1" applyFill="1" applyBorder="1" applyAlignment="1" quotePrefix="1">
      <alignment horizontal="left" vertical="center" wrapText="1"/>
      <protection/>
    </xf>
    <xf numFmtId="0" fontId="21" fillId="26" borderId="0" xfId="69" applyFont="1" applyFill="1" applyAlignment="1">
      <alignment horizontal="center"/>
      <protection/>
    </xf>
    <xf numFmtId="0" fontId="21" fillId="26" borderId="0" xfId="69" applyFont="1" applyFill="1" applyBorder="1" applyAlignment="1">
      <alignment horizontal="center"/>
      <protection/>
    </xf>
    <xf numFmtId="0" fontId="29" fillId="26" borderId="32" xfId="69" applyFont="1" applyFill="1" applyBorder="1" applyAlignment="1">
      <alignment horizontal="center"/>
      <protection/>
    </xf>
    <xf numFmtId="0" fontId="30" fillId="26" borderId="20" xfId="0" applyFont="1" applyFill="1" applyBorder="1" applyAlignment="1">
      <alignment horizontal="center"/>
    </xf>
    <xf numFmtId="0" fontId="21" fillId="26" borderId="37" xfId="69" applyFont="1" applyFill="1" applyBorder="1" applyAlignment="1">
      <alignment horizontal="center"/>
      <protection/>
    </xf>
    <xf numFmtId="0" fontId="21" fillId="26" borderId="18" xfId="69" applyFont="1" applyFill="1" applyBorder="1" applyAlignment="1">
      <alignment horizontal="center"/>
      <protection/>
    </xf>
    <xf numFmtId="0" fontId="21" fillId="26" borderId="23" xfId="69" applyFont="1" applyFill="1" applyBorder="1" applyAlignment="1">
      <alignment horizontal="center"/>
      <protection/>
    </xf>
    <xf numFmtId="194" fontId="21" fillId="26" borderId="32" xfId="51" applyFont="1" applyFill="1" applyBorder="1" applyAlignment="1">
      <alignment horizontal="center" vertical="center"/>
    </xf>
    <xf numFmtId="0" fontId="0" fillId="26" borderId="20" xfId="0" applyFont="1" applyFill="1" applyBorder="1" applyAlignment="1">
      <alignment horizontal="center" vertical="center"/>
    </xf>
    <xf numFmtId="0" fontId="21" fillId="26" borderId="32" xfId="69" applyFont="1" applyFill="1" applyBorder="1" applyAlignment="1">
      <alignment horizontal="center" vertical="center"/>
      <protection/>
    </xf>
    <xf numFmtId="0" fontId="0" fillId="26" borderId="13" xfId="69" applyFont="1" applyFill="1" applyBorder="1" applyAlignment="1">
      <alignment horizontal="left" vertical="top" wrapText="1"/>
      <protection/>
    </xf>
    <xf numFmtId="0" fontId="0" fillId="26" borderId="15" xfId="69" applyFont="1" applyFill="1" applyBorder="1" applyAlignment="1">
      <alignment horizontal="left" vertical="top" wrapText="1"/>
      <protection/>
    </xf>
    <xf numFmtId="0" fontId="3" fillId="0" borderId="0" xfId="67" applyFont="1" applyAlignment="1">
      <alignment horizontal="center"/>
      <protection/>
    </xf>
    <xf numFmtId="0" fontId="3" fillId="0" borderId="0" xfId="67" applyFont="1" applyAlignment="1" quotePrefix="1">
      <alignment horizontal="center"/>
      <protection/>
    </xf>
    <xf numFmtId="0" fontId="21" fillId="0" borderId="32" xfId="67" applyFont="1" applyBorder="1" applyAlignment="1">
      <alignment horizontal="center" vertical="center" wrapText="1"/>
      <protection/>
    </xf>
    <xf numFmtId="0" fontId="21" fillId="0" borderId="20" xfId="67" applyFont="1" applyBorder="1" applyAlignment="1">
      <alignment horizontal="center" vertical="center" wrapText="1"/>
      <protection/>
    </xf>
    <xf numFmtId="0" fontId="21" fillId="0" borderId="37" xfId="67" applyFont="1" applyBorder="1" applyAlignment="1">
      <alignment horizontal="center" vertical="center" wrapText="1"/>
      <protection/>
    </xf>
    <xf numFmtId="0" fontId="21" fillId="0" borderId="18" xfId="67" applyFont="1" applyBorder="1" applyAlignment="1">
      <alignment horizontal="center" vertical="center" wrapText="1"/>
      <protection/>
    </xf>
    <xf numFmtId="0" fontId="21" fillId="0" borderId="23" xfId="67" applyFont="1" applyBorder="1" applyAlignment="1">
      <alignment horizontal="center" vertical="center" wrapText="1"/>
      <protection/>
    </xf>
    <xf numFmtId="0" fontId="21" fillId="0" borderId="32" xfId="67" applyFont="1" applyBorder="1" applyAlignment="1">
      <alignment horizontal="center" wrapText="1"/>
      <protection/>
    </xf>
    <xf numFmtId="0" fontId="21" fillId="0" borderId="20" xfId="67" applyFont="1" applyBorder="1" applyAlignment="1">
      <alignment horizontal="center" wrapText="1"/>
      <protection/>
    </xf>
    <xf numFmtId="0" fontId="21" fillId="0" borderId="32" xfId="67" applyFont="1" applyBorder="1" applyAlignment="1">
      <alignment wrapText="1"/>
      <protection/>
    </xf>
    <xf numFmtId="0" fontId="21" fillId="0" borderId="20" xfId="67" applyFont="1" applyBorder="1" applyAlignment="1">
      <alignment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21" fillId="0" borderId="3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21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wrapText="1"/>
    </xf>
    <xf numFmtId="0" fontId="21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26" borderId="32" xfId="0" applyFont="1" applyFill="1" applyBorder="1" applyAlignment="1">
      <alignment horizontal="center" vertical="center"/>
    </xf>
    <xf numFmtId="0" fontId="21" fillId="26" borderId="20" xfId="0" applyFont="1" applyFill="1" applyBorder="1" applyAlignment="1">
      <alignment horizontal="center" vertical="center"/>
    </xf>
    <xf numFmtId="0" fontId="21" fillId="0" borderId="32" xfId="67" applyFont="1" applyBorder="1" applyAlignment="1">
      <alignment horizontal="center" vertical="center"/>
      <protection/>
    </xf>
    <xf numFmtId="0" fontId="21" fillId="0" borderId="20" xfId="67" applyFont="1" applyBorder="1" applyAlignment="1">
      <alignment horizontal="center" vertical="center"/>
      <protection/>
    </xf>
    <xf numFmtId="0" fontId="21" fillId="0" borderId="37" xfId="67" applyFont="1" applyBorder="1" applyAlignment="1">
      <alignment horizontal="center" vertical="center"/>
      <protection/>
    </xf>
    <xf numFmtId="0" fontId="21" fillId="0" borderId="18" xfId="67" applyFont="1" applyBorder="1" applyAlignment="1">
      <alignment horizontal="center" vertical="center"/>
      <protection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Alignment="1" quotePrefix="1">
      <alignment horizontal="center" vertical="top" wrapText="1"/>
    </xf>
    <xf numFmtId="0" fontId="21" fillId="0" borderId="32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37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_Annual TICP Report 2005" xfId="48"/>
    <cellStyle name="Comma_grant-contributions09" xfId="49"/>
    <cellStyle name="Comma_grant-contributions09 2" xfId="50"/>
    <cellStyle name="Comma_sector-valluelao4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_grant-contributions09" xfId="68"/>
    <cellStyle name="Normal_sector-valluelao4" xfId="69"/>
    <cellStyle name="Normal_sector-valluelao4 2" xfId="70"/>
    <cellStyle name="Normal_ตารางมค-มิย.50" xfId="71"/>
    <cellStyle name="Note" xfId="72"/>
    <cellStyle name="Output" xfId="73"/>
    <cellStyle name="Percent" xfId="74"/>
    <cellStyle name="Percent 2" xfId="75"/>
    <cellStyle name="Percent 3" xfId="76"/>
    <cellStyle name="Title" xfId="77"/>
    <cellStyle name="Total" xfId="78"/>
    <cellStyle name="Warning Text" xfId="79"/>
    <cellStyle name="ปกติ_4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19;&#3634;&#3618;&#3621;&#3632;&#3648;&#3629;&#3637;&#3618;&#3604;&#3585;&#3634;&#3619;&#3592;&#3657;&#3634;&#3591;&#3611;&#3637;60-61\&#3619;&#3623;&#3617;&#3605;&#3633;&#3623;&#3648;&#3621;&#3586;&#3626;&#3614;&#3619;.&#3649;&#3610;&#3610;&#3605;&#3656;&#3634;&#3591;&#3654;\Downloads\other-20130925-105802-277795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I"/>
      <sheetName val="AnII"/>
      <sheetName val="ApIII"/>
      <sheetName val="ApIV"/>
      <sheetName val="ApV"/>
      <sheetName val="AnVI"/>
      <sheetName val="ApVII"/>
      <sheetName val="ApVIII"/>
      <sheetName val="ApIX"/>
      <sheetName val="ApX"/>
      <sheetName val="AnXI"/>
      <sheetName val="ApXII"/>
      <sheetName val="ApXIII"/>
      <sheetName val="Framework"/>
      <sheetName val="ApX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5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2" sqref="C12"/>
    </sheetView>
  </sheetViews>
  <sheetFormatPr defaultColWidth="9.140625" defaultRowHeight="20.25" customHeight="1"/>
  <cols>
    <col min="1" max="1" width="57.8515625" style="95" customWidth="1"/>
    <col min="2" max="2" width="18.7109375" style="95" customWidth="1"/>
    <col min="3" max="3" width="19.00390625" style="95" customWidth="1"/>
    <col min="4" max="4" width="17.00390625" style="95" customWidth="1"/>
    <col min="5" max="5" width="18.57421875" style="95" customWidth="1"/>
    <col min="6" max="6" width="14.57421875" style="95" customWidth="1"/>
    <col min="7" max="7" width="20.8515625" style="95" customWidth="1"/>
    <col min="8" max="11" width="9.140625" style="95" customWidth="1"/>
    <col min="12" max="16384" width="9.140625" style="95" customWidth="1"/>
  </cols>
  <sheetData>
    <row r="1" spans="1:6" ht="31.5" customHeight="1">
      <c r="A1" s="727" t="s">
        <v>356</v>
      </c>
      <c r="B1" s="727"/>
      <c r="C1" s="727"/>
      <c r="D1" s="727"/>
      <c r="E1" s="727"/>
      <c r="F1" s="216"/>
    </row>
    <row r="2" spans="1:5" ht="25.5" customHeight="1">
      <c r="A2" s="139"/>
      <c r="B2" s="139"/>
      <c r="C2" s="139"/>
      <c r="D2" s="139"/>
      <c r="E2" s="140"/>
    </row>
    <row r="3" spans="1:26" ht="51" customHeight="1">
      <c r="A3" s="211" t="s">
        <v>57</v>
      </c>
      <c r="B3" s="238" t="s">
        <v>58</v>
      </c>
      <c r="C3" s="238" t="s">
        <v>59</v>
      </c>
      <c r="D3" s="212" t="s">
        <v>60</v>
      </c>
      <c r="E3" s="239" t="s">
        <v>61</v>
      </c>
      <c r="F3" s="97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59.25" customHeight="1">
      <c r="A4" s="263" t="s">
        <v>227</v>
      </c>
      <c r="B4" s="630">
        <v>115913357.54</v>
      </c>
      <c r="C4" s="631"/>
      <c r="D4" s="632">
        <v>447009084.15999997</v>
      </c>
      <c r="E4" s="633">
        <f aca="true" t="shared" si="0" ref="E4:E18">SUM(B4:D4)</f>
        <v>562922441.6999999</v>
      </c>
      <c r="F4" s="96"/>
      <c r="G4" s="97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ht="24.75" customHeight="1">
      <c r="A5" s="194" t="s">
        <v>75</v>
      </c>
      <c r="B5" s="210">
        <v>7650052.890000001</v>
      </c>
      <c r="C5" s="264">
        <v>122786680.16999999</v>
      </c>
      <c r="D5" s="209"/>
      <c r="E5" s="319">
        <f t="shared" si="0"/>
        <v>130436733.05999999</v>
      </c>
      <c r="F5" s="97"/>
      <c r="G5" s="24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 ht="24.75" customHeight="1">
      <c r="A6" s="262" t="s">
        <v>142</v>
      </c>
      <c r="B6" s="210">
        <v>499102300</v>
      </c>
      <c r="C6" s="209">
        <v>32873027.32</v>
      </c>
      <c r="D6" s="209"/>
      <c r="E6" s="319">
        <f t="shared" si="0"/>
        <v>531975327.32</v>
      </c>
      <c r="F6" s="97"/>
      <c r="G6" s="97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ht="24.75" customHeight="1">
      <c r="A7" s="300" t="s">
        <v>62</v>
      </c>
      <c r="B7" s="301">
        <v>803716101</v>
      </c>
      <c r="C7" s="302"/>
      <c r="D7" s="303"/>
      <c r="E7" s="304">
        <f t="shared" si="0"/>
        <v>803716101</v>
      </c>
      <c r="F7" s="96"/>
      <c r="G7" s="24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1:26" ht="24.75" customHeight="1">
      <c r="A8" s="627" t="s">
        <v>63</v>
      </c>
      <c r="B8" s="628">
        <v>14750357</v>
      </c>
      <c r="C8" s="629">
        <v>2625500</v>
      </c>
      <c r="D8" s="209"/>
      <c r="E8" s="319">
        <f t="shared" si="0"/>
        <v>17375857</v>
      </c>
      <c r="F8" s="96"/>
      <c r="G8" s="24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24.75" customHeight="1">
      <c r="A9" s="194" t="s">
        <v>150</v>
      </c>
      <c r="B9" s="325">
        <v>136564336.75</v>
      </c>
      <c r="C9" s="463">
        <v>763103.5</v>
      </c>
      <c r="D9" s="303"/>
      <c r="E9" s="305">
        <f t="shared" si="0"/>
        <v>137327440.25</v>
      </c>
      <c r="F9" s="96"/>
      <c r="G9" s="24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4.75" customHeight="1">
      <c r="A10" s="306" t="s">
        <v>76</v>
      </c>
      <c r="B10" s="307">
        <v>1380677.732</v>
      </c>
      <c r="C10" s="475">
        <v>105008589.33079998</v>
      </c>
      <c r="D10" s="308"/>
      <c r="E10" s="305">
        <f t="shared" si="0"/>
        <v>106389267.06279998</v>
      </c>
      <c r="F10" s="96"/>
      <c r="G10" s="24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</row>
    <row r="11" spans="1:26" ht="24">
      <c r="A11" s="263" t="s">
        <v>74</v>
      </c>
      <c r="B11" s="489">
        <v>9736000</v>
      </c>
      <c r="C11" s="490">
        <v>24204459.944</v>
      </c>
      <c r="D11" s="209"/>
      <c r="E11" s="319">
        <f>SUM(B11:D11)</f>
        <v>33940459.944</v>
      </c>
      <c r="F11" s="96"/>
      <c r="G11" s="24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</row>
    <row r="12" spans="1:26" ht="24" customHeight="1">
      <c r="A12" s="300" t="s">
        <v>233</v>
      </c>
      <c r="B12" s="309"/>
      <c r="C12" s="310">
        <v>1775167962.5</v>
      </c>
      <c r="D12" s="303"/>
      <c r="E12" s="305">
        <f>SUM(B12:D12)</f>
        <v>1775167962.5</v>
      </c>
      <c r="F12" s="96"/>
      <c r="G12" s="24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spans="1:26" ht="24">
      <c r="A13" s="626" t="s">
        <v>277</v>
      </c>
      <c r="B13" s="209"/>
      <c r="C13" s="209">
        <v>9085722.757599998</v>
      </c>
      <c r="D13" s="209"/>
      <c r="E13" s="319">
        <f t="shared" si="0"/>
        <v>9085722.757599998</v>
      </c>
      <c r="F13" s="96"/>
      <c r="G13" s="24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1:26" ht="24.75" customHeight="1">
      <c r="A14" s="300" t="s">
        <v>65</v>
      </c>
      <c r="B14" s="314"/>
      <c r="C14" s="314">
        <v>45644067.349999994</v>
      </c>
      <c r="D14" s="303"/>
      <c r="E14" s="305">
        <f t="shared" si="0"/>
        <v>45644067.349999994</v>
      </c>
      <c r="F14" s="96"/>
      <c r="G14" s="24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spans="1:26" ht="24.75" customHeight="1">
      <c r="A15" s="306" t="s">
        <v>67</v>
      </c>
      <c r="B15" s="303">
        <v>1195328</v>
      </c>
      <c r="C15" s="315">
        <v>59888582.797213115</v>
      </c>
      <c r="D15" s="303"/>
      <c r="E15" s="305">
        <f t="shared" si="0"/>
        <v>61083910.797213115</v>
      </c>
      <c r="F15" s="96"/>
      <c r="G15" s="24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26" ht="24.75" customHeight="1">
      <c r="A16" s="300" t="s">
        <v>71</v>
      </c>
      <c r="B16" s="316">
        <v>2681619.73</v>
      </c>
      <c r="C16" s="313"/>
      <c r="D16" s="303"/>
      <c r="E16" s="305">
        <f t="shared" si="0"/>
        <v>2681619.73</v>
      </c>
      <c r="F16" s="96"/>
      <c r="G16" s="24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ht="24.75" customHeight="1">
      <c r="A17" s="300" t="s">
        <v>68</v>
      </c>
      <c r="B17" s="303">
        <v>26812020</v>
      </c>
      <c r="C17" s="303">
        <v>2695144</v>
      </c>
      <c r="D17" s="303"/>
      <c r="E17" s="305">
        <f t="shared" si="0"/>
        <v>29507164</v>
      </c>
      <c r="F17" s="96"/>
      <c r="G17" s="24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1:26" ht="24.75" customHeight="1">
      <c r="A18" s="263" t="s">
        <v>72</v>
      </c>
      <c r="B18" s="625">
        <v>13570000</v>
      </c>
      <c r="C18" s="209">
        <v>82483908.605</v>
      </c>
      <c r="D18" s="209"/>
      <c r="E18" s="319">
        <f t="shared" si="0"/>
        <v>96053908.605</v>
      </c>
      <c r="F18" s="96"/>
      <c r="G18" s="24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1:26" ht="24.75" customHeight="1">
      <c r="A19" s="263" t="s">
        <v>73</v>
      </c>
      <c r="B19" s="209">
        <v>7118399.63</v>
      </c>
      <c r="C19" s="183">
        <v>6836930.6</v>
      </c>
      <c r="D19" s="209"/>
      <c r="E19" s="305">
        <f aca="true" t="shared" si="1" ref="E19:E27">SUM(B19:D19)</f>
        <v>13955330.23</v>
      </c>
      <c r="F19" s="96"/>
      <c r="G19" s="24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1:26" ht="24.75" customHeight="1">
      <c r="A20" s="263" t="s">
        <v>78</v>
      </c>
      <c r="B20" s="209"/>
      <c r="C20" s="475">
        <v>327605.28</v>
      </c>
      <c r="D20" s="209"/>
      <c r="E20" s="305">
        <f t="shared" si="1"/>
        <v>327605.28</v>
      </c>
      <c r="F20" s="96"/>
      <c r="G20" s="24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spans="1:26" ht="24.75" customHeight="1">
      <c r="A21" s="311" t="s">
        <v>66</v>
      </c>
      <c r="B21" s="312">
        <v>6839256</v>
      </c>
      <c r="C21" s="318">
        <v>4854258.42</v>
      </c>
      <c r="D21" s="303"/>
      <c r="E21" s="305">
        <f t="shared" si="1"/>
        <v>11693514.42</v>
      </c>
      <c r="F21" s="96"/>
      <c r="G21" s="24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26" ht="24.75" customHeight="1">
      <c r="A22" s="306" t="s">
        <v>64</v>
      </c>
      <c r="B22" s="317">
        <v>7193774.690555556</v>
      </c>
      <c r="C22" s="318">
        <v>2963880.8800000004</v>
      </c>
      <c r="D22" s="303"/>
      <c r="E22" s="305">
        <f t="shared" si="1"/>
        <v>10157655.570555557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1:26" ht="24.75" customHeight="1">
      <c r="A23" s="581" t="s">
        <v>584</v>
      </c>
      <c r="B23" s="317">
        <v>80847.8</v>
      </c>
      <c r="C23" s="318">
        <v>678000</v>
      </c>
      <c r="D23" s="303"/>
      <c r="E23" s="305">
        <f t="shared" si="1"/>
        <v>758847.8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1:26" ht="24.75" customHeight="1">
      <c r="A24" s="263" t="s">
        <v>69</v>
      </c>
      <c r="B24" s="317">
        <v>4761006.943333387</v>
      </c>
      <c r="C24" s="318">
        <v>166006251.96</v>
      </c>
      <c r="D24" s="303"/>
      <c r="E24" s="305">
        <f t="shared" si="1"/>
        <v>170767258.9033334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6" ht="24.75" customHeight="1">
      <c r="A25" s="263" t="s">
        <v>77</v>
      </c>
      <c r="B25" s="317">
        <v>372716.7</v>
      </c>
      <c r="C25" s="318">
        <v>7427461.08</v>
      </c>
      <c r="D25" s="303"/>
      <c r="E25" s="305">
        <f t="shared" si="1"/>
        <v>7800177.78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spans="1:26" ht="24.75" customHeight="1">
      <c r="A26" s="300" t="s">
        <v>70</v>
      </c>
      <c r="B26" s="237">
        <v>3009525.4</v>
      </c>
      <c r="C26" s="237"/>
      <c r="D26" s="237"/>
      <c r="E26" s="305">
        <f>SUM(B26:D26)</f>
        <v>3009525.4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spans="1:26" ht="24.75" customHeight="1">
      <c r="A27" s="263" t="s">
        <v>791</v>
      </c>
      <c r="B27" s="237"/>
      <c r="C27" s="237"/>
      <c r="D27" s="237"/>
      <c r="E27" s="305">
        <f t="shared" si="1"/>
        <v>0</v>
      </c>
      <c r="F27" s="96"/>
      <c r="G27" s="282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spans="1:26" ht="30.75" customHeight="1" thickBot="1">
      <c r="A28" s="245" t="s">
        <v>83</v>
      </c>
      <c r="B28" s="245">
        <f>SUM(B4:B27)</f>
        <v>1662447677.8058894</v>
      </c>
      <c r="C28" s="245">
        <f>SUM(C4:C27)</f>
        <v>2452321136.4946136</v>
      </c>
      <c r="D28" s="245">
        <f>SUM(D4:D27)</f>
        <v>447009084.15999997</v>
      </c>
      <c r="E28" s="245">
        <f>SUM(E4:E27)</f>
        <v>4561777898.460501</v>
      </c>
      <c r="F28" s="215"/>
      <c r="G28" s="282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spans="1:26" ht="127.5" customHeight="1" hidden="1" thickTop="1">
      <c r="A29" s="285" t="s">
        <v>137</v>
      </c>
      <c r="B29" s="286"/>
      <c r="C29" s="286"/>
      <c r="D29" s="286"/>
      <c r="E29" s="287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</row>
    <row r="30" spans="1:26" ht="24.75" thickTop="1">
      <c r="A30" s="493"/>
      <c r="B30" s="493"/>
      <c r="C30" s="493"/>
      <c r="D30" s="493"/>
      <c r="E30" s="537"/>
      <c r="F30" s="96"/>
      <c r="G30" s="97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53.25" customHeight="1">
      <c r="A31" s="728" t="s">
        <v>635</v>
      </c>
      <c r="B31" s="728"/>
      <c r="C31" s="728"/>
      <c r="D31" s="728"/>
      <c r="E31" s="728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</row>
    <row r="32" spans="1:26" ht="20.25" customHeight="1">
      <c r="A32" s="98"/>
      <c r="B32" s="494"/>
      <c r="C32" s="494"/>
      <c r="D32" s="494"/>
      <c r="E32" s="195" t="s">
        <v>795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1:26" ht="20.25" customHeight="1">
      <c r="A33" s="99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</row>
    <row r="34" spans="6:26" ht="20.25" customHeight="1"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6:26" ht="20.25" customHeight="1"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spans="6:26" ht="20.25" customHeight="1"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</row>
    <row r="37" spans="6:26" ht="20.25" customHeight="1"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6:26" ht="20.25" customHeight="1"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6:26" ht="20.25" customHeight="1"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spans="6:26" ht="20.25" customHeight="1"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6:26" ht="20.25" customHeight="1"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</row>
    <row r="42" spans="6:26" ht="20.25" customHeight="1"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</row>
    <row r="43" spans="6:26" ht="20.25" customHeight="1"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</row>
    <row r="44" spans="6:26" ht="20.25" customHeight="1"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</row>
    <row r="45" spans="6:26" ht="20.25" customHeight="1"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</row>
    <row r="46" spans="6:26" ht="20.25" customHeight="1"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</row>
    <row r="47" spans="6:26" ht="20.25" customHeight="1"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</row>
    <row r="48" spans="6:26" ht="20.25" customHeight="1"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</row>
    <row r="49" spans="6:26" ht="20.25" customHeight="1"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</row>
    <row r="50" spans="6:26" ht="20.25" customHeight="1"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</row>
    <row r="51" spans="6:26" ht="20.25" customHeight="1"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</row>
  </sheetData>
  <sheetProtection/>
  <mergeCells count="2">
    <mergeCell ref="A1:E1"/>
    <mergeCell ref="A31:E31"/>
  </mergeCells>
  <printOptions horizontalCentered="1" verticalCentered="1"/>
  <pageMargins left="0.25" right="0.25" top="0.761811024" bottom="0.903543307" header="1.18110236220472" footer="0.511811023622047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L24"/>
  <sheetViews>
    <sheetView showGridLines="0" zoomScalePageLayoutView="0" workbookViewId="0" topLeftCell="A1">
      <selection activeCell="S26" sqref="S26"/>
    </sheetView>
  </sheetViews>
  <sheetFormatPr defaultColWidth="9.140625" defaultRowHeight="21.75"/>
  <cols>
    <col min="1" max="1" width="53.8515625" style="0" customWidth="1"/>
    <col min="2" max="2" width="12.28125" style="0" customWidth="1"/>
    <col min="3" max="3" width="12.28125" style="0" bestFit="1" customWidth="1"/>
    <col min="4" max="4" width="11.57421875" style="0" customWidth="1"/>
    <col min="5" max="5" width="12.140625" style="0" customWidth="1"/>
    <col min="6" max="6" width="14.421875" style="0" customWidth="1"/>
    <col min="7" max="7" width="16.421875" style="0" customWidth="1"/>
    <col min="8" max="8" width="15.00390625" style="0" customWidth="1"/>
    <col min="9" max="9" width="11.00390625" style="0" customWidth="1"/>
    <col min="10" max="10" width="15.7109375" style="0" customWidth="1"/>
    <col min="11" max="11" width="12.28125" style="0" customWidth="1"/>
  </cols>
  <sheetData>
    <row r="1" spans="1:11" ht="23.2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12" ht="23.25">
      <c r="A2" s="764" t="s">
        <v>365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</row>
    <row r="3" ht="21.75" customHeight="1"/>
    <row r="4" spans="1:11" ht="30" customHeight="1">
      <c r="A4" s="765" t="s">
        <v>1</v>
      </c>
      <c r="B4" s="767" t="s">
        <v>13</v>
      </c>
      <c r="C4" s="768"/>
      <c r="D4" s="768"/>
      <c r="E4" s="768"/>
      <c r="F4" s="778"/>
      <c r="G4" s="769" t="s">
        <v>110</v>
      </c>
      <c r="H4" s="771" t="s">
        <v>4</v>
      </c>
      <c r="I4" s="765" t="s">
        <v>6</v>
      </c>
      <c r="J4" s="771" t="s">
        <v>7</v>
      </c>
      <c r="K4" s="771" t="s">
        <v>35</v>
      </c>
    </row>
    <row r="5" spans="1:11" ht="43.5" customHeight="1">
      <c r="A5" s="766"/>
      <c r="B5" s="23" t="s">
        <v>8</v>
      </c>
      <c r="C5" s="23" t="s">
        <v>9</v>
      </c>
      <c r="D5" s="23" t="s">
        <v>211</v>
      </c>
      <c r="E5" s="23" t="s">
        <v>10</v>
      </c>
      <c r="F5" s="157" t="s">
        <v>40</v>
      </c>
      <c r="G5" s="781"/>
      <c r="H5" s="782"/>
      <c r="I5" s="766"/>
      <c r="J5" s="782"/>
      <c r="K5" s="782"/>
    </row>
    <row r="6" spans="1:11" ht="21.75">
      <c r="A6" s="7" t="s">
        <v>3</v>
      </c>
      <c r="B6" s="8"/>
      <c r="C6" s="8"/>
      <c r="D6" s="8"/>
      <c r="E6" s="8"/>
      <c r="F6" s="58"/>
      <c r="G6" s="8"/>
      <c r="H6" s="8"/>
      <c r="I6" s="9"/>
      <c r="J6" s="9"/>
      <c r="K6" s="10"/>
    </row>
    <row r="7" spans="1:11" ht="21.75">
      <c r="A7" s="336" t="s">
        <v>204</v>
      </c>
      <c r="B7" s="12"/>
      <c r="C7" s="12"/>
      <c r="D7" s="12"/>
      <c r="E7" s="12"/>
      <c r="F7" s="59"/>
      <c r="G7" s="12"/>
      <c r="H7" s="12"/>
      <c r="I7" s="13"/>
      <c r="J7" s="13"/>
      <c r="K7" s="14"/>
    </row>
    <row r="8" spans="1:11" ht="43.5">
      <c r="A8" s="337" t="s">
        <v>368</v>
      </c>
      <c r="B8" s="12"/>
      <c r="C8" s="12"/>
      <c r="D8" s="12"/>
      <c r="E8" s="12"/>
      <c r="F8" s="59"/>
      <c r="G8" s="59">
        <v>34650</v>
      </c>
      <c r="H8" s="59">
        <f>SUM(B8:G8)</f>
        <v>34650</v>
      </c>
      <c r="I8" s="152" t="s">
        <v>43</v>
      </c>
      <c r="J8" s="42" t="s">
        <v>114</v>
      </c>
      <c r="K8" s="14"/>
    </row>
    <row r="9" spans="1:11" ht="43.5">
      <c r="A9" s="337" t="s">
        <v>425</v>
      </c>
      <c r="B9" s="12"/>
      <c r="C9" s="12"/>
      <c r="D9" s="12"/>
      <c r="E9" s="12"/>
      <c r="F9" s="59"/>
      <c r="G9" s="59">
        <v>26376</v>
      </c>
      <c r="H9" s="59">
        <f>SUM(B9:G9)</f>
        <v>26376</v>
      </c>
      <c r="I9" s="152" t="s">
        <v>43</v>
      </c>
      <c r="J9" s="152"/>
      <c r="K9" s="14"/>
    </row>
    <row r="10" spans="1:11" ht="65.25">
      <c r="A10" s="337" t="s">
        <v>427</v>
      </c>
      <c r="B10" s="256"/>
      <c r="C10" s="256"/>
      <c r="D10" s="256"/>
      <c r="E10" s="256"/>
      <c r="F10" s="258">
        <v>89908</v>
      </c>
      <c r="G10" s="258"/>
      <c r="H10" s="40">
        <f aca="true" t="shared" si="0" ref="H10:H20">SUM(B10:G10)</f>
        <v>89908</v>
      </c>
      <c r="I10" s="152" t="s">
        <v>43</v>
      </c>
      <c r="J10" s="225" t="s">
        <v>434</v>
      </c>
      <c r="K10" s="15"/>
    </row>
    <row r="11" spans="1:11" ht="65.25">
      <c r="A11" s="337" t="s">
        <v>426</v>
      </c>
      <c r="B11" s="256"/>
      <c r="C11" s="258">
        <v>30200</v>
      </c>
      <c r="D11" s="256"/>
      <c r="E11" s="256"/>
      <c r="F11" s="258"/>
      <c r="G11" s="258"/>
      <c r="H11" s="40">
        <f t="shared" si="0"/>
        <v>30200</v>
      </c>
      <c r="I11" s="152" t="s">
        <v>43</v>
      </c>
      <c r="J11" s="255" t="s">
        <v>470</v>
      </c>
      <c r="K11" s="15"/>
    </row>
    <row r="12" spans="1:11" ht="21.75">
      <c r="A12" s="336" t="s">
        <v>428</v>
      </c>
      <c r="B12" s="256"/>
      <c r="C12" s="277"/>
      <c r="D12" s="256"/>
      <c r="E12" s="256"/>
      <c r="F12" s="257"/>
      <c r="G12" s="384"/>
      <c r="H12" s="40"/>
      <c r="I12" s="439"/>
      <c r="J12" s="259"/>
      <c r="K12" s="15"/>
    </row>
    <row r="13" spans="1:11" ht="65.25">
      <c r="A13" s="337" t="s">
        <v>429</v>
      </c>
      <c r="B13" s="254">
        <v>636208.33</v>
      </c>
      <c r="C13" s="254">
        <v>636208.33</v>
      </c>
      <c r="D13" s="254">
        <v>636208.33</v>
      </c>
      <c r="E13" s="254">
        <v>636208.33</v>
      </c>
      <c r="F13" s="254">
        <f>636208.33*7</f>
        <v>4453458.31</v>
      </c>
      <c r="G13" s="568"/>
      <c r="H13" s="40">
        <f t="shared" si="0"/>
        <v>6998291.629999999</v>
      </c>
      <c r="I13" s="439" t="s">
        <v>43</v>
      </c>
      <c r="J13" s="401" t="s">
        <v>434</v>
      </c>
      <c r="K13" s="91"/>
    </row>
    <row r="14" spans="1:11" ht="21.75">
      <c r="A14" s="336" t="s">
        <v>436</v>
      </c>
      <c r="B14" s="442"/>
      <c r="C14" s="277"/>
      <c r="D14" s="442"/>
      <c r="E14" s="442"/>
      <c r="F14" s="258"/>
      <c r="G14" s="384"/>
      <c r="H14" s="40"/>
      <c r="I14" s="439"/>
      <c r="J14" s="259"/>
      <c r="K14" s="15"/>
    </row>
    <row r="15" spans="1:11" ht="43.5">
      <c r="A15" s="337" t="s">
        <v>720</v>
      </c>
      <c r="B15" s="408"/>
      <c r="C15" s="409"/>
      <c r="D15" s="408"/>
      <c r="E15" s="408"/>
      <c r="F15" s="254"/>
      <c r="G15" s="384">
        <v>5857500</v>
      </c>
      <c r="H15" s="40">
        <f t="shared" si="0"/>
        <v>5857500</v>
      </c>
      <c r="I15" s="439" t="s">
        <v>43</v>
      </c>
      <c r="J15" s="154" t="s">
        <v>105</v>
      </c>
      <c r="K15" s="91"/>
    </row>
    <row r="16" spans="1:11" ht="21.75">
      <c r="A16" s="336" t="s">
        <v>273</v>
      </c>
      <c r="B16" s="442"/>
      <c r="C16" s="277"/>
      <c r="D16" s="442"/>
      <c r="E16" s="442"/>
      <c r="F16" s="258"/>
      <c r="G16" s="254"/>
      <c r="H16" s="40"/>
      <c r="I16" s="439"/>
      <c r="J16" s="42"/>
      <c r="K16" s="16"/>
    </row>
    <row r="17" spans="1:11" ht="43.5">
      <c r="A17" s="337" t="s">
        <v>671</v>
      </c>
      <c r="B17" s="442"/>
      <c r="C17" s="277"/>
      <c r="D17" s="442"/>
      <c r="E17" s="442"/>
      <c r="F17" s="258"/>
      <c r="G17" s="258">
        <f>5544*33.9</f>
        <v>187941.6</v>
      </c>
      <c r="H17" s="40">
        <f t="shared" si="0"/>
        <v>187941.6</v>
      </c>
      <c r="I17" s="439" t="s">
        <v>43</v>
      </c>
      <c r="J17" s="42" t="s">
        <v>114</v>
      </c>
      <c r="K17" s="16"/>
    </row>
    <row r="18" spans="1:11" ht="43.5">
      <c r="A18" s="337" t="s">
        <v>274</v>
      </c>
      <c r="B18" s="442"/>
      <c r="C18" s="277"/>
      <c r="D18" s="442"/>
      <c r="E18" s="442"/>
      <c r="F18" s="258"/>
      <c r="G18" s="258">
        <f>21000*33.9</f>
        <v>711900</v>
      </c>
      <c r="H18" s="40">
        <f t="shared" si="0"/>
        <v>711900</v>
      </c>
      <c r="I18" s="439" t="s">
        <v>43</v>
      </c>
      <c r="J18" s="42" t="s">
        <v>114</v>
      </c>
      <c r="K18" s="16"/>
    </row>
    <row r="19" spans="1:11" ht="65.25">
      <c r="A19" s="337" t="s">
        <v>672</v>
      </c>
      <c r="B19" s="442"/>
      <c r="C19" s="277"/>
      <c r="D19" s="442"/>
      <c r="E19" s="442"/>
      <c r="F19" s="258"/>
      <c r="G19" s="258">
        <f>300*33.9</f>
        <v>10170</v>
      </c>
      <c r="H19" s="40">
        <f t="shared" si="0"/>
        <v>10170</v>
      </c>
      <c r="I19" s="439" t="s">
        <v>43</v>
      </c>
      <c r="J19" s="42" t="s">
        <v>114</v>
      </c>
      <c r="K19" s="15"/>
    </row>
    <row r="20" spans="1:11" ht="44.25" customHeight="1" thickBot="1">
      <c r="A20" s="651" t="s">
        <v>424</v>
      </c>
      <c r="B20" s="567"/>
      <c r="C20" s="567"/>
      <c r="D20" s="567"/>
      <c r="E20" s="567"/>
      <c r="F20" s="567"/>
      <c r="G20" s="564">
        <f>220*38.15</f>
        <v>8393</v>
      </c>
      <c r="H20" s="564">
        <f t="shared" si="0"/>
        <v>8393</v>
      </c>
      <c r="I20" s="565" t="s">
        <v>43</v>
      </c>
      <c r="J20" s="566" t="s">
        <v>114</v>
      </c>
      <c r="K20" s="133"/>
    </row>
    <row r="21" spans="1:11" ht="23.25" thickBot="1" thickTop="1">
      <c r="A21" s="650" t="s">
        <v>2</v>
      </c>
      <c r="B21" s="563">
        <f>SUM(B8:B20)</f>
        <v>636208.33</v>
      </c>
      <c r="C21" s="563">
        <f aca="true" t="shared" si="1" ref="C21:H21">SUM(C8:C20)</f>
        <v>666408.33</v>
      </c>
      <c r="D21" s="563">
        <f t="shared" si="1"/>
        <v>636208.33</v>
      </c>
      <c r="E21" s="563">
        <f t="shared" si="1"/>
        <v>636208.33</v>
      </c>
      <c r="F21" s="563">
        <f>SUM(F8:F20)</f>
        <v>4543366.31</v>
      </c>
      <c r="G21" s="563">
        <f t="shared" si="1"/>
        <v>6836930.6</v>
      </c>
      <c r="H21" s="563">
        <f t="shared" si="1"/>
        <v>13955330.229999999</v>
      </c>
      <c r="I21" s="133"/>
      <c r="J21" s="133"/>
      <c r="K21" s="21"/>
    </row>
    <row r="22" spans="1:10" ht="22.5" thickTop="1">
      <c r="A22" s="62"/>
      <c r="G22" s="36"/>
      <c r="H22" s="36"/>
      <c r="I22" s="36"/>
      <c r="J22" s="36"/>
    </row>
    <row r="23" spans="1:8" ht="21.75">
      <c r="A23" s="37"/>
      <c r="F23" s="1"/>
      <c r="G23" s="1"/>
      <c r="H23" s="1"/>
    </row>
    <row r="24" spans="7:8" ht="21.75">
      <c r="G24" s="30"/>
      <c r="H24" s="1"/>
    </row>
  </sheetData>
  <sheetProtection/>
  <mergeCells count="9">
    <mergeCell ref="A1:K1"/>
    <mergeCell ref="A2:L2"/>
    <mergeCell ref="A4:A5"/>
    <mergeCell ref="B4:F4"/>
    <mergeCell ref="G4:G5"/>
    <mergeCell ref="H4:H5"/>
    <mergeCell ref="I4:I5"/>
    <mergeCell ref="J4:J5"/>
    <mergeCell ref="K4:K5"/>
  </mergeCells>
  <printOptions/>
  <pageMargins left="0.604330709" right="0.498031496" top="0.787401575" bottom="0" header="0.984251968503937" footer="0.15748031496063"/>
  <pageSetup horizontalDpi="600" verticalDpi="600" orientation="landscape" paperSize="9" scale="7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"/>
  <sheetViews>
    <sheetView showGridLines="0" zoomScalePageLayoutView="0" workbookViewId="0" topLeftCell="A1">
      <selection activeCell="A27" sqref="A27"/>
    </sheetView>
  </sheetViews>
  <sheetFormatPr defaultColWidth="9.140625" defaultRowHeight="21.75"/>
  <cols>
    <col min="1" max="1" width="46.8515625" style="0" customWidth="1"/>
    <col min="2" max="2" width="13.57421875" style="0" customWidth="1"/>
    <col min="3" max="4" width="12.421875" style="0" customWidth="1"/>
    <col min="5" max="5" width="11.421875" style="0" customWidth="1"/>
    <col min="6" max="6" width="13.140625" style="0" customWidth="1"/>
    <col min="7" max="7" width="15.7109375" style="0" customWidth="1"/>
    <col min="8" max="8" width="27.140625" style="0" customWidth="1"/>
    <col min="9" max="9" width="16.00390625" style="0" customWidth="1"/>
    <col min="10" max="10" width="16.140625" style="0" customWidth="1"/>
    <col min="13" max="13" width="13.28125" style="0" customWidth="1"/>
  </cols>
  <sheetData>
    <row r="1" spans="1:10" ht="23.2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</row>
    <row r="2" spans="1:12" ht="23.25">
      <c r="A2" s="764" t="s">
        <v>358</v>
      </c>
      <c r="B2" s="764"/>
      <c r="C2" s="764"/>
      <c r="D2" s="764"/>
      <c r="E2" s="764"/>
      <c r="F2" s="764"/>
      <c r="G2" s="764"/>
      <c r="H2" s="764"/>
      <c r="I2" s="764"/>
      <c r="J2" s="764"/>
      <c r="K2" s="114"/>
      <c r="L2" s="114"/>
    </row>
    <row r="3" spans="1:10" ht="21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23.25" customHeight="1">
      <c r="A4" s="787" t="s">
        <v>1</v>
      </c>
      <c r="B4" s="789" t="s">
        <v>13</v>
      </c>
      <c r="C4" s="790"/>
      <c r="D4" s="790"/>
      <c r="E4" s="790"/>
      <c r="F4" s="159"/>
      <c r="G4" s="785" t="s">
        <v>14</v>
      </c>
      <c r="H4" s="787" t="s">
        <v>6</v>
      </c>
      <c r="I4" s="772" t="s">
        <v>7</v>
      </c>
      <c r="J4" s="772" t="s">
        <v>26</v>
      </c>
    </row>
    <row r="5" spans="1:10" ht="36" customHeight="1">
      <c r="A5" s="788"/>
      <c r="B5" s="47" t="s">
        <v>8</v>
      </c>
      <c r="C5" s="47" t="s">
        <v>9</v>
      </c>
      <c r="D5" s="47" t="s">
        <v>193</v>
      </c>
      <c r="E5" s="163" t="s">
        <v>10</v>
      </c>
      <c r="F5" s="275" t="s">
        <v>21</v>
      </c>
      <c r="G5" s="786"/>
      <c r="H5" s="788"/>
      <c r="I5" s="773"/>
      <c r="J5" s="773"/>
    </row>
    <row r="6" spans="1:10" ht="24">
      <c r="A6" s="31" t="s">
        <v>29</v>
      </c>
      <c r="B6" s="32"/>
      <c r="C6" s="32"/>
      <c r="D6" s="32"/>
      <c r="E6" s="32"/>
      <c r="F6" s="32"/>
      <c r="G6" s="32"/>
      <c r="H6" s="33"/>
      <c r="I6" s="33"/>
      <c r="J6" s="34"/>
    </row>
    <row r="7" spans="1:10" ht="21.75">
      <c r="A7" s="160" t="s">
        <v>369</v>
      </c>
      <c r="B7" s="125">
        <f>77000</f>
        <v>77000</v>
      </c>
      <c r="C7" s="125"/>
      <c r="D7" s="125"/>
      <c r="E7" s="125"/>
      <c r="F7" s="162"/>
      <c r="G7" s="128">
        <f aca="true" t="shared" si="0" ref="G7:G24">SUM(B7:F7)</f>
        <v>77000</v>
      </c>
      <c r="H7" s="439" t="s">
        <v>589</v>
      </c>
      <c r="I7" s="161" t="s">
        <v>708</v>
      </c>
      <c r="J7" s="53"/>
    </row>
    <row r="8" spans="1:10" ht="43.5">
      <c r="A8" s="160" t="s">
        <v>370</v>
      </c>
      <c r="B8" s="125">
        <f>287936</f>
        <v>287936</v>
      </c>
      <c r="C8" s="67"/>
      <c r="D8" s="125"/>
      <c r="E8" s="125"/>
      <c r="F8" s="162"/>
      <c r="G8" s="128">
        <f t="shared" si="0"/>
        <v>287936</v>
      </c>
      <c r="H8" s="231" t="s">
        <v>589</v>
      </c>
      <c r="I8" s="161" t="s">
        <v>586</v>
      </c>
      <c r="J8" s="53"/>
    </row>
    <row r="9" spans="1:10" ht="21.75">
      <c r="A9" s="160" t="s">
        <v>367</v>
      </c>
      <c r="B9" s="125"/>
      <c r="C9" s="219">
        <v>37443</v>
      </c>
      <c r="D9" s="125"/>
      <c r="E9" s="125"/>
      <c r="F9" s="127"/>
      <c r="G9" s="128">
        <f t="shared" si="0"/>
        <v>37443</v>
      </c>
      <c r="H9" s="231" t="s">
        <v>589</v>
      </c>
      <c r="I9" s="161" t="s">
        <v>715</v>
      </c>
      <c r="J9" s="53"/>
    </row>
    <row r="10" spans="1:10" ht="21.75">
      <c r="A10" s="160" t="s">
        <v>386</v>
      </c>
      <c r="B10" s="125"/>
      <c r="C10" s="125">
        <f>12610</f>
        <v>12610</v>
      </c>
      <c r="D10" s="125"/>
      <c r="E10" s="125"/>
      <c r="F10" s="162"/>
      <c r="G10" s="128">
        <f t="shared" si="0"/>
        <v>12610</v>
      </c>
      <c r="H10" s="231" t="s">
        <v>589</v>
      </c>
      <c r="I10" s="161" t="s">
        <v>374</v>
      </c>
      <c r="J10" s="53"/>
    </row>
    <row r="11" spans="1:10" ht="43.5">
      <c r="A11" s="160" t="s">
        <v>371</v>
      </c>
      <c r="B11" s="125"/>
      <c r="C11" s="125">
        <v>50698.71</v>
      </c>
      <c r="D11" s="125"/>
      <c r="E11" s="125"/>
      <c r="F11" s="162"/>
      <c r="G11" s="128">
        <f t="shared" si="0"/>
        <v>50698.71</v>
      </c>
      <c r="H11" s="231" t="s">
        <v>589</v>
      </c>
      <c r="I11" s="161" t="s">
        <v>375</v>
      </c>
      <c r="J11" s="53"/>
    </row>
    <row r="12" spans="1:10" ht="21.75">
      <c r="A12" s="160" t="s">
        <v>372</v>
      </c>
      <c r="B12" s="125"/>
      <c r="C12" s="125">
        <v>16286</v>
      </c>
      <c r="D12" s="125"/>
      <c r="E12" s="125"/>
      <c r="F12" s="162"/>
      <c r="G12" s="128">
        <f t="shared" si="0"/>
        <v>16286</v>
      </c>
      <c r="H12" s="231" t="s">
        <v>589</v>
      </c>
      <c r="I12" s="161" t="s">
        <v>373</v>
      </c>
      <c r="J12" s="53"/>
    </row>
    <row r="13" spans="1:10" ht="43.5">
      <c r="A13" s="160" t="s">
        <v>587</v>
      </c>
      <c r="B13" s="125"/>
      <c r="C13" s="125">
        <v>21128</v>
      </c>
      <c r="D13" s="125"/>
      <c r="E13" s="125"/>
      <c r="F13" s="162"/>
      <c r="G13" s="128">
        <f t="shared" si="0"/>
        <v>21128</v>
      </c>
      <c r="H13" s="231" t="s">
        <v>589</v>
      </c>
      <c r="I13" s="161" t="s">
        <v>376</v>
      </c>
      <c r="J13" s="608"/>
    </row>
    <row r="14" spans="1:10" ht="43.5">
      <c r="A14" s="160" t="s">
        <v>377</v>
      </c>
      <c r="B14" s="125"/>
      <c r="C14" s="125">
        <v>91109.42</v>
      </c>
      <c r="D14" s="125"/>
      <c r="E14" s="125"/>
      <c r="F14" s="162"/>
      <c r="G14" s="128">
        <f t="shared" si="0"/>
        <v>91109.42</v>
      </c>
      <c r="H14" s="231" t="s">
        <v>589</v>
      </c>
      <c r="I14" s="161" t="s">
        <v>712</v>
      </c>
      <c r="J14" s="608"/>
    </row>
    <row r="15" spans="1:10" ht="21.75">
      <c r="A15" s="160" t="s">
        <v>378</v>
      </c>
      <c r="B15" s="125"/>
      <c r="C15" s="125">
        <v>22981.86</v>
      </c>
      <c r="D15" s="125"/>
      <c r="E15" s="125"/>
      <c r="F15" s="162"/>
      <c r="G15" s="128">
        <f t="shared" si="0"/>
        <v>22981.86</v>
      </c>
      <c r="H15" s="231" t="s">
        <v>589</v>
      </c>
      <c r="I15" s="161" t="s">
        <v>714</v>
      </c>
      <c r="J15" s="608"/>
    </row>
    <row r="16" spans="1:10" ht="43.5">
      <c r="A16" s="160" t="s">
        <v>710</v>
      </c>
      <c r="B16" s="125"/>
      <c r="C16" s="125"/>
      <c r="D16" s="125">
        <v>6470</v>
      </c>
      <c r="E16" s="125"/>
      <c r="F16" s="162"/>
      <c r="G16" s="128">
        <f t="shared" si="0"/>
        <v>6470</v>
      </c>
      <c r="H16" s="231" t="s">
        <v>589</v>
      </c>
      <c r="I16" s="161" t="s">
        <v>379</v>
      </c>
      <c r="J16" s="608"/>
    </row>
    <row r="17" spans="1:10" ht="21.75">
      <c r="A17" s="160" t="s">
        <v>380</v>
      </c>
      <c r="B17" s="125"/>
      <c r="C17" s="125"/>
      <c r="D17" s="125">
        <v>11623</v>
      </c>
      <c r="E17" s="117">
        <v>12201</v>
      </c>
      <c r="F17" s="162"/>
      <c r="G17" s="128">
        <f t="shared" si="0"/>
        <v>23824</v>
      </c>
      <c r="H17" s="231" t="s">
        <v>589</v>
      </c>
      <c r="I17" s="161" t="s">
        <v>716</v>
      </c>
      <c r="J17" s="608"/>
    </row>
    <row r="18" spans="1:10" ht="21.75">
      <c r="A18" s="160" t="s">
        <v>381</v>
      </c>
      <c r="B18" s="125"/>
      <c r="C18" s="125"/>
      <c r="D18" s="125">
        <v>19297.72</v>
      </c>
      <c r="E18" s="125"/>
      <c r="F18" s="162"/>
      <c r="G18" s="128">
        <f t="shared" si="0"/>
        <v>19297.72</v>
      </c>
      <c r="H18" s="231" t="s">
        <v>589</v>
      </c>
      <c r="I18" s="161" t="s">
        <v>713</v>
      </c>
      <c r="J18" s="608"/>
    </row>
    <row r="19" spans="1:10" ht="21.75">
      <c r="A19" s="160" t="s">
        <v>382</v>
      </c>
      <c r="B19" s="125"/>
      <c r="C19" s="125"/>
      <c r="D19" s="125">
        <v>235364.02</v>
      </c>
      <c r="E19" s="125"/>
      <c r="F19" s="162"/>
      <c r="G19" s="128">
        <f t="shared" si="0"/>
        <v>235364.02</v>
      </c>
      <c r="H19" s="231" t="s">
        <v>589</v>
      </c>
      <c r="I19" s="161" t="s">
        <v>383</v>
      </c>
      <c r="J19" s="608"/>
    </row>
    <row r="20" spans="1:10" ht="21.75">
      <c r="A20" s="160" t="s">
        <v>709</v>
      </c>
      <c r="B20" s="125"/>
      <c r="C20" s="125"/>
      <c r="D20" s="125"/>
      <c r="E20" s="125">
        <v>74891.13</v>
      </c>
      <c r="F20" s="162"/>
      <c r="G20" s="128">
        <f t="shared" si="0"/>
        <v>74891.13</v>
      </c>
      <c r="H20" s="231" t="s">
        <v>589</v>
      </c>
      <c r="I20" s="161" t="s">
        <v>585</v>
      </c>
      <c r="J20" s="53"/>
    </row>
    <row r="21" spans="1:10" ht="21.75">
      <c r="A21" s="160" t="s">
        <v>385</v>
      </c>
      <c r="B21" s="125">
        <v>200</v>
      </c>
      <c r="C21" s="125"/>
      <c r="D21" s="125">
        <v>200</v>
      </c>
      <c r="E21" s="125"/>
      <c r="F21" s="162"/>
      <c r="G21" s="128">
        <f t="shared" si="0"/>
        <v>400</v>
      </c>
      <c r="H21" s="231" t="s">
        <v>589</v>
      </c>
      <c r="I21" s="161" t="s">
        <v>383</v>
      </c>
      <c r="J21" s="53"/>
    </row>
    <row r="22" spans="1:10" ht="21.75">
      <c r="A22" s="160" t="s">
        <v>711</v>
      </c>
      <c r="B22" s="125">
        <f>530725/4</f>
        <v>132681.25</v>
      </c>
      <c r="C22" s="125">
        <f>530725/4</f>
        <v>132681.25</v>
      </c>
      <c r="D22" s="125">
        <f>530725/4</f>
        <v>132681.25</v>
      </c>
      <c r="E22" s="125">
        <f>530725/4</f>
        <v>132681.25</v>
      </c>
      <c r="F22" s="162"/>
      <c r="G22" s="128">
        <f t="shared" si="0"/>
        <v>530725</v>
      </c>
      <c r="H22" s="231" t="s">
        <v>589</v>
      </c>
      <c r="I22" s="161" t="s">
        <v>384</v>
      </c>
      <c r="J22" s="53"/>
    </row>
    <row r="23" spans="1:10" ht="21.75">
      <c r="A23" s="160" t="s">
        <v>366</v>
      </c>
      <c r="B23" s="125">
        <v>1145945</v>
      </c>
      <c r="C23" s="125"/>
      <c r="D23" s="125"/>
      <c r="E23" s="125"/>
      <c r="F23" s="126"/>
      <c r="G23" s="128">
        <f t="shared" si="0"/>
        <v>1145945</v>
      </c>
      <c r="H23" s="231" t="s">
        <v>589</v>
      </c>
      <c r="I23" s="161" t="s">
        <v>707</v>
      </c>
      <c r="J23" s="292"/>
    </row>
    <row r="24" spans="1:10" ht="21.75">
      <c r="A24" s="160" t="s">
        <v>588</v>
      </c>
      <c r="B24" s="219"/>
      <c r="C24" s="125"/>
      <c r="D24" s="125"/>
      <c r="E24" s="125">
        <v>27509.87</v>
      </c>
      <c r="F24" s="162"/>
      <c r="G24" s="128">
        <f t="shared" si="0"/>
        <v>27509.87</v>
      </c>
      <c r="H24" s="231" t="s">
        <v>589</v>
      </c>
      <c r="I24" s="161" t="s">
        <v>379</v>
      </c>
      <c r="J24" s="53"/>
    </row>
    <row r="25" spans="1:10" ht="22.5" thickBot="1">
      <c r="A25" s="19" t="s">
        <v>2</v>
      </c>
      <c r="B25" s="104">
        <f aca="true" t="shared" si="1" ref="B25:G25">SUM(B7:B24)</f>
        <v>1643762.25</v>
      </c>
      <c r="C25" s="104">
        <f t="shared" si="1"/>
        <v>384938.24</v>
      </c>
      <c r="D25" s="104">
        <f t="shared" si="1"/>
        <v>405635.99</v>
      </c>
      <c r="E25" s="104">
        <f t="shared" si="1"/>
        <v>247283.25</v>
      </c>
      <c r="F25" s="104">
        <f t="shared" si="1"/>
        <v>0</v>
      </c>
      <c r="G25" s="104">
        <f t="shared" si="1"/>
        <v>2681619.73</v>
      </c>
      <c r="H25" s="129"/>
      <c r="I25" s="129"/>
      <c r="J25" s="129"/>
    </row>
    <row r="26" ht="22.5" thickTop="1"/>
  </sheetData>
  <sheetProtection/>
  <mergeCells count="8">
    <mergeCell ref="A1:J1"/>
    <mergeCell ref="G4:G5"/>
    <mergeCell ref="H4:H5"/>
    <mergeCell ref="I4:I5"/>
    <mergeCell ref="J4:J5"/>
    <mergeCell ref="A4:A5"/>
    <mergeCell ref="B4:E4"/>
    <mergeCell ref="A2:J2"/>
  </mergeCells>
  <printOptions horizontalCentered="1" verticalCentered="1"/>
  <pageMargins left="0.472440945" right="0.248031496" top="0.511811024" bottom="0.196850393700787" header="0.551181102362205" footer="0.15748031496063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N26"/>
  <sheetViews>
    <sheetView showGridLines="0" zoomScalePageLayoutView="0" workbookViewId="0" topLeftCell="A1">
      <selection activeCell="M10" sqref="M10"/>
    </sheetView>
  </sheetViews>
  <sheetFormatPr defaultColWidth="9.140625" defaultRowHeight="21.75"/>
  <cols>
    <col min="1" max="1" width="56.00390625" style="71" customWidth="1"/>
    <col min="2" max="2" width="14.57421875" style="71" customWidth="1"/>
    <col min="3" max="3" width="13.28125" style="71" bestFit="1" customWidth="1"/>
    <col min="4" max="4" width="13.7109375" style="71" customWidth="1"/>
    <col min="5" max="5" width="12.8515625" style="71" bestFit="1" customWidth="1"/>
    <col min="6" max="6" width="12.140625" style="71" bestFit="1" customWidth="1"/>
    <col min="7" max="7" width="14.57421875" style="71" customWidth="1"/>
    <col min="8" max="8" width="15.00390625" style="71" customWidth="1"/>
    <col min="9" max="9" width="13.140625" style="71" customWidth="1"/>
    <col min="10" max="10" width="18.140625" style="71" customWidth="1"/>
    <col min="11" max="11" width="12.8515625" style="0" customWidth="1"/>
  </cols>
  <sheetData>
    <row r="1" spans="1:11" ht="23.2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14" ht="23.25">
      <c r="A2" s="764" t="s">
        <v>358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114"/>
      <c r="M2" s="114"/>
      <c r="N2" s="114"/>
    </row>
    <row r="3" ht="21.75" customHeight="1"/>
    <row r="4" spans="1:11" ht="21.75" customHeight="1">
      <c r="A4" s="791" t="s">
        <v>1</v>
      </c>
      <c r="B4" s="793" t="s">
        <v>13</v>
      </c>
      <c r="C4" s="794"/>
      <c r="D4" s="794"/>
      <c r="E4" s="794"/>
      <c r="F4" s="260"/>
      <c r="G4" s="769" t="s">
        <v>110</v>
      </c>
      <c r="H4" s="771" t="s">
        <v>14</v>
      </c>
      <c r="I4" s="771" t="s">
        <v>6</v>
      </c>
      <c r="J4" s="771" t="s">
        <v>7</v>
      </c>
      <c r="K4" s="771" t="s">
        <v>35</v>
      </c>
    </row>
    <row r="5" spans="1:11" ht="42.75" customHeight="1">
      <c r="A5" s="792"/>
      <c r="B5" s="208" t="s">
        <v>8</v>
      </c>
      <c r="C5" s="208" t="s">
        <v>9</v>
      </c>
      <c r="D5" s="208" t="s">
        <v>211</v>
      </c>
      <c r="E5" s="208" t="s">
        <v>10</v>
      </c>
      <c r="F5" s="118" t="s">
        <v>40</v>
      </c>
      <c r="G5" s="781"/>
      <c r="H5" s="782"/>
      <c r="I5" s="782"/>
      <c r="J5" s="782"/>
      <c r="K5" s="782"/>
    </row>
    <row r="6" spans="1:11" ht="21.75">
      <c r="A6" s="72" t="s">
        <v>104</v>
      </c>
      <c r="B6" s="73"/>
      <c r="C6" s="73"/>
      <c r="D6" s="73"/>
      <c r="E6" s="73"/>
      <c r="F6" s="73"/>
      <c r="G6" s="73"/>
      <c r="H6" s="73"/>
      <c r="I6" s="74"/>
      <c r="J6" s="74"/>
      <c r="K6" s="10"/>
    </row>
    <row r="7" spans="1:11" ht="21.75">
      <c r="A7" s="426" t="s">
        <v>248</v>
      </c>
      <c r="B7" s="78"/>
      <c r="C7" s="75"/>
      <c r="D7" s="76"/>
      <c r="E7" s="76"/>
      <c r="F7" s="76"/>
      <c r="G7" s="76"/>
      <c r="H7" s="76"/>
      <c r="I7" s="52"/>
      <c r="J7" s="161"/>
      <c r="K7" s="14"/>
    </row>
    <row r="8" spans="1:11" ht="21.75">
      <c r="A8" s="240" t="s">
        <v>163</v>
      </c>
      <c r="B8" s="79"/>
      <c r="C8" s="198"/>
      <c r="D8" s="76"/>
      <c r="E8" s="76"/>
      <c r="F8" s="76"/>
      <c r="G8" s="198">
        <f>37262184.39*60/100</f>
        <v>22357310.634</v>
      </c>
      <c r="H8" s="198">
        <f>SUM(B8:G8)</f>
        <v>22357310.634</v>
      </c>
      <c r="I8" s="52" t="s">
        <v>43</v>
      </c>
      <c r="J8" s="161" t="s">
        <v>105</v>
      </c>
      <c r="K8" s="14"/>
    </row>
    <row r="9" spans="1:11" ht="21.75">
      <c r="A9" s="426" t="s">
        <v>249</v>
      </c>
      <c r="B9" s="79"/>
      <c r="C9" s="75"/>
      <c r="D9" s="76"/>
      <c r="E9" s="76"/>
      <c r="F9" s="76"/>
      <c r="G9" s="76">
        <v>147303.45</v>
      </c>
      <c r="H9" s="76">
        <f>SUM(B9:G9)</f>
        <v>147303.45</v>
      </c>
      <c r="I9" s="52" t="s">
        <v>43</v>
      </c>
      <c r="J9" s="161" t="s">
        <v>105</v>
      </c>
      <c r="K9" s="14"/>
    </row>
    <row r="10" spans="1:11" ht="21.75">
      <c r="A10" s="77" t="s">
        <v>442</v>
      </c>
      <c r="B10" s="79"/>
      <c r="C10" s="75"/>
      <c r="D10" s="76"/>
      <c r="E10" s="76"/>
      <c r="F10" s="76"/>
      <c r="G10" s="76"/>
      <c r="H10" s="76"/>
      <c r="I10" s="52"/>
      <c r="J10" s="161"/>
      <c r="K10" s="14"/>
    </row>
    <row r="11" spans="1:11" ht="88.5" customHeight="1">
      <c r="A11" s="426" t="s">
        <v>669</v>
      </c>
      <c r="B11" s="79">
        <v>1344000</v>
      </c>
      <c r="C11" s="75">
        <v>5296000</v>
      </c>
      <c r="D11" s="76">
        <v>2760000</v>
      </c>
      <c r="E11" s="76">
        <v>336000</v>
      </c>
      <c r="F11" s="76"/>
      <c r="G11" s="76"/>
      <c r="H11" s="76">
        <f>SUM(B11:G11)</f>
        <v>9736000</v>
      </c>
      <c r="I11" s="185" t="s">
        <v>130</v>
      </c>
      <c r="J11" s="161"/>
      <c r="K11" s="161" t="s">
        <v>42</v>
      </c>
    </row>
    <row r="12" spans="1:11" ht="21.75">
      <c r="A12" s="77" t="s">
        <v>200</v>
      </c>
      <c r="B12" s="79"/>
      <c r="C12" s="75"/>
      <c r="D12" s="76"/>
      <c r="E12" s="76"/>
      <c r="F12" s="76"/>
      <c r="G12" s="76"/>
      <c r="H12" s="76"/>
      <c r="I12" s="185"/>
      <c r="J12" s="60"/>
      <c r="K12" s="14"/>
    </row>
    <row r="13" spans="1:11" ht="43.5">
      <c r="A13" s="411" t="s">
        <v>246</v>
      </c>
      <c r="B13" s="425"/>
      <c r="C13" s="425"/>
      <c r="D13" s="425"/>
      <c r="E13" s="425"/>
      <c r="F13" s="425"/>
      <c r="G13" s="425">
        <v>9237.13</v>
      </c>
      <c r="H13" s="198">
        <f>SUM(B13:G13)</f>
        <v>9237.13</v>
      </c>
      <c r="I13" s="185" t="s">
        <v>43</v>
      </c>
      <c r="J13" s="161" t="s">
        <v>105</v>
      </c>
      <c r="K13" s="373"/>
    </row>
    <row r="14" spans="1:11" ht="43.5">
      <c r="A14" s="426" t="s">
        <v>670</v>
      </c>
      <c r="B14" s="425"/>
      <c r="C14" s="425"/>
      <c r="D14" s="425"/>
      <c r="E14" s="425"/>
      <c r="F14" s="425"/>
      <c r="G14" s="425">
        <v>1690608.73</v>
      </c>
      <c r="H14" s="76">
        <f>SUM(B14:G14)</f>
        <v>1690608.73</v>
      </c>
      <c r="I14" s="185" t="s">
        <v>247</v>
      </c>
      <c r="J14" s="161" t="s">
        <v>105</v>
      </c>
      <c r="K14" s="185"/>
    </row>
    <row r="15" spans="1:11" ht="21.75">
      <c r="A15" s="421"/>
      <c r="B15" s="422"/>
      <c r="C15" s="423"/>
      <c r="D15" s="423"/>
      <c r="E15" s="423"/>
      <c r="F15" s="423"/>
      <c r="G15" s="423"/>
      <c r="H15" s="200"/>
      <c r="I15" s="424"/>
      <c r="J15" s="161"/>
      <c r="K15" s="276"/>
    </row>
    <row r="16" spans="1:11" ht="22.5" thickBot="1">
      <c r="A16" s="80" t="s">
        <v>2</v>
      </c>
      <c r="B16" s="105">
        <f aca="true" t="shared" si="0" ref="B16:H16">SUM(B7:B15)</f>
        <v>1344000</v>
      </c>
      <c r="C16" s="105">
        <f t="shared" si="0"/>
        <v>5296000</v>
      </c>
      <c r="D16" s="105">
        <f t="shared" si="0"/>
        <v>2760000</v>
      </c>
      <c r="E16" s="105">
        <f t="shared" si="0"/>
        <v>336000</v>
      </c>
      <c r="F16" s="105">
        <f t="shared" si="0"/>
        <v>0</v>
      </c>
      <c r="G16" s="105">
        <f t="shared" si="0"/>
        <v>24204459.944</v>
      </c>
      <c r="H16" s="105">
        <f t="shared" si="0"/>
        <v>33940459.944</v>
      </c>
      <c r="I16" s="81"/>
      <c r="J16" s="81"/>
      <c r="K16" s="21"/>
    </row>
    <row r="17" ht="22.5" thickTop="1">
      <c r="H17" s="88"/>
    </row>
    <row r="18" spans="5:10" ht="21.75">
      <c r="E18" s="88"/>
      <c r="F18" s="88"/>
      <c r="G18" s="88"/>
      <c r="H18" s="88"/>
      <c r="J18" s="82"/>
    </row>
    <row r="19" spans="6:8" ht="21.75">
      <c r="F19" s="329"/>
      <c r="G19" s="94"/>
      <c r="H19" s="94"/>
    </row>
    <row r="20" spans="1:7" ht="21.75">
      <c r="A20" s="71" t="s">
        <v>44</v>
      </c>
      <c r="E20" s="88"/>
      <c r="F20" s="88"/>
      <c r="G20" s="88"/>
    </row>
    <row r="21" spans="6:7" ht="21.75">
      <c r="F21" s="94"/>
      <c r="G21" s="94"/>
    </row>
    <row r="22" ht="21.75">
      <c r="G22" s="94"/>
    </row>
    <row r="26" ht="21.75">
      <c r="H26" s="261"/>
    </row>
  </sheetData>
  <sheetProtection/>
  <mergeCells count="9">
    <mergeCell ref="A1:K1"/>
    <mergeCell ref="A2:K2"/>
    <mergeCell ref="H4:H5"/>
    <mergeCell ref="I4:I5"/>
    <mergeCell ref="J4:J5"/>
    <mergeCell ref="K4:K5"/>
    <mergeCell ref="A4:A5"/>
    <mergeCell ref="B4:E4"/>
    <mergeCell ref="G4:G5"/>
  </mergeCells>
  <printOptions/>
  <pageMargins left="0.588582677" right="0.248031496" top="1.523622047" bottom="0.25" header="0.905511811023622" footer="0.15748031496063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K34"/>
  <sheetViews>
    <sheetView showGridLines="0" zoomScalePageLayoutView="0" workbookViewId="0" topLeftCell="A1">
      <selection activeCell="K15" sqref="K15"/>
    </sheetView>
  </sheetViews>
  <sheetFormatPr defaultColWidth="9.140625" defaultRowHeight="21.75"/>
  <cols>
    <col min="1" max="1" width="53.421875" style="0" customWidth="1"/>
    <col min="2" max="2" width="10.28125" style="0" customWidth="1"/>
    <col min="3" max="3" width="9.7109375" style="0" customWidth="1"/>
    <col min="4" max="4" width="9.140625" style="0" customWidth="1"/>
    <col min="5" max="5" width="10.00390625" style="0" customWidth="1"/>
    <col min="6" max="6" width="11.57421875" style="0" customWidth="1"/>
    <col min="7" max="7" width="14.8515625" style="0" customWidth="1"/>
    <col min="8" max="8" width="15.28125" style="0" customWidth="1"/>
    <col min="9" max="9" width="16.00390625" style="0" bestFit="1" customWidth="1"/>
    <col min="10" max="10" width="13.421875" style="0" customWidth="1"/>
    <col min="11" max="11" width="14.8515625" style="0" customWidth="1"/>
  </cols>
  <sheetData>
    <row r="1" spans="1:11" ht="23.2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11" ht="23.25">
      <c r="A2" s="764" t="s">
        <v>358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</row>
    <row r="3" spans="1:11" ht="23.25">
      <c r="A3" s="3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1.75">
      <c r="A4" s="795" t="s">
        <v>1</v>
      </c>
      <c r="B4" s="767" t="s">
        <v>13</v>
      </c>
      <c r="C4" s="768"/>
      <c r="D4" s="768"/>
      <c r="E4" s="768"/>
      <c r="F4" s="778"/>
      <c r="G4" s="769" t="s">
        <v>110</v>
      </c>
      <c r="H4" s="769" t="s">
        <v>14</v>
      </c>
      <c r="I4" s="765" t="s">
        <v>6</v>
      </c>
      <c r="J4" s="771" t="s">
        <v>7</v>
      </c>
      <c r="K4" s="771" t="s">
        <v>35</v>
      </c>
    </row>
    <row r="5" spans="1:11" ht="39.75" customHeight="1">
      <c r="A5" s="766"/>
      <c r="B5" s="23" t="s">
        <v>8</v>
      </c>
      <c r="C5" s="23" t="s">
        <v>9</v>
      </c>
      <c r="D5" s="23" t="s">
        <v>193</v>
      </c>
      <c r="E5" s="23" t="s">
        <v>10</v>
      </c>
      <c r="F5" s="112" t="s">
        <v>40</v>
      </c>
      <c r="G5" s="781"/>
      <c r="H5" s="781"/>
      <c r="I5" s="766"/>
      <c r="J5" s="782"/>
      <c r="K5" s="782"/>
    </row>
    <row r="6" spans="1:11" ht="21.75">
      <c r="A6" s="7" t="s">
        <v>38</v>
      </c>
      <c r="B6" s="8"/>
      <c r="C6" s="8"/>
      <c r="D6" s="8"/>
      <c r="E6" s="8"/>
      <c r="F6" s="8"/>
      <c r="G6" s="8"/>
      <c r="H6" s="8"/>
      <c r="I6" s="9"/>
      <c r="J6" s="9"/>
      <c r="K6" s="10"/>
    </row>
    <row r="7" spans="1:11" ht="24.75" customHeight="1">
      <c r="A7" s="136" t="s">
        <v>80</v>
      </c>
      <c r="B7" s="12"/>
      <c r="C7" s="12"/>
      <c r="D7" s="12"/>
      <c r="E7" s="12"/>
      <c r="F7" s="12"/>
      <c r="G7" s="12"/>
      <c r="H7" s="12"/>
      <c r="I7" s="13"/>
      <c r="J7" s="13"/>
      <c r="K7" s="14"/>
    </row>
    <row r="8" spans="1:11" ht="43.5">
      <c r="A8" s="87" t="s">
        <v>79</v>
      </c>
      <c r="B8" s="26"/>
      <c r="C8" s="17"/>
      <c r="D8" s="17"/>
      <c r="E8" s="27"/>
      <c r="F8" s="17"/>
      <c r="G8" s="17">
        <v>11259372</v>
      </c>
      <c r="H8" s="17">
        <f>SUM(B8:G8)</f>
        <v>11259372</v>
      </c>
      <c r="I8" s="15" t="s">
        <v>22</v>
      </c>
      <c r="J8" s="89" t="s">
        <v>11</v>
      </c>
      <c r="K8" s="16"/>
    </row>
    <row r="9" spans="1:11" ht="21.75">
      <c r="A9" s="136" t="s">
        <v>402</v>
      </c>
      <c r="B9" s="26"/>
      <c r="C9" s="17"/>
      <c r="D9" s="17"/>
      <c r="E9" s="27"/>
      <c r="F9" s="17"/>
      <c r="G9" s="17"/>
      <c r="H9" s="17"/>
      <c r="I9" s="15"/>
      <c r="J9" s="89"/>
      <c r="K9" s="16"/>
    </row>
    <row r="10" spans="1:11" ht="21.75">
      <c r="A10" s="85" t="s">
        <v>173</v>
      </c>
      <c r="B10" s="26"/>
      <c r="C10" s="17"/>
      <c r="D10" s="17"/>
      <c r="E10" s="27"/>
      <c r="F10" s="17"/>
      <c r="G10" s="17">
        <v>11960900</v>
      </c>
      <c r="H10" s="17">
        <f>SUM(B10:G10)</f>
        <v>11960900</v>
      </c>
      <c r="I10" s="15" t="s">
        <v>22</v>
      </c>
      <c r="J10" s="89" t="s">
        <v>11</v>
      </c>
      <c r="K10" s="16"/>
    </row>
    <row r="11" spans="1:11" ht="21.75" customHeight="1">
      <c r="A11" s="138" t="s">
        <v>398</v>
      </c>
      <c r="B11" s="26"/>
      <c r="C11" s="17"/>
      <c r="D11" s="17"/>
      <c r="E11" s="27"/>
      <c r="F11" s="27"/>
      <c r="G11" s="27"/>
      <c r="H11" s="17"/>
      <c r="I11" s="15"/>
      <c r="J11" s="89"/>
      <c r="K11" s="16"/>
    </row>
    <row r="12" spans="1:11" ht="21.75">
      <c r="A12" s="158" t="s">
        <v>399</v>
      </c>
      <c r="B12" s="15"/>
      <c r="C12" s="15"/>
      <c r="D12" s="15"/>
      <c r="E12" s="15"/>
      <c r="F12" s="90"/>
      <c r="G12" s="90">
        <v>9000</v>
      </c>
      <c r="H12" s="17">
        <f>SUM(B12:G12)</f>
        <v>9000</v>
      </c>
      <c r="I12" s="15" t="s">
        <v>22</v>
      </c>
      <c r="J12" s="89" t="s">
        <v>11</v>
      </c>
      <c r="K12" s="16"/>
    </row>
    <row r="13" spans="1:11" ht="21.75">
      <c r="A13" s="158" t="s">
        <v>400</v>
      </c>
      <c r="B13" s="15"/>
      <c r="C13" s="15"/>
      <c r="D13" s="15"/>
      <c r="E13" s="15"/>
      <c r="F13" s="90"/>
      <c r="G13" s="90">
        <v>3600</v>
      </c>
      <c r="H13" s="17">
        <f>SUM(B13:G13)</f>
        <v>3600</v>
      </c>
      <c r="I13" s="15" t="s">
        <v>22</v>
      </c>
      <c r="J13" s="89" t="s">
        <v>11</v>
      </c>
      <c r="K13" s="16"/>
    </row>
    <row r="14" spans="1:11" ht="21.75">
      <c r="A14" s="158" t="s">
        <v>401</v>
      </c>
      <c r="B14" s="15"/>
      <c r="C14" s="15"/>
      <c r="D14" s="15"/>
      <c r="E14" s="15"/>
      <c r="F14" s="90"/>
      <c r="G14" s="90">
        <v>18000</v>
      </c>
      <c r="H14" s="17">
        <f>SUM(B14:G14)</f>
        <v>18000</v>
      </c>
      <c r="I14" s="15" t="s">
        <v>22</v>
      </c>
      <c r="J14" s="89" t="s">
        <v>11</v>
      </c>
      <c r="K14" s="16"/>
    </row>
    <row r="15" spans="1:11" ht="21.75">
      <c r="A15" s="280" t="s">
        <v>39</v>
      </c>
      <c r="B15" s="15"/>
      <c r="C15" s="15"/>
      <c r="D15" s="15"/>
      <c r="E15" s="15"/>
      <c r="F15" s="90"/>
      <c r="G15" s="90"/>
      <c r="H15" s="17"/>
      <c r="I15" s="15"/>
      <c r="J15" s="89"/>
      <c r="K15" s="16"/>
    </row>
    <row r="16" spans="1:11" ht="65.25">
      <c r="A16" s="158" t="s">
        <v>209</v>
      </c>
      <c r="B16" s="18"/>
      <c r="C16" s="18"/>
      <c r="D16" s="18"/>
      <c r="E16" s="18"/>
      <c r="F16" s="155"/>
      <c r="G16" s="155">
        <f>571934.8</f>
        <v>571934.8</v>
      </c>
      <c r="H16" s="17">
        <f>SUM(B16:G16)</f>
        <v>571934.8</v>
      </c>
      <c r="I16" s="15" t="s">
        <v>22</v>
      </c>
      <c r="J16" s="89" t="s">
        <v>11</v>
      </c>
      <c r="K16" s="16"/>
    </row>
    <row r="17" spans="1:11" ht="43.5">
      <c r="A17" s="158" t="s">
        <v>210</v>
      </c>
      <c r="B17" s="18"/>
      <c r="C17" s="18"/>
      <c r="D17" s="18"/>
      <c r="E17" s="18"/>
      <c r="F17" s="155"/>
      <c r="G17" s="155"/>
      <c r="H17" s="17">
        <f>SUM(B17:G17)</f>
        <v>0</v>
      </c>
      <c r="I17" s="15" t="s">
        <v>22</v>
      </c>
      <c r="J17" s="89" t="s">
        <v>11</v>
      </c>
      <c r="K17" s="16"/>
    </row>
    <row r="18" spans="1:11" ht="43.5">
      <c r="A18" s="158" t="s">
        <v>151</v>
      </c>
      <c r="B18" s="15"/>
      <c r="C18" s="15"/>
      <c r="D18" s="15"/>
      <c r="E18" s="15"/>
      <c r="F18" s="90"/>
      <c r="G18" s="90">
        <v>7566313.23</v>
      </c>
      <c r="H18" s="17">
        <f>SUM(B18:G18)</f>
        <v>7566313.23</v>
      </c>
      <c r="I18" s="161" t="s">
        <v>45</v>
      </c>
      <c r="J18" s="16" t="s">
        <v>11</v>
      </c>
      <c r="K18" s="16"/>
    </row>
    <row r="19" spans="1:11" ht="21.75">
      <c r="A19" s="281" t="s">
        <v>170</v>
      </c>
      <c r="B19" s="91"/>
      <c r="C19" s="91"/>
      <c r="D19" s="91"/>
      <c r="E19" s="91"/>
      <c r="F19" s="91"/>
      <c r="G19" s="92"/>
      <c r="H19" s="17"/>
      <c r="I19" s="91"/>
      <c r="J19" s="131"/>
      <c r="K19" s="131"/>
    </row>
    <row r="20" spans="1:11" ht="43.5">
      <c r="A20" s="158" t="s">
        <v>174</v>
      </c>
      <c r="B20" s="250"/>
      <c r="C20" s="250"/>
      <c r="D20" s="250"/>
      <c r="E20" s="250"/>
      <c r="F20" s="249"/>
      <c r="G20" s="29">
        <v>3429532.11</v>
      </c>
      <c r="H20" s="17">
        <f>SUM(B20:G20)</f>
        <v>3429532.11</v>
      </c>
      <c r="I20" s="134" t="s">
        <v>171</v>
      </c>
      <c r="J20" s="16" t="s">
        <v>11</v>
      </c>
      <c r="K20" s="16"/>
    </row>
    <row r="21" spans="1:11" ht="43.5">
      <c r="A21" s="158" t="s">
        <v>172</v>
      </c>
      <c r="B21" s="250"/>
      <c r="C21" s="250"/>
      <c r="D21" s="250"/>
      <c r="E21" s="250"/>
      <c r="F21" s="249"/>
      <c r="G21" s="29">
        <v>1318931.48</v>
      </c>
      <c r="H21" s="17">
        <f>SUM(B21:G21)</f>
        <v>1318931.48</v>
      </c>
      <c r="I21" s="134" t="s">
        <v>171</v>
      </c>
      <c r="J21" s="16" t="s">
        <v>11</v>
      </c>
      <c r="K21" s="16"/>
    </row>
    <row r="22" spans="1:11" ht="21.75">
      <c r="A22" s="281" t="s">
        <v>260</v>
      </c>
      <c r="B22" s="18"/>
      <c r="C22" s="18"/>
      <c r="D22" s="18"/>
      <c r="E22" s="18"/>
      <c r="F22" s="18"/>
      <c r="G22" s="434"/>
      <c r="H22" s="17"/>
      <c r="I22" s="134"/>
      <c r="J22" s="16"/>
      <c r="K22" s="16"/>
    </row>
    <row r="23" spans="1:11" ht="43.5">
      <c r="A23" s="158" t="s">
        <v>261</v>
      </c>
      <c r="B23" s="15"/>
      <c r="C23" s="15"/>
      <c r="D23" s="15"/>
      <c r="E23" s="15"/>
      <c r="F23" s="15"/>
      <c r="G23" s="28">
        <v>6227883.84</v>
      </c>
      <c r="H23" s="17">
        <f aca="true" t="shared" si="0" ref="H23:H29">SUM(B23:G23)</f>
        <v>6227883.84</v>
      </c>
      <c r="I23" s="134" t="s">
        <v>43</v>
      </c>
      <c r="J23" s="16" t="s">
        <v>11</v>
      </c>
      <c r="K23" s="16"/>
    </row>
    <row r="24" spans="1:11" ht="65.25">
      <c r="A24" s="158" t="s">
        <v>732</v>
      </c>
      <c r="B24" s="15"/>
      <c r="C24" s="15"/>
      <c r="D24" s="15"/>
      <c r="E24" s="15"/>
      <c r="F24" s="15"/>
      <c r="G24" s="28">
        <v>2223095</v>
      </c>
      <c r="H24" s="17">
        <f t="shared" si="0"/>
        <v>2223095</v>
      </c>
      <c r="I24" s="134" t="s">
        <v>43</v>
      </c>
      <c r="J24" s="16" t="s">
        <v>11</v>
      </c>
      <c r="K24" s="16"/>
    </row>
    <row r="25" spans="1:11" ht="65.25">
      <c r="A25" s="158" t="s">
        <v>733</v>
      </c>
      <c r="B25" s="15"/>
      <c r="C25" s="15"/>
      <c r="D25" s="15"/>
      <c r="E25" s="15"/>
      <c r="F25" s="15"/>
      <c r="G25" s="28">
        <v>103639</v>
      </c>
      <c r="H25" s="17">
        <f t="shared" si="0"/>
        <v>103639</v>
      </c>
      <c r="I25" s="134" t="s">
        <v>43</v>
      </c>
      <c r="J25" s="16" t="s">
        <v>11</v>
      </c>
      <c r="K25" s="16"/>
    </row>
    <row r="26" spans="1:11" ht="43.5">
      <c r="A26" s="158" t="s">
        <v>734</v>
      </c>
      <c r="B26" s="15"/>
      <c r="C26" s="15"/>
      <c r="D26" s="15"/>
      <c r="E26" s="15"/>
      <c r="F26" s="15"/>
      <c r="G26" s="28">
        <v>67339.6</v>
      </c>
      <c r="H26" s="17">
        <f t="shared" si="0"/>
        <v>67339.6</v>
      </c>
      <c r="I26" s="134" t="s">
        <v>43</v>
      </c>
      <c r="J26" s="16" t="s">
        <v>11</v>
      </c>
      <c r="K26" s="16"/>
    </row>
    <row r="27" spans="1:11" ht="65.25">
      <c r="A27" s="158" t="s">
        <v>262</v>
      </c>
      <c r="B27" s="15"/>
      <c r="C27" s="15"/>
      <c r="D27" s="15"/>
      <c r="E27" s="15"/>
      <c r="F27" s="15"/>
      <c r="G27" s="28">
        <v>248878</v>
      </c>
      <c r="H27" s="17">
        <f t="shared" si="0"/>
        <v>248878</v>
      </c>
      <c r="I27" s="134" t="s">
        <v>43</v>
      </c>
      <c r="J27" s="16" t="s">
        <v>11</v>
      </c>
      <c r="K27" s="16"/>
    </row>
    <row r="28" spans="1:11" ht="65.25">
      <c r="A28" s="158" t="s">
        <v>735</v>
      </c>
      <c r="B28" s="15"/>
      <c r="C28" s="15"/>
      <c r="D28" s="15"/>
      <c r="E28" s="15"/>
      <c r="F28" s="15"/>
      <c r="G28" s="28">
        <v>499608</v>
      </c>
      <c r="H28" s="17">
        <f t="shared" si="0"/>
        <v>499608</v>
      </c>
      <c r="I28" s="134" t="s">
        <v>43</v>
      </c>
      <c r="J28" s="16" t="s">
        <v>11</v>
      </c>
      <c r="K28" s="16"/>
    </row>
    <row r="29" spans="1:11" ht="43.5">
      <c r="A29" s="158" t="s">
        <v>736</v>
      </c>
      <c r="B29" s="15"/>
      <c r="C29" s="15"/>
      <c r="D29" s="15"/>
      <c r="E29" s="15"/>
      <c r="F29" s="15"/>
      <c r="G29" s="28">
        <v>136040.29</v>
      </c>
      <c r="H29" s="17">
        <f t="shared" si="0"/>
        <v>136040.29</v>
      </c>
      <c r="I29" s="134" t="s">
        <v>43</v>
      </c>
      <c r="J29" s="16" t="s">
        <v>11</v>
      </c>
      <c r="K29" s="16"/>
    </row>
    <row r="30" spans="1:11" ht="22.5" thickBot="1">
      <c r="A30" s="19" t="s">
        <v>2</v>
      </c>
      <c r="B30" s="104">
        <f aca="true" t="shared" si="1" ref="B30:H30">SUM(B8:B29)</f>
        <v>0</v>
      </c>
      <c r="C30" s="104">
        <f t="shared" si="1"/>
        <v>0</v>
      </c>
      <c r="D30" s="104">
        <f t="shared" si="1"/>
        <v>0</v>
      </c>
      <c r="E30" s="104">
        <f t="shared" si="1"/>
        <v>0</v>
      </c>
      <c r="F30" s="104">
        <f t="shared" si="1"/>
        <v>0</v>
      </c>
      <c r="G30" s="104">
        <f t="shared" si="1"/>
        <v>45644067.349999994</v>
      </c>
      <c r="H30" s="20">
        <f t="shared" si="1"/>
        <v>45644067.349999994</v>
      </c>
      <c r="I30" s="21"/>
      <c r="J30" s="21"/>
      <c r="K30" s="21"/>
    </row>
    <row r="31" ht="22.5" thickTop="1"/>
    <row r="32" spans="6:10" ht="21.75">
      <c r="F32" s="1"/>
      <c r="H32" s="251"/>
      <c r="J32" s="22"/>
    </row>
    <row r="34" ht="21.75">
      <c r="A34" t="s">
        <v>208</v>
      </c>
    </row>
  </sheetData>
  <sheetProtection/>
  <mergeCells count="9">
    <mergeCell ref="A1:K1"/>
    <mergeCell ref="A2:K2"/>
    <mergeCell ref="H4:H5"/>
    <mergeCell ref="I4:I5"/>
    <mergeCell ref="J4:J5"/>
    <mergeCell ref="K4:K5"/>
    <mergeCell ref="A4:A5"/>
    <mergeCell ref="G4:G5"/>
    <mergeCell ref="B4:F4"/>
  </mergeCells>
  <printOptions/>
  <pageMargins left="0.590551181102362" right="0.393700787401575" top="1.220472441" bottom="0.25" header="0.433070866141732" footer="0.15748031496063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L23"/>
  <sheetViews>
    <sheetView showGridLines="0" zoomScalePageLayoutView="0" workbookViewId="0" topLeftCell="A1">
      <selection activeCell="P17" sqref="P17"/>
    </sheetView>
  </sheetViews>
  <sheetFormatPr defaultColWidth="9.140625" defaultRowHeight="21.75"/>
  <cols>
    <col min="1" max="1" width="51.8515625" style="0" customWidth="1"/>
    <col min="2" max="2" width="13.8515625" style="0" customWidth="1"/>
    <col min="3" max="3" width="13.00390625" style="45" customWidth="1"/>
    <col min="4" max="4" width="14.28125" style="0" customWidth="1"/>
    <col min="5" max="5" width="13.00390625" style="0" customWidth="1"/>
    <col min="6" max="6" width="9.00390625" style="0" customWidth="1"/>
    <col min="7" max="7" width="0.2890625" style="0" hidden="1" customWidth="1"/>
    <col min="8" max="8" width="15.00390625" style="45" customWidth="1"/>
    <col min="9" max="9" width="13.7109375" style="45" customWidth="1"/>
    <col min="10" max="10" width="10.28125" style="0" customWidth="1"/>
    <col min="11" max="11" width="13.7109375" style="0" customWidth="1"/>
    <col min="12" max="12" width="11.8515625" style="0" customWidth="1"/>
  </cols>
  <sheetData>
    <row r="1" spans="1:12" ht="23.2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</row>
    <row r="2" spans="1:12" ht="23.25">
      <c r="A2" s="764" t="s">
        <v>358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</row>
    <row r="3" spans="1:12" ht="23.25">
      <c r="A3" s="3"/>
      <c r="B3" s="3"/>
      <c r="C3" s="38"/>
      <c r="D3" s="3"/>
      <c r="E3" s="3"/>
      <c r="F3" s="3"/>
      <c r="G3" s="3"/>
      <c r="H3" s="38"/>
      <c r="I3" s="38"/>
      <c r="J3" s="3"/>
      <c r="K3" s="3"/>
      <c r="L3" s="3"/>
    </row>
    <row r="4" spans="1:12" ht="21.75" customHeight="1">
      <c r="A4" s="798" t="s">
        <v>1</v>
      </c>
      <c r="B4" s="767" t="s">
        <v>13</v>
      </c>
      <c r="C4" s="768"/>
      <c r="D4" s="768"/>
      <c r="E4" s="768"/>
      <c r="F4" s="768"/>
      <c r="G4" s="768"/>
      <c r="H4" s="769" t="s">
        <v>81</v>
      </c>
      <c r="I4" s="791" t="s">
        <v>14</v>
      </c>
      <c r="J4" s="765" t="s">
        <v>6</v>
      </c>
      <c r="K4" s="796" t="s">
        <v>7</v>
      </c>
      <c r="L4" s="771" t="s">
        <v>35</v>
      </c>
    </row>
    <row r="5" spans="1:12" ht="44.25" customHeight="1">
      <c r="A5" s="799"/>
      <c r="B5" s="23" t="s">
        <v>8</v>
      </c>
      <c r="C5" s="23" t="s">
        <v>9</v>
      </c>
      <c r="D5" s="23" t="s">
        <v>211</v>
      </c>
      <c r="E5" s="23" t="s">
        <v>10</v>
      </c>
      <c r="F5" s="23" t="s">
        <v>23</v>
      </c>
      <c r="G5" s="112" t="s">
        <v>40</v>
      </c>
      <c r="H5" s="781"/>
      <c r="I5" s="792"/>
      <c r="J5" s="766"/>
      <c r="K5" s="797"/>
      <c r="L5" s="782"/>
    </row>
    <row r="6" spans="1:12" ht="21.75">
      <c r="A6" s="121" t="s">
        <v>24</v>
      </c>
      <c r="B6" s="122"/>
      <c r="C6" s="122"/>
      <c r="D6" s="122"/>
      <c r="E6" s="122"/>
      <c r="F6" s="122"/>
      <c r="G6" s="122"/>
      <c r="H6" s="122"/>
      <c r="I6" s="122"/>
      <c r="J6" s="590"/>
      <c r="K6" s="652"/>
      <c r="L6" s="572"/>
    </row>
    <row r="7" spans="1:12" ht="21.75">
      <c r="A7" s="136" t="s">
        <v>25</v>
      </c>
      <c r="B7" s="591"/>
      <c r="C7" s="591"/>
      <c r="D7" s="591"/>
      <c r="E7" s="591"/>
      <c r="F7" s="591"/>
      <c r="G7" s="591"/>
      <c r="H7" s="591"/>
      <c r="I7" s="591"/>
      <c r="J7" s="592"/>
      <c r="K7" s="653"/>
      <c r="L7" s="573"/>
    </row>
    <row r="8" spans="1:12" ht="65.25">
      <c r="A8" s="593" t="s">
        <v>725</v>
      </c>
      <c r="B8" s="143">
        <v>3516800</v>
      </c>
      <c r="C8" s="143">
        <v>7105280</v>
      </c>
      <c r="D8" s="143">
        <v>5280000</v>
      </c>
      <c r="E8" s="143">
        <v>4097920</v>
      </c>
      <c r="F8" s="143"/>
      <c r="G8" s="594"/>
      <c r="H8" s="595"/>
      <c r="I8" s="596">
        <f>SUM(B8:H8)</f>
        <v>20000000</v>
      </c>
      <c r="J8" s="196" t="s">
        <v>109</v>
      </c>
      <c r="K8" s="609" t="s">
        <v>201</v>
      </c>
      <c r="L8" s="573"/>
    </row>
    <row r="9" spans="1:12" ht="87">
      <c r="A9" s="597" t="s">
        <v>726</v>
      </c>
      <c r="B9" s="594"/>
      <c r="C9" s="598"/>
      <c r="D9" s="143">
        <v>6622200</v>
      </c>
      <c r="E9" s="594"/>
      <c r="F9" s="143"/>
      <c r="G9" s="594"/>
      <c r="H9" s="595"/>
      <c r="I9" s="596">
        <f>SUM(B9:H9)</f>
        <v>6622200</v>
      </c>
      <c r="J9" s="196" t="s">
        <v>109</v>
      </c>
      <c r="K9" s="609" t="s">
        <v>201</v>
      </c>
      <c r="L9" s="574"/>
    </row>
    <row r="10" spans="1:12" ht="43.5">
      <c r="A10" s="593" t="s">
        <v>728</v>
      </c>
      <c r="B10" s="143"/>
      <c r="C10" s="595">
        <v>189820</v>
      </c>
      <c r="D10" s="143"/>
      <c r="E10" s="594"/>
      <c r="F10" s="143"/>
      <c r="G10" s="594"/>
      <c r="H10" s="595"/>
      <c r="I10" s="596">
        <f>SUM(B10:H10)</f>
        <v>189820</v>
      </c>
      <c r="J10" s="196" t="s">
        <v>109</v>
      </c>
      <c r="K10" s="654" t="s">
        <v>727</v>
      </c>
      <c r="L10" s="574"/>
    </row>
    <row r="11" spans="1:12" ht="21.75">
      <c r="A11" s="599" t="s">
        <v>15</v>
      </c>
      <c r="B11" s="600"/>
      <c r="C11" s="600"/>
      <c r="D11" s="600"/>
      <c r="E11" s="600"/>
      <c r="F11" s="600"/>
      <c r="G11" s="601"/>
      <c r="H11" s="595"/>
      <c r="I11" s="602"/>
      <c r="J11" s="148"/>
      <c r="K11" s="610"/>
      <c r="L11" s="575"/>
    </row>
    <row r="12" spans="1:12" ht="87">
      <c r="A12" s="148" t="s">
        <v>729</v>
      </c>
      <c r="B12" s="594"/>
      <c r="C12" s="598"/>
      <c r="D12" s="594"/>
      <c r="E12" s="594"/>
      <c r="F12" s="594"/>
      <c r="G12" s="594"/>
      <c r="H12" s="603">
        <v>1991358</v>
      </c>
      <c r="I12" s="596">
        <f>SUM(B12:H12)</f>
        <v>1991358</v>
      </c>
      <c r="J12" s="196" t="s">
        <v>109</v>
      </c>
      <c r="K12" s="655" t="s">
        <v>792</v>
      </c>
      <c r="L12" s="611"/>
    </row>
    <row r="13" spans="1:12" ht="87">
      <c r="A13" s="593" t="s">
        <v>730</v>
      </c>
      <c r="B13" s="594"/>
      <c r="C13" s="598"/>
      <c r="D13" s="143"/>
      <c r="E13" s="594"/>
      <c r="F13" s="594"/>
      <c r="G13" s="594"/>
      <c r="H13" s="595">
        <v>663786</v>
      </c>
      <c r="I13" s="596">
        <f>SUM(B13:H13)</f>
        <v>663786</v>
      </c>
      <c r="J13" s="196" t="s">
        <v>109</v>
      </c>
      <c r="K13" s="610" t="s">
        <v>11</v>
      </c>
      <c r="L13" s="659"/>
    </row>
    <row r="14" spans="1:12" ht="21.75">
      <c r="A14" s="136" t="s">
        <v>269</v>
      </c>
      <c r="B14" s="601"/>
      <c r="C14" s="604"/>
      <c r="D14" s="600"/>
      <c r="E14" s="601"/>
      <c r="F14" s="601"/>
      <c r="G14" s="601"/>
      <c r="H14" s="605"/>
      <c r="I14" s="596"/>
      <c r="J14" s="606"/>
      <c r="K14" s="610"/>
      <c r="L14" s="660"/>
    </row>
    <row r="15" spans="1:12" ht="65.25">
      <c r="A15" s="593" t="s">
        <v>731</v>
      </c>
      <c r="B15" s="594"/>
      <c r="C15" s="598"/>
      <c r="D15" s="143"/>
      <c r="E15" s="594"/>
      <c r="F15" s="594"/>
      <c r="G15" s="594"/>
      <c r="H15" s="595">
        <v>40000</v>
      </c>
      <c r="I15" s="596">
        <f>SUM(B15:H15)</f>
        <v>40000</v>
      </c>
      <c r="J15" s="148" t="s">
        <v>270</v>
      </c>
      <c r="K15" s="661" t="s">
        <v>793</v>
      </c>
      <c r="L15" s="660"/>
    </row>
    <row r="16" spans="1:12" ht="21.75">
      <c r="A16" s="343"/>
      <c r="B16" s="202"/>
      <c r="C16" s="203"/>
      <c r="D16" s="205"/>
      <c r="E16" s="202"/>
      <c r="F16" s="202"/>
      <c r="G16" s="202"/>
      <c r="H16" s="204"/>
      <c r="I16" s="384"/>
      <c r="J16" s="173"/>
      <c r="K16" s="656"/>
      <c r="L16" s="15"/>
    </row>
    <row r="17" spans="1:12" ht="21.75">
      <c r="A17" s="371"/>
      <c r="B17" s="372"/>
      <c r="C17" s="372"/>
      <c r="D17" s="372"/>
      <c r="E17" s="372"/>
      <c r="F17" s="372"/>
      <c r="G17" s="373"/>
      <c r="H17" s="374"/>
      <c r="I17" s="375"/>
      <c r="J17" s="376"/>
      <c r="K17" s="657"/>
      <c r="L17" s="377"/>
    </row>
    <row r="18" spans="1:12" ht="22.5" thickBot="1">
      <c r="A18" s="19" t="s">
        <v>2</v>
      </c>
      <c r="B18" s="20">
        <f aca="true" t="shared" si="0" ref="B18:I18">SUM(B8:B17)</f>
        <v>3516800</v>
      </c>
      <c r="C18" s="20">
        <f t="shared" si="0"/>
        <v>7295100</v>
      </c>
      <c r="D18" s="20">
        <f t="shared" si="0"/>
        <v>11902200</v>
      </c>
      <c r="E18" s="20">
        <f t="shared" si="0"/>
        <v>4097920</v>
      </c>
      <c r="F18" s="20">
        <f t="shared" si="0"/>
        <v>0</v>
      </c>
      <c r="G18" s="20">
        <f t="shared" si="0"/>
        <v>0</v>
      </c>
      <c r="H18" s="174">
        <f t="shared" si="0"/>
        <v>2695144</v>
      </c>
      <c r="I18" s="174">
        <f t="shared" si="0"/>
        <v>29507164</v>
      </c>
      <c r="J18" s="21"/>
      <c r="K18" s="658"/>
      <c r="L18" s="21"/>
    </row>
    <row r="19" spans="1:12" ht="22.5" thickTop="1">
      <c r="A19" s="36"/>
      <c r="B19" s="43"/>
      <c r="C19" s="44"/>
      <c r="D19" s="36"/>
      <c r="E19" s="36"/>
      <c r="F19" s="36"/>
      <c r="G19" s="36"/>
      <c r="H19" s="44"/>
      <c r="I19" s="44"/>
      <c r="J19" s="36"/>
      <c r="K19" s="36"/>
      <c r="L19" s="36"/>
    </row>
    <row r="20" spans="6:9" ht="21.75">
      <c r="F20" s="1"/>
      <c r="I20" s="465"/>
    </row>
    <row r="21" spans="8:9" ht="21.75">
      <c r="H21" s="385"/>
      <c r="I21" s="465"/>
    </row>
    <row r="22" ht="21.75">
      <c r="C22" s="465"/>
    </row>
    <row r="23" ht="21.75">
      <c r="C23" s="437"/>
    </row>
  </sheetData>
  <sheetProtection/>
  <mergeCells count="9">
    <mergeCell ref="A2:L2"/>
    <mergeCell ref="A1:L1"/>
    <mergeCell ref="I4:I5"/>
    <mergeCell ref="J4:J5"/>
    <mergeCell ref="K4:K5"/>
    <mergeCell ref="L4:L5"/>
    <mergeCell ref="A4:A5"/>
    <mergeCell ref="B4:G4"/>
    <mergeCell ref="H4:H5"/>
  </mergeCells>
  <printOptions/>
  <pageMargins left="0.56" right="0.17" top="0.29" bottom="0" header="1.31" footer="0.15748031496063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showGridLines="0" zoomScalePageLayoutView="0" workbookViewId="0" topLeftCell="A1">
      <selection activeCell="H17" sqref="H17"/>
    </sheetView>
  </sheetViews>
  <sheetFormatPr defaultColWidth="9.140625" defaultRowHeight="21.75"/>
  <cols>
    <col min="1" max="1" width="41.140625" style="0" customWidth="1"/>
    <col min="2" max="2" width="10.28125" style="0" customWidth="1"/>
    <col min="3" max="3" width="10.28125" style="0" bestFit="1" customWidth="1"/>
    <col min="4" max="4" width="12.8515625" style="0" customWidth="1"/>
    <col min="5" max="5" width="11.28125" style="0" bestFit="1" customWidth="1"/>
    <col min="6" max="6" width="13.7109375" style="0" customWidth="1"/>
    <col min="7" max="7" width="15.140625" style="0" customWidth="1"/>
    <col min="8" max="8" width="12.8515625" style="0" customWidth="1"/>
    <col min="9" max="9" width="12.7109375" style="0" customWidth="1"/>
    <col min="10" max="10" width="12.421875" style="0" customWidth="1"/>
    <col min="11" max="11" width="12.140625" style="0" customWidth="1"/>
    <col min="13" max="13" width="11.00390625" style="0" bestFit="1" customWidth="1"/>
    <col min="14" max="14" width="13.28125" style="0" customWidth="1"/>
  </cols>
  <sheetData>
    <row r="1" spans="1:11" ht="23.2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11" ht="23.25">
      <c r="A2" s="764" t="s">
        <v>358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</row>
    <row r="3" ht="15.75" customHeight="1"/>
    <row r="4" spans="1:11" ht="21.75">
      <c r="A4" s="765" t="s">
        <v>1</v>
      </c>
      <c r="B4" s="767" t="s">
        <v>13</v>
      </c>
      <c r="C4" s="768"/>
      <c r="D4" s="768"/>
      <c r="E4" s="768"/>
      <c r="F4" s="156"/>
      <c r="G4" s="769" t="s">
        <v>110</v>
      </c>
      <c r="H4" s="769" t="s">
        <v>14</v>
      </c>
      <c r="I4" s="765" t="s">
        <v>6</v>
      </c>
      <c r="J4" s="771" t="s">
        <v>7</v>
      </c>
      <c r="K4" s="771" t="s">
        <v>35</v>
      </c>
    </row>
    <row r="5" spans="1:11" ht="48" customHeight="1">
      <c r="A5" s="766"/>
      <c r="B5" s="23" t="s">
        <v>8</v>
      </c>
      <c r="C5" s="23" t="s">
        <v>9</v>
      </c>
      <c r="D5" s="23" t="s">
        <v>193</v>
      </c>
      <c r="E5" s="23" t="s">
        <v>10</v>
      </c>
      <c r="F5" s="157" t="s">
        <v>40</v>
      </c>
      <c r="G5" s="781"/>
      <c r="H5" s="781"/>
      <c r="I5" s="766"/>
      <c r="J5" s="782"/>
      <c r="K5" s="782"/>
    </row>
    <row r="6" spans="1:11" ht="21.75">
      <c r="A6" s="7" t="s">
        <v>206</v>
      </c>
      <c r="B6" s="8"/>
      <c r="C6" s="8"/>
      <c r="D6" s="8"/>
      <c r="E6" s="8"/>
      <c r="F6" s="8"/>
      <c r="G6" s="8"/>
      <c r="H6" s="8"/>
      <c r="I6" s="9"/>
      <c r="J6" s="9"/>
      <c r="K6" s="10"/>
    </row>
    <row r="7" spans="1:11" ht="21.75">
      <c r="A7" s="24" t="s">
        <v>251</v>
      </c>
      <c r="B7" s="12"/>
      <c r="C7" s="12"/>
      <c r="D7" s="12"/>
      <c r="E7" s="12"/>
      <c r="F7" s="12"/>
      <c r="G7" s="12"/>
      <c r="H7" s="12"/>
      <c r="I7" s="13"/>
      <c r="J7" s="13"/>
      <c r="K7" s="14"/>
    </row>
    <row r="8" spans="1:11" ht="65.25">
      <c r="A8" s="283" t="s">
        <v>743</v>
      </c>
      <c r="B8" s="59"/>
      <c r="C8" s="59"/>
      <c r="D8" s="40"/>
      <c r="E8" s="40"/>
      <c r="F8" s="40"/>
      <c r="G8" s="40">
        <v>307167.33</v>
      </c>
      <c r="H8" s="40">
        <f>SUM(B8:G8)</f>
        <v>307167.33</v>
      </c>
      <c r="I8" s="154" t="s">
        <v>187</v>
      </c>
      <c r="J8" s="378" t="s">
        <v>252</v>
      </c>
      <c r="K8" s="338"/>
    </row>
    <row r="9" spans="1:11" ht="46.5">
      <c r="A9" s="283" t="s">
        <v>354</v>
      </c>
      <c r="B9" s="12"/>
      <c r="C9" s="12"/>
      <c r="D9" s="368"/>
      <c r="E9" s="368"/>
      <c r="F9" s="368"/>
      <c r="G9" s="379">
        <v>20437.95</v>
      </c>
      <c r="H9" s="40">
        <f>SUM(B9:G9)</f>
        <v>20437.95</v>
      </c>
      <c r="I9" s="154" t="s">
        <v>187</v>
      </c>
      <c r="J9" s="320" t="s">
        <v>143</v>
      </c>
      <c r="K9" s="197"/>
    </row>
    <row r="10" spans="1:13" ht="21.75">
      <c r="A10" s="283"/>
      <c r="B10" s="165"/>
      <c r="C10" s="165"/>
      <c r="D10" s="165"/>
      <c r="E10" s="165"/>
      <c r="F10" s="165"/>
      <c r="G10" s="166"/>
      <c r="H10" s="253"/>
      <c r="I10" s="150"/>
      <c r="J10" s="320"/>
      <c r="K10" s="197"/>
      <c r="M10" s="30"/>
    </row>
    <row r="11" spans="1:11" ht="21.75">
      <c r="A11" s="283"/>
      <c r="B11" s="83"/>
      <c r="C11" s="17"/>
      <c r="D11" s="17"/>
      <c r="E11" s="17"/>
      <c r="F11" s="17"/>
      <c r="G11" s="124"/>
      <c r="H11" s="17"/>
      <c r="I11" s="15"/>
      <c r="J11" s="15"/>
      <c r="K11" s="16"/>
    </row>
    <row r="12" spans="1:11" ht="24.75" customHeight="1">
      <c r="A12" s="41"/>
      <c r="B12" s="83"/>
      <c r="C12" s="17"/>
      <c r="D12" s="17"/>
      <c r="E12" s="27"/>
      <c r="F12" s="27"/>
      <c r="G12" s="27"/>
      <c r="H12" s="40"/>
      <c r="I12" s="15"/>
      <c r="J12" s="60"/>
      <c r="K12" s="16"/>
    </row>
    <row r="13" spans="1:11" ht="22.5" thickBot="1">
      <c r="A13" s="19" t="s">
        <v>2</v>
      </c>
      <c r="B13" s="105">
        <f aca="true" t="shared" si="0" ref="B13:H13">SUM(B5:B12)</f>
        <v>0</v>
      </c>
      <c r="C13" s="105">
        <f t="shared" si="0"/>
        <v>0</v>
      </c>
      <c r="D13" s="105">
        <f t="shared" si="0"/>
        <v>0</v>
      </c>
      <c r="E13" s="105">
        <f t="shared" si="0"/>
        <v>0</v>
      </c>
      <c r="F13" s="105">
        <f t="shared" si="0"/>
        <v>0</v>
      </c>
      <c r="G13" s="105">
        <f t="shared" si="0"/>
        <v>327605.28</v>
      </c>
      <c r="H13" s="105">
        <f t="shared" si="0"/>
        <v>327605.28</v>
      </c>
      <c r="I13" s="21"/>
      <c r="J13" s="21"/>
      <c r="K13" s="21"/>
    </row>
    <row r="14" ht="22.5" thickTop="1"/>
    <row r="15" ht="21.75">
      <c r="J15" s="22"/>
    </row>
    <row r="16" spans="3:6" ht="21.75">
      <c r="C16" s="2"/>
      <c r="D16" s="1"/>
      <c r="E16" s="1"/>
      <c r="F16" s="1"/>
    </row>
    <row r="17" ht="21.75">
      <c r="C17" s="2"/>
    </row>
    <row r="18" ht="21.75">
      <c r="C18" s="2"/>
    </row>
    <row r="19" ht="21.75">
      <c r="C19" s="2"/>
    </row>
    <row r="20" ht="21.75">
      <c r="C20" s="2"/>
    </row>
    <row r="31" ht="21.75">
      <c r="K31" s="84"/>
    </row>
  </sheetData>
  <sheetProtection/>
  <mergeCells count="9">
    <mergeCell ref="A1:K1"/>
    <mergeCell ref="A2:K2"/>
    <mergeCell ref="A4:A5"/>
    <mergeCell ref="B4:E4"/>
    <mergeCell ref="G4:G5"/>
    <mergeCell ref="H4:H5"/>
    <mergeCell ref="I4:I5"/>
    <mergeCell ref="J4:J5"/>
    <mergeCell ref="K4:K5"/>
  </mergeCells>
  <printOptions horizontalCentered="1" verticalCentered="1"/>
  <pageMargins left="1.051181102" right="0.748031496062992" top="0.82480315" bottom="0.696850394" header="0.669291338582677" footer="0.15748031496063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showGridLines="0" zoomScalePageLayoutView="0" workbookViewId="0" topLeftCell="A1">
      <selection activeCell="B19" sqref="B19"/>
    </sheetView>
  </sheetViews>
  <sheetFormatPr defaultColWidth="9.140625" defaultRowHeight="21.75"/>
  <cols>
    <col min="1" max="1" width="43.8515625" style="0" customWidth="1"/>
    <col min="2" max="2" width="10.28125" style="0" customWidth="1"/>
    <col min="3" max="3" width="10.28125" style="0" bestFit="1" customWidth="1"/>
    <col min="4" max="4" width="12.8515625" style="0" customWidth="1"/>
    <col min="5" max="5" width="11.28125" style="0" bestFit="1" customWidth="1"/>
    <col min="6" max="6" width="13.7109375" style="0" customWidth="1"/>
    <col min="7" max="7" width="15.140625" style="0" customWidth="1"/>
    <col min="8" max="8" width="12.8515625" style="0" customWidth="1"/>
    <col min="9" max="9" width="12.7109375" style="0" customWidth="1"/>
    <col min="10" max="10" width="12.421875" style="0" customWidth="1"/>
    <col min="11" max="11" width="12.140625" style="0" customWidth="1"/>
    <col min="13" max="13" width="11.00390625" style="0" bestFit="1" customWidth="1"/>
    <col min="14" max="14" width="13.28125" style="0" customWidth="1"/>
  </cols>
  <sheetData>
    <row r="1" spans="1:11" ht="23.2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11" ht="23.25">
      <c r="A2" s="764" t="s">
        <v>358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</row>
    <row r="3" ht="15.75" customHeight="1"/>
    <row r="4" spans="1:11" ht="21.75">
      <c r="A4" s="765" t="s">
        <v>1</v>
      </c>
      <c r="B4" s="767" t="s">
        <v>13</v>
      </c>
      <c r="C4" s="768"/>
      <c r="D4" s="768"/>
      <c r="E4" s="768"/>
      <c r="F4" s="156"/>
      <c r="G4" s="769" t="s">
        <v>110</v>
      </c>
      <c r="H4" s="769" t="s">
        <v>14</v>
      </c>
      <c r="I4" s="765" t="s">
        <v>6</v>
      </c>
      <c r="J4" s="771" t="s">
        <v>7</v>
      </c>
      <c r="K4" s="771" t="s">
        <v>35</v>
      </c>
    </row>
    <row r="5" spans="1:11" ht="48" customHeight="1">
      <c r="A5" s="766"/>
      <c r="B5" s="23" t="s">
        <v>8</v>
      </c>
      <c r="C5" s="23" t="s">
        <v>9</v>
      </c>
      <c r="D5" s="23" t="s">
        <v>193</v>
      </c>
      <c r="E5" s="23" t="s">
        <v>10</v>
      </c>
      <c r="F5" s="157" t="s">
        <v>40</v>
      </c>
      <c r="G5" s="781"/>
      <c r="H5" s="781"/>
      <c r="I5" s="766"/>
      <c r="J5" s="782"/>
      <c r="K5" s="782"/>
    </row>
    <row r="6" spans="1:11" ht="21.75">
      <c r="A6" s="7" t="s">
        <v>430</v>
      </c>
      <c r="B6" s="8"/>
      <c r="C6" s="8"/>
      <c r="D6" s="8"/>
      <c r="E6" s="8"/>
      <c r="F6" s="8"/>
      <c r="G6" s="8"/>
      <c r="H6" s="8"/>
      <c r="I6" s="9"/>
      <c r="J6" s="9"/>
      <c r="K6" s="10"/>
    </row>
    <row r="7" spans="1:11" ht="21.75">
      <c r="A7" s="24" t="s">
        <v>431</v>
      </c>
      <c r="B7" s="12"/>
      <c r="C7" s="12"/>
      <c r="D7" s="12"/>
      <c r="E7" s="12"/>
      <c r="F7" s="12"/>
      <c r="G7" s="12"/>
      <c r="H7" s="12"/>
      <c r="I7" s="13"/>
      <c r="J7" s="13"/>
      <c r="K7" s="14"/>
    </row>
    <row r="8" spans="1:11" ht="65.25">
      <c r="A8" s="283" t="s">
        <v>432</v>
      </c>
      <c r="B8" s="59"/>
      <c r="C8" s="59"/>
      <c r="D8" s="40">
        <v>4335.2</v>
      </c>
      <c r="E8" s="40"/>
      <c r="F8" s="40">
        <f>4335.2*3</f>
        <v>13005.599999999999</v>
      </c>
      <c r="G8" s="40"/>
      <c r="H8" s="40">
        <f>SUM(B8:G8)</f>
        <v>17340.8</v>
      </c>
      <c r="I8" s="154" t="s">
        <v>308</v>
      </c>
      <c r="J8" s="160" t="s">
        <v>434</v>
      </c>
      <c r="K8" s="338"/>
    </row>
    <row r="9" spans="1:11" ht="21.75">
      <c r="A9" s="24" t="s">
        <v>433</v>
      </c>
      <c r="B9" s="59"/>
      <c r="C9" s="59"/>
      <c r="D9" s="40"/>
      <c r="E9" s="40"/>
      <c r="F9" s="40"/>
      <c r="G9" s="40"/>
      <c r="H9" s="40"/>
      <c r="I9" s="154"/>
      <c r="J9" s="160"/>
      <c r="K9" s="338"/>
    </row>
    <row r="10" spans="1:11" ht="44.25" customHeight="1">
      <c r="A10" s="283" t="s">
        <v>719</v>
      </c>
      <c r="B10" s="40">
        <v>63507</v>
      </c>
      <c r="C10" s="12"/>
      <c r="D10" s="368"/>
      <c r="E10" s="368"/>
      <c r="F10" s="368"/>
      <c r="G10" s="379"/>
      <c r="H10" s="40">
        <f>SUM(B10:G10)</f>
        <v>63507</v>
      </c>
      <c r="I10" s="154" t="s">
        <v>308</v>
      </c>
      <c r="J10" s="160" t="s">
        <v>434</v>
      </c>
      <c r="K10" s="197"/>
    </row>
    <row r="11" spans="1:13" ht="65.25">
      <c r="A11" s="283" t="s">
        <v>435</v>
      </c>
      <c r="B11" s="165"/>
      <c r="C11" s="165"/>
      <c r="D11" s="165"/>
      <c r="E11" s="165"/>
      <c r="F11" s="165"/>
      <c r="G11" s="165">
        <f>20000*33.9</f>
        <v>678000</v>
      </c>
      <c r="H11" s="40">
        <f>SUM(B11:G11)</f>
        <v>678000</v>
      </c>
      <c r="I11" s="154" t="s">
        <v>308</v>
      </c>
      <c r="J11" s="320" t="s">
        <v>180</v>
      </c>
      <c r="K11" s="197"/>
      <c r="M11" s="30"/>
    </row>
    <row r="12" spans="1:11" ht="21.75">
      <c r="A12" s="283"/>
      <c r="B12" s="83"/>
      <c r="C12" s="17"/>
      <c r="D12" s="17"/>
      <c r="E12" s="17"/>
      <c r="F12" s="17"/>
      <c r="G12" s="124"/>
      <c r="H12" s="17"/>
      <c r="I12" s="15"/>
      <c r="J12" s="15"/>
      <c r="K12" s="16"/>
    </row>
    <row r="13" spans="1:11" ht="24.75" customHeight="1">
      <c r="A13" s="41"/>
      <c r="B13" s="83"/>
      <c r="C13" s="17"/>
      <c r="D13" s="17"/>
      <c r="E13" s="27"/>
      <c r="F13" s="27"/>
      <c r="G13" s="27"/>
      <c r="H13" s="40"/>
      <c r="I13" s="15"/>
      <c r="J13" s="60"/>
      <c r="K13" s="16"/>
    </row>
    <row r="14" spans="1:11" ht="22.5" thickBot="1">
      <c r="A14" s="19" t="s">
        <v>2</v>
      </c>
      <c r="B14" s="105">
        <f aca="true" t="shared" si="0" ref="B14:G14">SUM(B5:B13)</f>
        <v>63507</v>
      </c>
      <c r="C14" s="105">
        <f t="shared" si="0"/>
        <v>0</v>
      </c>
      <c r="D14" s="105">
        <f t="shared" si="0"/>
        <v>4335.2</v>
      </c>
      <c r="E14" s="105">
        <f t="shared" si="0"/>
        <v>0</v>
      </c>
      <c r="F14" s="105">
        <f t="shared" si="0"/>
        <v>13005.599999999999</v>
      </c>
      <c r="G14" s="105">
        <f t="shared" si="0"/>
        <v>678000</v>
      </c>
      <c r="H14" s="105">
        <f>SUM(H8:H13)</f>
        <v>758847.8</v>
      </c>
      <c r="I14" s="21"/>
      <c r="J14" s="21"/>
      <c r="K14" s="21"/>
    </row>
    <row r="15" ht="22.5" thickTop="1"/>
    <row r="16" spans="7:10" ht="21.75">
      <c r="G16" s="1"/>
      <c r="J16" s="22"/>
    </row>
    <row r="17" spans="3:6" ht="21.75">
      <c r="C17" s="2"/>
      <c r="D17" s="1"/>
      <c r="E17" s="1"/>
      <c r="F17" s="1"/>
    </row>
    <row r="18" ht="21.75">
      <c r="C18" s="2"/>
    </row>
    <row r="19" ht="21.75">
      <c r="C19" s="2"/>
    </row>
    <row r="20" ht="21.75">
      <c r="C20" s="2"/>
    </row>
    <row r="21" ht="21.75">
      <c r="C21" s="2"/>
    </row>
    <row r="32" ht="21.75">
      <c r="K32" s="84"/>
    </row>
  </sheetData>
  <sheetProtection/>
  <mergeCells count="9">
    <mergeCell ref="A1:K1"/>
    <mergeCell ref="A2:K2"/>
    <mergeCell ref="A4:A5"/>
    <mergeCell ref="B4:E4"/>
    <mergeCell ref="G4:G5"/>
    <mergeCell ref="H4:H5"/>
    <mergeCell ref="I4:I5"/>
    <mergeCell ref="J4:J5"/>
    <mergeCell ref="K4:K5"/>
  </mergeCells>
  <printOptions horizontalCentered="1" verticalCentered="1"/>
  <pageMargins left="1.051181102" right="0.748031496062992" top="0.82480315" bottom="0.696850394" header="0.669291338582677" footer="0.15748031496063"/>
  <pageSetup horizontalDpi="600" verticalDpi="600" orientation="landscape" paperSize="9" scale="80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K34"/>
  <sheetViews>
    <sheetView showGridLines="0" zoomScalePageLayoutView="0" workbookViewId="0" topLeftCell="A1">
      <selection activeCell="J28" sqref="J28"/>
    </sheetView>
  </sheetViews>
  <sheetFormatPr defaultColWidth="9.140625" defaultRowHeight="21.75"/>
  <cols>
    <col min="1" max="1" width="58.421875" style="0" customWidth="1"/>
    <col min="2" max="2" width="13.00390625" style="0" customWidth="1"/>
    <col min="3" max="3" width="10.140625" style="0" customWidth="1"/>
    <col min="4" max="4" width="8.421875" style="0" customWidth="1"/>
    <col min="5" max="5" width="9.00390625" style="0" customWidth="1"/>
    <col min="6" max="6" width="12.28125" style="0" customWidth="1"/>
    <col min="7" max="7" width="16.421875" style="0" customWidth="1"/>
    <col min="8" max="8" width="14.28125" style="0" customWidth="1"/>
    <col min="9" max="9" width="18.28125" style="0" customWidth="1"/>
    <col min="10" max="10" width="14.8515625" style="0" customWidth="1"/>
    <col min="11" max="11" width="12.28125" style="0" customWidth="1"/>
  </cols>
  <sheetData>
    <row r="1" spans="1:11" ht="23.2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11" ht="23.25">
      <c r="A2" s="764" t="s">
        <v>365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</row>
    <row r="3" ht="21.75" customHeight="1"/>
    <row r="4" spans="1:11" ht="30" customHeight="1">
      <c r="A4" s="765" t="s">
        <v>1</v>
      </c>
      <c r="B4" s="767" t="s">
        <v>13</v>
      </c>
      <c r="C4" s="768"/>
      <c r="D4" s="768"/>
      <c r="E4" s="768"/>
      <c r="F4" s="778"/>
      <c r="G4" s="769" t="s">
        <v>110</v>
      </c>
      <c r="H4" s="771" t="s">
        <v>4</v>
      </c>
      <c r="I4" s="765" t="s">
        <v>6</v>
      </c>
      <c r="J4" s="771" t="s">
        <v>7</v>
      </c>
      <c r="K4" s="771" t="s">
        <v>35</v>
      </c>
    </row>
    <row r="5" spans="1:11" ht="42">
      <c r="A5" s="766"/>
      <c r="B5" s="23" t="s">
        <v>8</v>
      </c>
      <c r="C5" s="23" t="s">
        <v>9</v>
      </c>
      <c r="D5" s="23" t="s">
        <v>211</v>
      </c>
      <c r="E5" s="23" t="s">
        <v>10</v>
      </c>
      <c r="F5" s="157" t="s">
        <v>40</v>
      </c>
      <c r="G5" s="781"/>
      <c r="H5" s="782"/>
      <c r="I5" s="766"/>
      <c r="J5" s="782"/>
      <c r="K5" s="782"/>
    </row>
    <row r="6" spans="1:11" ht="21.75">
      <c r="A6" s="7" t="s">
        <v>34</v>
      </c>
      <c r="B6" s="8"/>
      <c r="C6" s="8"/>
      <c r="D6" s="8"/>
      <c r="E6" s="8"/>
      <c r="F6" s="58"/>
      <c r="G6" s="8"/>
      <c r="H6" s="8"/>
      <c r="I6" s="9"/>
      <c r="J6" s="9"/>
      <c r="K6" s="10"/>
    </row>
    <row r="7" spans="1:11" ht="21.75">
      <c r="A7" s="149" t="s">
        <v>387</v>
      </c>
      <c r="B7" s="12"/>
      <c r="C7" s="12"/>
      <c r="D7" s="12"/>
      <c r="E7" s="12"/>
      <c r="F7" s="59"/>
      <c r="G7" s="12"/>
      <c r="H7" s="12"/>
      <c r="I7" s="13"/>
      <c r="J7" s="13"/>
      <c r="K7" s="14"/>
    </row>
    <row r="8" spans="1:11" ht="65.25">
      <c r="A8" s="151" t="s">
        <v>388</v>
      </c>
      <c r="B8" s="12"/>
      <c r="C8" s="12"/>
      <c r="D8" s="12"/>
      <c r="E8" s="12"/>
      <c r="F8" s="40">
        <v>55200</v>
      </c>
      <c r="G8" s="12"/>
      <c r="H8" s="368">
        <f>SUM(B8:G8)</f>
        <v>55200</v>
      </c>
      <c r="I8" s="152" t="s">
        <v>129</v>
      </c>
      <c r="J8" s="154" t="s">
        <v>289</v>
      </c>
      <c r="K8" s="14"/>
    </row>
    <row r="9" spans="1:11" ht="43.5">
      <c r="A9" s="151" t="s">
        <v>389</v>
      </c>
      <c r="B9" s="12"/>
      <c r="C9" s="12"/>
      <c r="D9" s="12"/>
      <c r="E9" s="12"/>
      <c r="F9" s="59">
        <v>21000</v>
      </c>
      <c r="G9" s="12"/>
      <c r="H9" s="12">
        <f>SUM(B9:G9)</f>
        <v>21000</v>
      </c>
      <c r="I9" s="152" t="s">
        <v>129</v>
      </c>
      <c r="J9" s="154" t="s">
        <v>590</v>
      </c>
      <c r="K9" s="14"/>
    </row>
    <row r="10" spans="1:11" ht="42">
      <c r="A10" s="153" t="s">
        <v>128</v>
      </c>
      <c r="B10" s="12"/>
      <c r="C10" s="12"/>
      <c r="D10" s="12"/>
      <c r="E10" s="12"/>
      <c r="F10" s="59"/>
      <c r="G10" s="12"/>
      <c r="H10" s="12"/>
      <c r="I10" s="13"/>
      <c r="J10" s="13"/>
      <c r="K10" s="14"/>
    </row>
    <row r="11" spans="1:11" ht="108.75">
      <c r="A11" s="151" t="s">
        <v>322</v>
      </c>
      <c r="B11" s="12"/>
      <c r="C11" s="12"/>
      <c r="D11" s="12"/>
      <c r="E11" s="12"/>
      <c r="F11" s="59"/>
      <c r="G11" s="40">
        <f>1521694.08+371041.32</f>
        <v>1892735.4000000001</v>
      </c>
      <c r="H11" s="40">
        <f>SUM(B11:G11)</f>
        <v>1892735.4000000001</v>
      </c>
      <c r="I11" s="152" t="s">
        <v>43</v>
      </c>
      <c r="J11" s="42" t="s">
        <v>114</v>
      </c>
      <c r="K11" s="14"/>
    </row>
    <row r="12" spans="1:11" ht="21.75">
      <c r="A12" s="151" t="s">
        <v>235</v>
      </c>
      <c r="B12" s="12"/>
      <c r="C12" s="12"/>
      <c r="D12" s="12"/>
      <c r="E12" s="12"/>
      <c r="F12" s="59"/>
      <c r="G12" s="59">
        <v>485920.35</v>
      </c>
      <c r="H12" s="59">
        <f>SUM(B12:G12)</f>
        <v>485920.35</v>
      </c>
      <c r="I12" s="152" t="s">
        <v>129</v>
      </c>
      <c r="J12" s="635"/>
      <c r="K12" s="91"/>
    </row>
    <row r="13" spans="1:11" ht="43.5">
      <c r="A13" s="151" t="s">
        <v>321</v>
      </c>
      <c r="B13" s="12"/>
      <c r="C13" s="12"/>
      <c r="D13" s="12"/>
      <c r="E13" s="12"/>
      <c r="F13" s="59"/>
      <c r="G13" s="165">
        <f>(3475079.6+3073892.58)/61%</f>
        <v>10736019.967213115</v>
      </c>
      <c r="H13" s="40">
        <f>SUM(B13:G13)</f>
        <v>10736019.967213115</v>
      </c>
      <c r="I13" s="152" t="s">
        <v>129</v>
      </c>
      <c r="J13" s="636"/>
      <c r="K13" s="15"/>
    </row>
    <row r="14" spans="1:11" ht="21.75">
      <c r="A14" s="290" t="s">
        <v>169</v>
      </c>
      <c r="B14" s="12"/>
      <c r="C14" s="12"/>
      <c r="D14" s="12"/>
      <c r="E14" s="12"/>
      <c r="F14" s="59"/>
      <c r="G14" s="59"/>
      <c r="H14" s="59"/>
      <c r="I14" s="152"/>
      <c r="J14" s="444"/>
      <c r="K14" s="15"/>
    </row>
    <row r="15" spans="1:11" ht="43.5">
      <c r="A15" s="151" t="s">
        <v>679</v>
      </c>
      <c r="B15" s="12"/>
      <c r="C15" s="12"/>
      <c r="D15" s="12"/>
      <c r="E15" s="12"/>
      <c r="F15" s="59"/>
      <c r="G15" s="40">
        <v>1322100</v>
      </c>
      <c r="H15" s="40">
        <f>SUM(B15:G15)</f>
        <v>1322100</v>
      </c>
      <c r="I15" s="152" t="s">
        <v>43</v>
      </c>
      <c r="J15" s="444" t="s">
        <v>105</v>
      </c>
      <c r="K15" s="15"/>
    </row>
    <row r="16" spans="1:11" ht="21.75">
      <c r="A16" s="151" t="s">
        <v>678</v>
      </c>
      <c r="B16" s="12"/>
      <c r="C16" s="12"/>
      <c r="D16" s="12"/>
      <c r="E16" s="12"/>
      <c r="F16" s="59"/>
      <c r="G16" s="59">
        <v>119073.39</v>
      </c>
      <c r="H16" s="59">
        <f>SUM(B16:G16)</f>
        <v>119073.39</v>
      </c>
      <c r="I16" s="152" t="s">
        <v>43</v>
      </c>
      <c r="J16" s="444" t="s">
        <v>105</v>
      </c>
      <c r="K16" s="15"/>
    </row>
    <row r="17" spans="1:11" ht="40.5" customHeight="1">
      <c r="A17" s="151" t="s">
        <v>677</v>
      </c>
      <c r="B17" s="12"/>
      <c r="C17" s="12"/>
      <c r="D17" s="12"/>
      <c r="E17" s="12"/>
      <c r="F17" s="59"/>
      <c r="G17" s="40">
        <v>2998921.44</v>
      </c>
      <c r="H17" s="40">
        <f>SUM(B17:G17)</f>
        <v>2998921.44</v>
      </c>
      <c r="I17" s="152" t="s">
        <v>43</v>
      </c>
      <c r="J17" s="259" t="s">
        <v>105</v>
      </c>
      <c r="K17" s="15"/>
    </row>
    <row r="18" spans="1:11" ht="21.75">
      <c r="A18" s="290" t="s">
        <v>168</v>
      </c>
      <c r="B18" s="256"/>
      <c r="C18" s="256"/>
      <c r="D18" s="256"/>
      <c r="E18" s="256"/>
      <c r="F18" s="257"/>
      <c r="G18" s="258"/>
      <c r="H18" s="258"/>
      <c r="I18" s="144"/>
      <c r="J18" s="259"/>
      <c r="K18" s="18"/>
    </row>
    <row r="19" spans="1:11" ht="43.5" customHeight="1">
      <c r="A19" s="151" t="s">
        <v>674</v>
      </c>
      <c r="B19" s="256"/>
      <c r="C19" s="256"/>
      <c r="D19" s="256"/>
      <c r="E19" s="256"/>
      <c r="F19" s="257"/>
      <c r="G19" s="258">
        <v>4122534.52</v>
      </c>
      <c r="H19" s="258">
        <f>SUM(B19:G19)</f>
        <v>4122534.52</v>
      </c>
      <c r="I19" s="152" t="s">
        <v>253</v>
      </c>
      <c r="J19" s="259" t="s">
        <v>105</v>
      </c>
      <c r="K19" s="18"/>
    </row>
    <row r="20" spans="1:11" ht="43.5">
      <c r="A20" s="151" t="s">
        <v>320</v>
      </c>
      <c r="B20" s="256"/>
      <c r="C20" s="256"/>
      <c r="D20" s="256"/>
      <c r="E20" s="256"/>
      <c r="F20" s="257"/>
      <c r="G20" s="258">
        <v>763920</v>
      </c>
      <c r="H20" s="258">
        <f>SUM(B20:G20)</f>
        <v>763920</v>
      </c>
      <c r="I20" s="152" t="s">
        <v>253</v>
      </c>
      <c r="J20" s="259" t="s">
        <v>105</v>
      </c>
      <c r="K20" s="18"/>
    </row>
    <row r="21" spans="1:11" ht="21.75">
      <c r="A21" s="149" t="s">
        <v>166</v>
      </c>
      <c r="B21" s="256"/>
      <c r="C21" s="256"/>
      <c r="D21" s="256"/>
      <c r="E21" s="256"/>
      <c r="F21" s="257"/>
      <c r="G21" s="258"/>
      <c r="H21" s="258"/>
      <c r="I21" s="144"/>
      <c r="J21" s="259"/>
      <c r="K21" s="18"/>
    </row>
    <row r="22" spans="1:11" ht="43.5">
      <c r="A22" s="151" t="s">
        <v>673</v>
      </c>
      <c r="B22" s="256"/>
      <c r="C22" s="256"/>
      <c r="D22" s="256"/>
      <c r="E22" s="256"/>
      <c r="F22" s="257"/>
      <c r="G22" s="258">
        <v>31715800</v>
      </c>
      <c r="H22" s="258">
        <f>SUM(B22:G22)</f>
        <v>31715800</v>
      </c>
      <c r="I22" s="152" t="s">
        <v>43</v>
      </c>
      <c r="J22" s="259" t="s">
        <v>105</v>
      </c>
      <c r="K22" s="18"/>
    </row>
    <row r="23" spans="1:11" ht="21.75">
      <c r="A23" s="149" t="s">
        <v>319</v>
      </c>
      <c r="B23" s="256"/>
      <c r="C23" s="256"/>
      <c r="D23" s="256"/>
      <c r="E23" s="256"/>
      <c r="F23" s="257"/>
      <c r="G23" s="258"/>
      <c r="H23" s="258"/>
      <c r="I23" s="152"/>
      <c r="J23" s="259"/>
      <c r="K23" s="18"/>
    </row>
    <row r="24" spans="1:11" ht="65.25">
      <c r="A24" s="151" t="s">
        <v>676</v>
      </c>
      <c r="B24" s="258">
        <f>327128+792000</f>
        <v>1119128</v>
      </c>
      <c r="C24" s="256"/>
      <c r="D24" s="256"/>
      <c r="E24" s="256"/>
      <c r="F24" s="257"/>
      <c r="G24" s="258"/>
      <c r="H24" s="258">
        <f>SUM(B24:G24)</f>
        <v>1119128</v>
      </c>
      <c r="I24" s="152" t="s">
        <v>254</v>
      </c>
      <c r="J24" s="259" t="s">
        <v>201</v>
      </c>
      <c r="K24" s="18"/>
    </row>
    <row r="25" spans="1:11" ht="21.75">
      <c r="A25" s="149" t="s">
        <v>255</v>
      </c>
      <c r="B25" s="256"/>
      <c r="C25" s="256"/>
      <c r="D25" s="256"/>
      <c r="E25" s="256"/>
      <c r="F25" s="257"/>
      <c r="G25" s="258"/>
      <c r="H25" s="258"/>
      <c r="I25" s="161"/>
      <c r="J25" s="255"/>
      <c r="K25" s="15"/>
    </row>
    <row r="26" spans="1:11" ht="43.5">
      <c r="A26" s="161" t="s">
        <v>256</v>
      </c>
      <c r="B26" s="256"/>
      <c r="C26" s="256"/>
      <c r="D26" s="256"/>
      <c r="E26" s="256"/>
      <c r="F26" s="257"/>
      <c r="G26" s="258">
        <v>787499.65</v>
      </c>
      <c r="H26" s="258">
        <f>SUM(B26:G26)</f>
        <v>787499.65</v>
      </c>
      <c r="I26" s="271" t="s">
        <v>156</v>
      </c>
      <c r="J26" s="259" t="s">
        <v>167</v>
      </c>
      <c r="K26" s="15"/>
    </row>
    <row r="27" spans="1:11" ht="21.75">
      <c r="A27" s="149" t="s">
        <v>416</v>
      </c>
      <c r="B27" s="256"/>
      <c r="C27" s="256"/>
      <c r="D27" s="256"/>
      <c r="E27" s="256"/>
      <c r="F27" s="257"/>
      <c r="G27" s="258"/>
      <c r="H27" s="258"/>
      <c r="I27" s="271"/>
      <c r="J27" s="259"/>
      <c r="K27" s="15"/>
    </row>
    <row r="28" spans="1:11" ht="43.5">
      <c r="A28" s="151" t="s">
        <v>675</v>
      </c>
      <c r="B28" s="556"/>
      <c r="C28" s="557"/>
      <c r="D28" s="556"/>
      <c r="E28" s="556"/>
      <c r="F28" s="558"/>
      <c r="G28" s="559">
        <f>142136.1+246555.9</f>
        <v>388692</v>
      </c>
      <c r="H28" s="559">
        <f>SUM(B28:G28)</f>
        <v>388692</v>
      </c>
      <c r="I28" s="560" t="s">
        <v>156</v>
      </c>
      <c r="J28" s="255" t="s">
        <v>167</v>
      </c>
      <c r="K28" s="18"/>
    </row>
    <row r="29" spans="1:11" ht="21.75">
      <c r="A29" s="149" t="s">
        <v>417</v>
      </c>
      <c r="B29" s="256"/>
      <c r="C29" s="277"/>
      <c r="D29" s="256"/>
      <c r="E29" s="256"/>
      <c r="F29" s="257"/>
      <c r="G29" s="258"/>
      <c r="H29" s="559">
        <f>SUM(B29:G29)</f>
        <v>0</v>
      </c>
      <c r="I29" s="560"/>
      <c r="J29" s="259"/>
      <c r="K29" s="15"/>
    </row>
    <row r="30" spans="1:11" ht="43.5">
      <c r="A30" s="555" t="s">
        <v>418</v>
      </c>
      <c r="B30" s="256"/>
      <c r="C30" s="277"/>
      <c r="D30" s="256"/>
      <c r="E30" s="256"/>
      <c r="F30" s="257"/>
      <c r="G30" s="258">
        <v>3975739.14</v>
      </c>
      <c r="H30" s="559">
        <f>SUM(B30:G30)</f>
        <v>3975739.14</v>
      </c>
      <c r="I30" s="560" t="s">
        <v>156</v>
      </c>
      <c r="J30" s="259"/>
      <c r="K30" s="15"/>
    </row>
    <row r="31" spans="1:11" ht="43.5">
      <c r="A31" s="555" t="s">
        <v>419</v>
      </c>
      <c r="B31" s="408"/>
      <c r="C31" s="409"/>
      <c r="D31" s="408"/>
      <c r="E31" s="408"/>
      <c r="F31" s="410"/>
      <c r="G31" s="254">
        <v>579626.94</v>
      </c>
      <c r="H31" s="559">
        <f>SUM(B31:G31)</f>
        <v>579626.94</v>
      </c>
      <c r="I31" s="560" t="s">
        <v>156</v>
      </c>
      <c r="J31" s="255"/>
      <c r="K31" s="91"/>
    </row>
    <row r="32" spans="1:11" ht="22.5" thickBot="1">
      <c r="A32" s="145" t="s">
        <v>2</v>
      </c>
      <c r="B32" s="61">
        <f aca="true" t="shared" si="0" ref="B32:H32">SUM(B8:B31)</f>
        <v>1119128</v>
      </c>
      <c r="C32" s="61">
        <f t="shared" si="0"/>
        <v>0</v>
      </c>
      <c r="D32" s="61">
        <f t="shared" si="0"/>
        <v>0</v>
      </c>
      <c r="E32" s="61">
        <f t="shared" si="0"/>
        <v>0</v>
      </c>
      <c r="F32" s="61">
        <f t="shared" si="0"/>
        <v>76200</v>
      </c>
      <c r="G32" s="61">
        <f t="shared" si="0"/>
        <v>59888582.797213115</v>
      </c>
      <c r="H32" s="61">
        <f t="shared" si="0"/>
        <v>61083910.797213115</v>
      </c>
      <c r="I32" s="21"/>
      <c r="J32" s="21"/>
      <c r="K32" s="21"/>
    </row>
    <row r="33" spans="1:11" ht="22.5" thickTop="1">
      <c r="A33" s="62"/>
      <c r="B33" s="63"/>
      <c r="C33" s="36"/>
      <c r="D33" s="36"/>
      <c r="E33" s="36"/>
      <c r="F33" s="36"/>
      <c r="G33" s="36"/>
      <c r="H33" s="36"/>
      <c r="I33" s="36"/>
      <c r="J33" s="36"/>
      <c r="K33" s="36"/>
    </row>
    <row r="34" spans="6:7" ht="21.75">
      <c r="F34" s="582"/>
      <c r="G34" s="30"/>
    </row>
  </sheetData>
  <sheetProtection/>
  <mergeCells count="9">
    <mergeCell ref="A1:K1"/>
    <mergeCell ref="H4:H5"/>
    <mergeCell ref="I4:I5"/>
    <mergeCell ref="J4:J5"/>
    <mergeCell ref="K4:K5"/>
    <mergeCell ref="A4:A5"/>
    <mergeCell ref="B4:F4"/>
    <mergeCell ref="G4:G5"/>
    <mergeCell ref="A2:K2"/>
  </mergeCells>
  <printOptions/>
  <pageMargins left="0.354330708661417" right="0.498031496" top="0.78740157480315" bottom="0.196850393700787" header="0.984251968503937" footer="0.15748031496063"/>
  <pageSetup horizontalDpi="600" verticalDpi="600" orientation="landscape" paperSize="9" scale="8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</sheetPr>
  <dimension ref="A1:N13"/>
  <sheetViews>
    <sheetView showGridLines="0" zoomScalePageLayoutView="0" workbookViewId="0" topLeftCell="A1">
      <pane xSplit="1" ySplit="5" topLeftCell="B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16" sqref="G16"/>
    </sheetView>
  </sheetViews>
  <sheetFormatPr defaultColWidth="9.140625" defaultRowHeight="21.75"/>
  <cols>
    <col min="1" max="1" width="50.00390625" style="0" customWidth="1"/>
    <col min="2" max="2" width="14.57421875" style="0" bestFit="1" customWidth="1"/>
    <col min="3" max="3" width="13.57421875" style="0" bestFit="1" customWidth="1"/>
    <col min="4" max="4" width="14.57421875" style="0" bestFit="1" customWidth="1"/>
    <col min="5" max="5" width="9.28125" style="0" customWidth="1"/>
    <col min="6" max="6" width="14.140625" style="0" customWidth="1"/>
    <col min="7" max="7" width="15.00390625" style="0" customWidth="1"/>
    <col min="8" max="8" width="17.8515625" style="0" customWidth="1"/>
    <col min="9" max="9" width="12.00390625" style="0" customWidth="1"/>
    <col min="10" max="10" width="13.8515625" style="0" customWidth="1"/>
  </cols>
  <sheetData>
    <row r="1" spans="1:10" ht="23.2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</row>
    <row r="2" spans="1:14" ht="24">
      <c r="A2" s="764" t="s">
        <v>358</v>
      </c>
      <c r="B2" s="763"/>
      <c r="C2" s="763"/>
      <c r="D2" s="763"/>
      <c r="E2" s="763"/>
      <c r="F2" s="763"/>
      <c r="G2" s="763"/>
      <c r="H2" s="763"/>
      <c r="I2" s="763"/>
      <c r="J2" s="763"/>
      <c r="K2" s="64"/>
      <c r="L2" s="64"/>
      <c r="M2" s="64"/>
      <c r="N2" s="64"/>
    </row>
    <row r="3" spans="2:10" ht="21.75" customHeight="1">
      <c r="B3" s="5"/>
      <c r="C3" s="5"/>
      <c r="D3" s="5"/>
      <c r="E3" s="5"/>
      <c r="F3" s="5"/>
      <c r="G3" s="5"/>
      <c r="H3" s="5"/>
      <c r="I3" s="5"/>
      <c r="J3" s="6"/>
    </row>
    <row r="4" spans="1:10" ht="21.75" customHeight="1">
      <c r="A4" s="765" t="s">
        <v>1</v>
      </c>
      <c r="B4" s="767" t="s">
        <v>13</v>
      </c>
      <c r="C4" s="768"/>
      <c r="D4" s="768"/>
      <c r="E4" s="768"/>
      <c r="F4" s="769" t="s">
        <v>110</v>
      </c>
      <c r="G4" s="769" t="s">
        <v>14</v>
      </c>
      <c r="H4" s="765" t="s">
        <v>6</v>
      </c>
      <c r="I4" s="771" t="s">
        <v>7</v>
      </c>
      <c r="J4" s="771" t="s">
        <v>35</v>
      </c>
    </row>
    <row r="5" spans="1:10" ht="42" customHeight="1">
      <c r="A5" s="766"/>
      <c r="B5" s="23" t="s">
        <v>8</v>
      </c>
      <c r="C5" s="23" t="s">
        <v>9</v>
      </c>
      <c r="D5" s="23" t="s">
        <v>211</v>
      </c>
      <c r="E5" s="23" t="s">
        <v>10</v>
      </c>
      <c r="F5" s="781"/>
      <c r="G5" s="781"/>
      <c r="H5" s="766"/>
      <c r="I5" s="782"/>
      <c r="J5" s="782"/>
    </row>
    <row r="6" spans="1:10" ht="21.75">
      <c r="A6" s="7" t="s">
        <v>122</v>
      </c>
      <c r="B6" s="58"/>
      <c r="C6" s="58"/>
      <c r="D6" s="58"/>
      <c r="E6" s="58"/>
      <c r="F6" s="58"/>
      <c r="G6" s="58"/>
      <c r="H6" s="9"/>
      <c r="I6" s="9"/>
      <c r="J6" s="10"/>
    </row>
    <row r="7" spans="1:10" ht="21.75">
      <c r="A7" s="149" t="s">
        <v>148</v>
      </c>
      <c r="B7" s="59"/>
      <c r="C7" s="59"/>
      <c r="D7" s="59"/>
      <c r="E7" s="59"/>
      <c r="F7" s="59"/>
      <c r="G7" s="59"/>
      <c r="H7" s="13"/>
      <c r="I7" s="13"/>
      <c r="J7" s="14"/>
    </row>
    <row r="8" spans="1:10" ht="43.5">
      <c r="A8" s="161" t="s">
        <v>309</v>
      </c>
      <c r="B8" s="496">
        <v>171359185</v>
      </c>
      <c r="C8" s="65"/>
      <c r="D8" s="65"/>
      <c r="E8" s="65"/>
      <c r="F8" s="65"/>
      <c r="G8" s="29">
        <f>SUM(B8:F8)</f>
        <v>171359185</v>
      </c>
      <c r="H8" s="491" t="s">
        <v>230</v>
      </c>
      <c r="I8" s="492" t="s">
        <v>149</v>
      </c>
      <c r="J8" s="171" t="s">
        <v>310</v>
      </c>
    </row>
    <row r="9" spans="1:10" ht="43.5">
      <c r="A9" s="161" t="s">
        <v>311</v>
      </c>
      <c r="B9" s="29"/>
      <c r="C9" s="29"/>
      <c r="D9" s="497">
        <v>632356916</v>
      </c>
      <c r="E9" s="29"/>
      <c r="F9" s="29"/>
      <c r="G9" s="29">
        <f>SUM(B9:F9)</f>
        <v>632356916</v>
      </c>
      <c r="H9" s="491" t="s">
        <v>230</v>
      </c>
      <c r="I9" s="492" t="s">
        <v>149</v>
      </c>
      <c r="J9" s="171" t="s">
        <v>312</v>
      </c>
    </row>
    <row r="10" spans="1:10" ht="21.75">
      <c r="A10" s="86"/>
      <c r="B10" s="29"/>
      <c r="C10" s="67"/>
      <c r="D10" s="67"/>
      <c r="E10" s="67"/>
      <c r="F10" s="67"/>
      <c r="G10" s="29"/>
      <c r="H10" s="25"/>
      <c r="I10" s="66"/>
      <c r="J10" s="111"/>
    </row>
    <row r="11" spans="1:10" ht="22.5" thickBot="1">
      <c r="A11" s="19" t="s">
        <v>2</v>
      </c>
      <c r="B11" s="61">
        <f>SUM(B8:B10)</f>
        <v>171359185</v>
      </c>
      <c r="C11" s="61">
        <f>SUM(C8:C10)</f>
        <v>0</v>
      </c>
      <c r="D11" s="61">
        <f>SUM(D8:D10)</f>
        <v>632356916</v>
      </c>
      <c r="E11" s="61">
        <f>SUM(E8:E10)</f>
        <v>0</v>
      </c>
      <c r="F11" s="61"/>
      <c r="G11" s="61">
        <f>SUM(G6:G10)</f>
        <v>803716101</v>
      </c>
      <c r="H11" s="21"/>
      <c r="I11" s="21"/>
      <c r="J11" s="21"/>
    </row>
    <row r="12" spans="1:10" ht="22.5" thickTop="1">
      <c r="A12" s="36"/>
      <c r="B12" s="43"/>
      <c r="C12" s="36"/>
      <c r="D12" s="36"/>
      <c r="E12" s="36"/>
      <c r="F12" s="36"/>
      <c r="G12" s="36"/>
      <c r="H12" s="36"/>
      <c r="I12" s="36"/>
      <c r="J12" s="36"/>
    </row>
    <row r="13" spans="1:9" ht="21.75">
      <c r="A13" s="37"/>
      <c r="I13" s="57"/>
    </row>
  </sheetData>
  <sheetProtection/>
  <mergeCells count="9">
    <mergeCell ref="A1:J1"/>
    <mergeCell ref="G4:G5"/>
    <mergeCell ref="H4:H5"/>
    <mergeCell ref="I4:I5"/>
    <mergeCell ref="J4:J5"/>
    <mergeCell ref="A4:A5"/>
    <mergeCell ref="A2:J2"/>
    <mergeCell ref="B4:E4"/>
    <mergeCell ref="F4:F5"/>
  </mergeCells>
  <printOptions/>
  <pageMargins left="0.433070866141732" right="0" top="1.49606299212598" bottom="0.15748031496063" header="0.78740157480315" footer="0.15748031496063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O22"/>
  <sheetViews>
    <sheetView showGridLines="0" zoomScalePageLayoutView="0" workbookViewId="0" topLeftCell="A1">
      <pane xSplit="1" ySplit="5" topLeftCell="B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B14" sqref="B14"/>
    </sheetView>
  </sheetViews>
  <sheetFormatPr defaultColWidth="9.140625" defaultRowHeight="21.75"/>
  <cols>
    <col min="1" max="1" width="50.00390625" style="0" customWidth="1"/>
    <col min="2" max="2" width="14.00390625" style="0" bestFit="1" customWidth="1"/>
    <col min="3" max="3" width="13.140625" style="0" customWidth="1"/>
    <col min="4" max="4" width="13.57421875" style="0" customWidth="1"/>
    <col min="5" max="5" width="9.28125" style="0" customWidth="1"/>
    <col min="6" max="6" width="14.28125" style="0" customWidth="1"/>
    <col min="7" max="7" width="14.140625" style="0" customWidth="1"/>
    <col min="8" max="8" width="15.00390625" style="0" customWidth="1"/>
    <col min="9" max="9" width="17.8515625" style="0" customWidth="1"/>
    <col min="10" max="10" width="12.00390625" style="0" customWidth="1"/>
    <col min="11" max="11" width="13.8515625" style="0" customWidth="1"/>
  </cols>
  <sheetData>
    <row r="1" spans="1:11" ht="23.2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15" ht="24">
      <c r="A2" s="764" t="s">
        <v>358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64"/>
      <c r="M2" s="64"/>
      <c r="N2" s="64"/>
      <c r="O2" s="64"/>
    </row>
    <row r="3" spans="2:11" ht="21.75" customHeight="1"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21.75" customHeight="1">
      <c r="A4" s="765" t="s">
        <v>1</v>
      </c>
      <c r="B4" s="767" t="s">
        <v>13</v>
      </c>
      <c r="C4" s="768"/>
      <c r="D4" s="768"/>
      <c r="E4" s="768"/>
      <c r="F4" s="328"/>
      <c r="G4" s="769" t="s">
        <v>110</v>
      </c>
      <c r="H4" s="769" t="s">
        <v>14</v>
      </c>
      <c r="I4" s="765" t="s">
        <v>6</v>
      </c>
      <c r="J4" s="771" t="s">
        <v>7</v>
      </c>
      <c r="K4" s="771" t="s">
        <v>35</v>
      </c>
    </row>
    <row r="5" spans="1:11" ht="42" customHeight="1">
      <c r="A5" s="766"/>
      <c r="B5" s="23" t="s">
        <v>8</v>
      </c>
      <c r="C5" s="23" t="s">
        <v>9</v>
      </c>
      <c r="D5" s="23" t="s">
        <v>211</v>
      </c>
      <c r="E5" s="23" t="s">
        <v>10</v>
      </c>
      <c r="F5" s="118" t="s">
        <v>40</v>
      </c>
      <c r="G5" s="781"/>
      <c r="H5" s="781"/>
      <c r="I5" s="766"/>
      <c r="J5" s="782"/>
      <c r="K5" s="782"/>
    </row>
    <row r="6" spans="1:11" ht="21.75">
      <c r="A6" s="7" t="s">
        <v>257</v>
      </c>
      <c r="B6" s="58"/>
      <c r="C6" s="58"/>
      <c r="D6" s="58"/>
      <c r="E6" s="58"/>
      <c r="F6" s="58"/>
      <c r="G6" s="58"/>
      <c r="H6" s="58"/>
      <c r="I6" s="9"/>
      <c r="J6" s="9"/>
      <c r="K6" s="10"/>
    </row>
    <row r="7" spans="1:11" ht="21.75">
      <c r="A7" s="149" t="s">
        <v>258</v>
      </c>
      <c r="B7" s="59"/>
      <c r="C7" s="59"/>
      <c r="D7" s="59"/>
      <c r="E7" s="59"/>
      <c r="F7" s="59"/>
      <c r="G7" s="59"/>
      <c r="H7" s="59"/>
      <c r="I7" s="13"/>
      <c r="J7" s="13"/>
      <c r="K7" s="14"/>
    </row>
    <row r="8" spans="1:11" ht="43.5">
      <c r="A8" s="161" t="s">
        <v>668</v>
      </c>
      <c r="B8" s="59">
        <v>1500000</v>
      </c>
      <c r="C8" s="40"/>
      <c r="D8" s="40"/>
      <c r="E8" s="40"/>
      <c r="F8" s="40"/>
      <c r="G8" s="40"/>
      <c r="H8" s="40">
        <f>SUM(B8:G8)</f>
        <v>1500000</v>
      </c>
      <c r="I8" s="387" t="s">
        <v>259</v>
      </c>
      <c r="J8" s="13"/>
      <c r="K8" s="14"/>
    </row>
    <row r="9" spans="1:11" ht="43.5">
      <c r="A9" s="161" t="s">
        <v>667</v>
      </c>
      <c r="B9" s="29"/>
      <c r="C9" s="67"/>
      <c r="D9" s="67"/>
      <c r="E9" s="67"/>
      <c r="F9" s="67"/>
      <c r="G9" s="67">
        <v>156325</v>
      </c>
      <c r="H9" s="29">
        <f>SUM(B9:G9)</f>
        <v>156325</v>
      </c>
      <c r="I9" s="39" t="s">
        <v>43</v>
      </c>
      <c r="J9" s="444" t="s">
        <v>105</v>
      </c>
      <c r="K9" s="445"/>
    </row>
    <row r="10" spans="1:11" ht="21.75">
      <c r="A10" s="336" t="s">
        <v>205</v>
      </c>
      <c r="B10" s="430" t="s">
        <v>305</v>
      </c>
      <c r="C10" s="431"/>
      <c r="D10" s="431"/>
      <c r="E10" s="431"/>
      <c r="F10" s="431"/>
      <c r="G10" s="431"/>
      <c r="H10" s="29">
        <f>SUM(B10:G10)</f>
        <v>0</v>
      </c>
      <c r="I10" s="412"/>
      <c r="J10" s="432"/>
      <c r="K10" s="433"/>
    </row>
    <row r="11" spans="1:11" ht="43.5">
      <c r="A11" s="161" t="s">
        <v>577</v>
      </c>
      <c r="B11" s="29"/>
      <c r="C11" s="67"/>
      <c r="D11" s="67"/>
      <c r="E11" s="67"/>
      <c r="F11" s="67"/>
      <c r="G11" s="67">
        <v>1245748.95</v>
      </c>
      <c r="H11" s="29">
        <f>SUM(B11:G11)</f>
        <v>1245748.95</v>
      </c>
      <c r="I11" s="161" t="s">
        <v>578</v>
      </c>
      <c r="J11" s="444" t="s">
        <v>105</v>
      </c>
      <c r="K11" s="445"/>
    </row>
    <row r="12" spans="1:11" ht="43.5">
      <c r="A12" s="161" t="s">
        <v>579</v>
      </c>
      <c r="B12" s="29"/>
      <c r="C12" s="67"/>
      <c r="D12" s="67"/>
      <c r="E12" s="67"/>
      <c r="F12" s="67"/>
      <c r="G12" s="67">
        <v>2256984.47</v>
      </c>
      <c r="H12" s="29">
        <f>SUM(B12:G12)</f>
        <v>2256984.47</v>
      </c>
      <c r="I12" s="161" t="s">
        <v>578</v>
      </c>
      <c r="J12" s="444" t="s">
        <v>105</v>
      </c>
      <c r="K12" s="445"/>
    </row>
    <row r="13" spans="1:11" ht="21.75">
      <c r="A13" s="336" t="s">
        <v>580</v>
      </c>
      <c r="B13" s="29"/>
      <c r="C13" s="67"/>
      <c r="D13" s="67"/>
      <c r="E13" s="67"/>
      <c r="F13" s="67"/>
      <c r="G13" s="67"/>
      <c r="H13" s="29"/>
      <c r="I13" s="161"/>
      <c r="J13" s="444"/>
      <c r="K13" s="445"/>
    </row>
    <row r="14" spans="1:11" ht="21.75">
      <c r="A14" s="161" t="s">
        <v>581</v>
      </c>
      <c r="B14" s="29"/>
      <c r="C14" s="67"/>
      <c r="D14" s="67"/>
      <c r="E14" s="67"/>
      <c r="F14" s="67"/>
      <c r="G14" s="67">
        <f>18000*38.15</f>
        <v>686700</v>
      </c>
      <c r="H14" s="29">
        <f>SUM(B14:G14)</f>
        <v>686700</v>
      </c>
      <c r="I14" s="161" t="s">
        <v>578</v>
      </c>
      <c r="J14" s="444" t="s">
        <v>167</v>
      </c>
      <c r="K14" s="445"/>
    </row>
    <row r="15" spans="1:11" ht="21.75">
      <c r="A15" s="161" t="s">
        <v>582</v>
      </c>
      <c r="B15" s="29"/>
      <c r="C15" s="67"/>
      <c r="D15" s="67">
        <v>5339256</v>
      </c>
      <c r="E15" s="67"/>
      <c r="F15" s="67"/>
      <c r="G15" s="67"/>
      <c r="H15" s="29">
        <f>SUM(B15:G15)</f>
        <v>5339256</v>
      </c>
      <c r="I15" s="161" t="s">
        <v>31</v>
      </c>
      <c r="J15" s="444" t="s">
        <v>666</v>
      </c>
      <c r="K15" s="445"/>
    </row>
    <row r="16" spans="1:11" ht="43.5">
      <c r="A16" s="161" t="s">
        <v>583</v>
      </c>
      <c r="B16" s="29"/>
      <c r="C16" s="67"/>
      <c r="D16" s="67"/>
      <c r="E16" s="67"/>
      <c r="F16" s="67"/>
      <c r="G16" s="67">
        <f>15000*33.9</f>
        <v>508500</v>
      </c>
      <c r="H16" s="29">
        <f>SUM(B16:G16)</f>
        <v>508500</v>
      </c>
      <c r="I16" s="161" t="s">
        <v>578</v>
      </c>
      <c r="J16" s="444"/>
      <c r="K16" s="445"/>
    </row>
    <row r="17" spans="1:11" ht="21.75">
      <c r="A17" s="161"/>
      <c r="B17" s="29"/>
      <c r="C17" s="67"/>
      <c r="D17" s="67"/>
      <c r="E17" s="67"/>
      <c r="F17" s="67"/>
      <c r="G17" s="67"/>
      <c r="H17" s="29"/>
      <c r="I17" s="161"/>
      <c r="J17" s="444"/>
      <c r="K17" s="445"/>
    </row>
    <row r="18" spans="1:11" ht="21.75">
      <c r="A18" s="293"/>
      <c r="B18" s="430"/>
      <c r="C18" s="431"/>
      <c r="D18" s="431"/>
      <c r="E18" s="431"/>
      <c r="F18" s="431"/>
      <c r="G18" s="431"/>
      <c r="H18" s="430"/>
      <c r="I18" s="412"/>
      <c r="J18" s="432"/>
      <c r="K18" s="433"/>
    </row>
    <row r="19" spans="1:11" ht="22.5" thickBot="1">
      <c r="A19" s="19" t="s">
        <v>2</v>
      </c>
      <c r="B19" s="61">
        <f aca="true" t="shared" si="0" ref="B19:H19">SUM(B7:B18)</f>
        <v>1500000</v>
      </c>
      <c r="C19" s="61">
        <f t="shared" si="0"/>
        <v>0</v>
      </c>
      <c r="D19" s="61">
        <f t="shared" si="0"/>
        <v>5339256</v>
      </c>
      <c r="E19" s="61">
        <f t="shared" si="0"/>
        <v>0</v>
      </c>
      <c r="F19" s="61">
        <f t="shared" si="0"/>
        <v>0</v>
      </c>
      <c r="G19" s="61">
        <f t="shared" si="0"/>
        <v>4854258.42</v>
      </c>
      <c r="H19" s="61">
        <f t="shared" si="0"/>
        <v>11693514.42</v>
      </c>
      <c r="I19" s="21"/>
      <c r="J19" s="21"/>
      <c r="K19" s="21"/>
    </row>
    <row r="20" spans="1:11" ht="22.5" thickTop="1">
      <c r="A20" s="36"/>
      <c r="B20" s="43"/>
      <c r="C20" s="36"/>
      <c r="D20" s="36"/>
      <c r="E20" s="36"/>
      <c r="F20" s="36"/>
      <c r="G20" s="36"/>
      <c r="H20" s="36"/>
      <c r="I20" s="36"/>
      <c r="J20" s="36"/>
      <c r="K20" s="36"/>
    </row>
    <row r="21" spans="1:10" ht="21.75">
      <c r="A21" s="37"/>
      <c r="F21" s="30"/>
      <c r="G21" s="30"/>
      <c r="J21" s="57"/>
    </row>
    <row r="22" spans="1:10" ht="21.75">
      <c r="A22" s="37"/>
      <c r="G22" s="30"/>
      <c r="J22" s="57"/>
    </row>
  </sheetData>
  <sheetProtection/>
  <mergeCells count="9">
    <mergeCell ref="A1:K1"/>
    <mergeCell ref="A2:K2"/>
    <mergeCell ref="A4:A5"/>
    <mergeCell ref="B4:E4"/>
    <mergeCell ref="G4:G5"/>
    <mergeCell ref="H4:H5"/>
    <mergeCell ref="I4:I5"/>
    <mergeCell ref="J4:J5"/>
    <mergeCell ref="K4:K5"/>
  </mergeCells>
  <printOptions/>
  <pageMargins left="0.433070866141732" right="0" top="0.496062992" bottom="0" header="0.78740157480315" footer="0.15748031496063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88"/>
  <sheetViews>
    <sheetView view="pageBreakPreview" zoomScale="6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86" sqref="G86"/>
    </sheetView>
  </sheetViews>
  <sheetFormatPr defaultColWidth="9.140625" defaultRowHeight="21.75"/>
  <cols>
    <col min="1" max="1" width="41.57421875" style="107" customWidth="1"/>
    <col min="2" max="2" width="17.140625" style="106" customWidth="1"/>
    <col min="3" max="3" width="16.7109375" style="106" customWidth="1"/>
    <col min="4" max="4" width="16.8515625" style="106" customWidth="1"/>
    <col min="5" max="5" width="14.8515625" style="106" customWidth="1"/>
    <col min="6" max="6" width="15.421875" style="106" customWidth="1"/>
    <col min="7" max="7" width="16.8515625" style="106" customWidth="1"/>
    <col min="8" max="8" width="17.00390625" style="106" customWidth="1"/>
    <col min="9" max="9" width="30.28125" style="106" customWidth="1"/>
    <col min="10" max="16384" width="9.140625" style="106" customWidth="1"/>
  </cols>
  <sheetData>
    <row r="1" spans="1:9" ht="21">
      <c r="A1" s="740" t="s">
        <v>84</v>
      </c>
      <c r="B1" s="740"/>
      <c r="C1" s="740"/>
      <c r="D1" s="740"/>
      <c r="E1" s="740"/>
      <c r="F1" s="740"/>
      <c r="G1" s="740"/>
      <c r="H1" s="740"/>
      <c r="I1" s="740"/>
    </row>
    <row r="2" spans="1:9" ht="26.25" customHeight="1">
      <c r="A2" s="741" t="s">
        <v>237</v>
      </c>
      <c r="B2" s="741"/>
      <c r="C2" s="741"/>
      <c r="D2" s="741"/>
      <c r="E2" s="741"/>
      <c r="F2" s="741"/>
      <c r="G2" s="741"/>
      <c r="H2" s="741"/>
      <c r="I2" s="741"/>
    </row>
    <row r="3" spans="1:9" ht="26.25" customHeight="1">
      <c r="A3" s="479"/>
      <c r="B3" s="480"/>
      <c r="C3" s="480"/>
      <c r="D3" s="480"/>
      <c r="E3" s="480"/>
      <c r="F3" s="480"/>
      <c r="G3" s="481"/>
      <c r="H3" s="482"/>
      <c r="I3" s="483"/>
    </row>
    <row r="4" spans="1:9" ht="23.25" customHeight="1">
      <c r="A4" s="742" t="s">
        <v>85</v>
      </c>
      <c r="B4" s="744" t="s">
        <v>86</v>
      </c>
      <c r="C4" s="745"/>
      <c r="D4" s="745"/>
      <c r="E4" s="745"/>
      <c r="F4" s="745"/>
      <c r="G4" s="746"/>
      <c r="H4" s="747" t="s">
        <v>351</v>
      </c>
      <c r="I4" s="749" t="s">
        <v>87</v>
      </c>
    </row>
    <row r="5" spans="1:9" ht="21">
      <c r="A5" s="743"/>
      <c r="B5" s="484" t="s">
        <v>88</v>
      </c>
      <c r="C5" s="484" t="s">
        <v>89</v>
      </c>
      <c r="D5" s="485" t="s">
        <v>90</v>
      </c>
      <c r="E5" s="486" t="s">
        <v>91</v>
      </c>
      <c r="F5" s="487" t="s">
        <v>92</v>
      </c>
      <c r="G5" s="487" t="s">
        <v>93</v>
      </c>
      <c r="H5" s="748"/>
      <c r="I5" s="748"/>
    </row>
    <row r="6" spans="1:9" ht="41.25" customHeight="1">
      <c r="A6" s="178" t="s">
        <v>227</v>
      </c>
      <c r="B6" s="221"/>
      <c r="C6" s="219"/>
      <c r="D6" s="219"/>
      <c r="E6" s="219"/>
      <c r="F6" s="219"/>
      <c r="G6" s="227" t="s">
        <v>36</v>
      </c>
      <c r="H6" s="220"/>
      <c r="I6" s="222"/>
    </row>
    <row r="7" spans="1:9" ht="28.5" customHeight="1">
      <c r="A7" s="731" t="s">
        <v>230</v>
      </c>
      <c r="B7" s="230">
        <v>1397550</v>
      </c>
      <c r="C7" s="324">
        <f>12638748.17+38625886.68+507329626.35</f>
        <v>558594261.2</v>
      </c>
      <c r="D7" s="219"/>
      <c r="E7" s="219"/>
      <c r="F7" s="219"/>
      <c r="G7" s="219"/>
      <c r="H7" s="220">
        <f>SUM(B7:G7)</f>
        <v>559991811.2</v>
      </c>
      <c r="I7" s="401" t="s">
        <v>790</v>
      </c>
    </row>
    <row r="8" spans="1:9" ht="22.5" customHeight="1">
      <c r="A8" s="732"/>
      <c r="B8" s="230">
        <v>131299.5</v>
      </c>
      <c r="C8" s="324">
        <f>87533+1695522</f>
        <v>1783055</v>
      </c>
      <c r="D8" s="332">
        <v>131299.5</v>
      </c>
      <c r="E8" s="227">
        <v>131299.5</v>
      </c>
      <c r="F8" s="219"/>
      <c r="G8" s="219">
        <v>175066</v>
      </c>
      <c r="H8" s="220">
        <f>SUM(B8:G8)</f>
        <v>2352019.5</v>
      </c>
      <c r="I8" s="498" t="s">
        <v>236</v>
      </c>
    </row>
    <row r="9" spans="1:9" ht="22.5" customHeight="1">
      <c r="A9" s="515" t="s">
        <v>226</v>
      </c>
      <c r="B9" s="227"/>
      <c r="C9" s="402">
        <v>157803</v>
      </c>
      <c r="D9" s="227">
        <v>157803</v>
      </c>
      <c r="E9" s="219">
        <v>105202</v>
      </c>
      <c r="F9" s="219"/>
      <c r="G9" s="219">
        <v>157803</v>
      </c>
      <c r="H9" s="220">
        <f>SUM(B9:G9)</f>
        <v>578611</v>
      </c>
      <c r="I9" s="498" t="s">
        <v>236</v>
      </c>
    </row>
    <row r="10" spans="1:9" ht="21.75">
      <c r="A10" s="177" t="s">
        <v>63</v>
      </c>
      <c r="B10" s="545"/>
      <c r="C10" s="545"/>
      <c r="D10" s="545"/>
      <c r="E10" s="545"/>
      <c r="F10" s="399"/>
      <c r="G10" s="399"/>
      <c r="H10" s="399"/>
      <c r="I10" s="222"/>
    </row>
    <row r="11" spans="1:9" ht="21.75">
      <c r="A11" s="504" t="s">
        <v>99</v>
      </c>
      <c r="B11" s="219">
        <f>7536951.59-6915800</f>
        <v>621151.5899999999</v>
      </c>
      <c r="C11" s="219">
        <v>459400.62</v>
      </c>
      <c r="D11" s="219">
        <v>387647.39</v>
      </c>
      <c r="E11" s="219">
        <v>262863.6</v>
      </c>
      <c r="F11" s="219"/>
      <c r="G11" s="219">
        <v>6103493.8</v>
      </c>
      <c r="H11" s="220">
        <f>SUM(B11:G11)</f>
        <v>7834557</v>
      </c>
      <c r="I11" s="225" t="s">
        <v>145</v>
      </c>
    </row>
    <row r="12" spans="1:9" ht="21.75">
      <c r="A12" s="510" t="s">
        <v>94</v>
      </c>
      <c r="B12" s="219"/>
      <c r="C12" s="219"/>
      <c r="D12" s="219"/>
      <c r="E12" s="219"/>
      <c r="F12" s="219"/>
      <c r="G12" s="219">
        <f>2614500+8800</f>
        <v>2623300</v>
      </c>
      <c r="H12" s="220">
        <f>SUM(B12:G12)</f>
        <v>2623300</v>
      </c>
      <c r="I12" s="228" t="s">
        <v>102</v>
      </c>
    </row>
    <row r="13" spans="1:9" ht="21.75">
      <c r="A13" s="729" t="s">
        <v>119</v>
      </c>
      <c r="B13" s="646">
        <v>6915800</v>
      </c>
      <c r="C13" s="646"/>
      <c r="D13" s="646"/>
      <c r="E13" s="646"/>
      <c r="F13" s="646"/>
      <c r="G13" s="505"/>
      <c r="H13" s="220">
        <f>SUM(B13:G13)</f>
        <v>6915800</v>
      </c>
      <c r="I13" s="225" t="s">
        <v>145</v>
      </c>
    </row>
    <row r="14" spans="1:9" ht="21.75">
      <c r="A14" s="730"/>
      <c r="B14" s="646"/>
      <c r="C14" s="646"/>
      <c r="D14" s="646"/>
      <c r="E14" s="646"/>
      <c r="F14" s="646"/>
      <c r="G14" s="506">
        <v>2200</v>
      </c>
      <c r="H14" s="220">
        <f>SUM(B14:G14)</f>
        <v>2200</v>
      </c>
      <c r="I14" s="228" t="s">
        <v>102</v>
      </c>
    </row>
    <row r="15" spans="1:9" ht="21.75">
      <c r="A15" s="507" t="s">
        <v>95</v>
      </c>
      <c r="B15" s="226"/>
      <c r="C15" s="226"/>
      <c r="D15" s="508"/>
      <c r="E15" s="508"/>
      <c r="F15" s="509"/>
      <c r="G15" s="226"/>
      <c r="H15" s="220"/>
      <c r="I15" s="222"/>
    </row>
    <row r="16" spans="1:9" ht="21.75">
      <c r="A16" s="268" t="s">
        <v>96</v>
      </c>
      <c r="B16" s="324">
        <f>513000+657360+240000</f>
        <v>1410360</v>
      </c>
      <c r="C16" s="324">
        <v>1266000</v>
      </c>
      <c r="D16" s="324">
        <v>1012800</v>
      </c>
      <c r="E16" s="324">
        <v>1057600</v>
      </c>
      <c r="F16" s="508"/>
      <c r="G16" s="324">
        <v>404160</v>
      </c>
      <c r="H16" s="322">
        <f aca="true" t="shared" si="0" ref="H16:H21">SUM(B16:G16)</f>
        <v>5150920</v>
      </c>
      <c r="I16" s="225" t="s">
        <v>145</v>
      </c>
    </row>
    <row r="17" spans="1:9" ht="21.75">
      <c r="A17" s="510" t="s">
        <v>94</v>
      </c>
      <c r="B17" s="227">
        <v>7777105</v>
      </c>
      <c r="C17" s="219">
        <v>250000</v>
      </c>
      <c r="D17" s="219">
        <v>405800</v>
      </c>
      <c r="E17" s="219">
        <v>225000</v>
      </c>
      <c r="F17" s="219">
        <v>899480</v>
      </c>
      <c r="G17" s="219">
        <v>15477100</v>
      </c>
      <c r="H17" s="220">
        <f t="shared" si="0"/>
        <v>25034485</v>
      </c>
      <c r="I17" s="225" t="s">
        <v>146</v>
      </c>
    </row>
    <row r="18" spans="1:9" ht="21.75">
      <c r="A18" s="621" t="s">
        <v>106</v>
      </c>
      <c r="B18" s="500">
        <v>486175.98</v>
      </c>
      <c r="C18" s="221">
        <v>493503</v>
      </c>
      <c r="D18" s="221">
        <v>348339.62</v>
      </c>
      <c r="E18" s="221">
        <v>0</v>
      </c>
      <c r="F18" s="221">
        <v>100489</v>
      </c>
      <c r="G18" s="219">
        <v>932270.15</v>
      </c>
      <c r="H18" s="322">
        <f t="shared" si="0"/>
        <v>2360777.75</v>
      </c>
      <c r="I18" s="225" t="s">
        <v>147</v>
      </c>
    </row>
    <row r="19" spans="1:9" ht="21.75">
      <c r="A19" s="526" t="s">
        <v>306</v>
      </c>
      <c r="B19" s="181">
        <v>4196840</v>
      </c>
      <c r="C19" s="181">
        <v>512910</v>
      </c>
      <c r="D19" s="181">
        <v>1073507</v>
      </c>
      <c r="E19" s="181">
        <v>3015610</v>
      </c>
      <c r="F19" s="181">
        <v>0</v>
      </c>
      <c r="G19" s="227">
        <v>2878065</v>
      </c>
      <c r="H19" s="322">
        <f t="shared" si="0"/>
        <v>11676932</v>
      </c>
      <c r="I19" s="225" t="s">
        <v>158</v>
      </c>
    </row>
    <row r="20" spans="1:9" ht="21" customHeight="1">
      <c r="A20" s="737" t="s">
        <v>119</v>
      </c>
      <c r="B20" s="407">
        <v>16047565</v>
      </c>
      <c r="C20" s="407">
        <v>5569780</v>
      </c>
      <c r="D20" s="407">
        <f>8645915+1090600</f>
        <v>9736515</v>
      </c>
      <c r="E20" s="407">
        <v>5477370</v>
      </c>
      <c r="F20" s="407">
        <v>6150570</v>
      </c>
      <c r="G20" s="641">
        <f>50450022-1090600</f>
        <v>49359422</v>
      </c>
      <c r="H20" s="322">
        <f>SUM(B20:G20)</f>
        <v>92341222</v>
      </c>
      <c r="I20" s="225" t="s">
        <v>158</v>
      </c>
    </row>
    <row r="21" spans="1:9" ht="21" customHeight="1">
      <c r="A21" s="730"/>
      <c r="B21" s="227"/>
      <c r="C21" s="227"/>
      <c r="D21" s="227"/>
      <c r="E21" s="227"/>
      <c r="F21" s="227"/>
      <c r="G21" s="500">
        <v>763103.5</v>
      </c>
      <c r="H21" s="322">
        <f t="shared" si="0"/>
        <v>763103.5</v>
      </c>
      <c r="I21" s="400" t="s">
        <v>228</v>
      </c>
    </row>
    <row r="22" spans="1:9" ht="20.25" customHeight="1">
      <c r="A22" s="647" t="s">
        <v>277</v>
      </c>
      <c r="B22" s="648"/>
      <c r="C22" s="648"/>
      <c r="D22" s="648"/>
      <c r="E22" s="648"/>
      <c r="F22" s="649"/>
      <c r="G22" s="648"/>
      <c r="H22" s="219"/>
      <c r="I22" s="222"/>
    </row>
    <row r="23" spans="1:9" ht="21.75">
      <c r="A23" s="511" t="s">
        <v>119</v>
      </c>
      <c r="B23" s="222"/>
      <c r="C23" s="219"/>
      <c r="D23" s="219"/>
      <c r="E23" s="219"/>
      <c r="F23" s="638"/>
      <c r="G23" s="638">
        <v>9085722.757599998</v>
      </c>
      <c r="H23" s="219">
        <f>SUM(B23:G23)</f>
        <v>9085722.757599998</v>
      </c>
      <c r="I23" s="400" t="s">
        <v>228</v>
      </c>
    </row>
    <row r="24" spans="1:9" ht="21" customHeight="1">
      <c r="A24" s="229" t="s">
        <v>65</v>
      </c>
      <c r="B24" s="399"/>
      <c r="C24" s="399"/>
      <c r="D24" s="399"/>
      <c r="E24" s="399"/>
      <c r="F24" s="637"/>
      <c r="G24" s="624"/>
      <c r="H24" s="622"/>
      <c r="I24" s="623"/>
    </row>
    <row r="25" spans="1:9" ht="21" customHeight="1">
      <c r="A25" s="511" t="s">
        <v>119</v>
      </c>
      <c r="B25" s="222"/>
      <c r="C25" s="219"/>
      <c r="D25" s="222"/>
      <c r="E25" s="222"/>
      <c r="F25" s="512"/>
      <c r="G25" s="512">
        <v>45644067.349999994</v>
      </c>
      <c r="H25" s="220">
        <f>SUM(B25:G25)</f>
        <v>45644067.349999994</v>
      </c>
      <c r="I25" s="400" t="s">
        <v>228</v>
      </c>
    </row>
    <row r="26" spans="1:9" ht="21.75">
      <c r="A26" s="229" t="s">
        <v>68</v>
      </c>
      <c r="B26" s="222"/>
      <c r="C26" s="222"/>
      <c r="D26" s="222"/>
      <c r="E26" s="222"/>
      <c r="F26" s="222"/>
      <c r="G26" s="503"/>
      <c r="H26" s="220"/>
      <c r="I26" s="400"/>
    </row>
    <row r="27" spans="1:9" ht="21.75">
      <c r="A27" s="231" t="s">
        <v>127</v>
      </c>
      <c r="B27" s="219">
        <v>3516800</v>
      </c>
      <c r="C27" s="219">
        <v>7295100</v>
      </c>
      <c r="D27" s="219">
        <v>11902200</v>
      </c>
      <c r="E27" s="219">
        <v>4097920</v>
      </c>
      <c r="F27" s="219"/>
      <c r="G27" s="222"/>
      <c r="H27" s="220">
        <f>SUM(B27:G27)</f>
        <v>26812020</v>
      </c>
      <c r="I27" s="225" t="s">
        <v>234</v>
      </c>
    </row>
    <row r="28" spans="1:9" ht="21.75">
      <c r="A28" s="511" t="s">
        <v>119</v>
      </c>
      <c r="B28" s="219"/>
      <c r="C28" s="219"/>
      <c r="D28" s="219"/>
      <c r="E28" s="219"/>
      <c r="F28" s="219"/>
      <c r="G28" s="219">
        <v>2695144</v>
      </c>
      <c r="H28" s="220">
        <f>SUM(B28:G28)</f>
        <v>2695144</v>
      </c>
      <c r="I28" s="400" t="s">
        <v>228</v>
      </c>
    </row>
    <row r="29" spans="1:9" ht="21.75">
      <c r="A29" s="229" t="s">
        <v>97</v>
      </c>
      <c r="B29" s="222"/>
      <c r="C29" s="222"/>
      <c r="D29" s="222"/>
      <c r="E29" s="222"/>
      <c r="F29" s="222"/>
      <c r="G29" s="219"/>
      <c r="H29" s="220"/>
      <c r="I29" s="225"/>
    </row>
    <row r="30" spans="1:9" ht="21" customHeight="1">
      <c r="A30" s="439" t="s">
        <v>123</v>
      </c>
      <c r="B30" s="219">
        <v>1119128</v>
      </c>
      <c r="C30" s="219"/>
      <c r="D30" s="222"/>
      <c r="E30" s="222"/>
      <c r="F30" s="222"/>
      <c r="G30" s="227"/>
      <c r="H30" s="219">
        <f>SUM(B30:G30)</f>
        <v>1119128</v>
      </c>
      <c r="I30" s="400" t="s">
        <v>198</v>
      </c>
    </row>
    <row r="31" spans="1:9" ht="21" customHeight="1">
      <c r="A31" s="738" t="s">
        <v>759</v>
      </c>
      <c r="B31" s="219"/>
      <c r="C31" s="219"/>
      <c r="D31" s="222"/>
      <c r="E31" s="222"/>
      <c r="F31" s="222"/>
      <c r="G31" s="219">
        <v>76200</v>
      </c>
      <c r="H31" s="219">
        <f>SUM(B31:G31)</f>
        <v>76200</v>
      </c>
      <c r="I31" s="225" t="s">
        <v>786</v>
      </c>
    </row>
    <row r="32" spans="1:9" ht="21" customHeight="1">
      <c r="A32" s="739"/>
      <c r="B32" s="219"/>
      <c r="C32" s="219"/>
      <c r="D32" s="222"/>
      <c r="E32" s="222"/>
      <c r="F32" s="222"/>
      <c r="G32" s="219">
        <f>485920.35+10736019.97+787499.65+388692+3975739.14+579626.94</f>
        <v>16953498.05</v>
      </c>
      <c r="H32" s="219">
        <f>SUM(B32:G32)</f>
        <v>16953498.05</v>
      </c>
      <c r="I32" s="400" t="s">
        <v>228</v>
      </c>
    </row>
    <row r="33" spans="1:9" ht="21" customHeight="1">
      <c r="A33" s="439" t="s">
        <v>785</v>
      </c>
      <c r="B33" s="219"/>
      <c r="C33" s="219"/>
      <c r="D33" s="222"/>
      <c r="E33" s="222"/>
      <c r="F33" s="222"/>
      <c r="G33" s="219">
        <f>4122534.52+763920</f>
        <v>4886454.52</v>
      </c>
      <c r="H33" s="219">
        <f>SUM(B33:G33)</f>
        <v>4886454.52</v>
      </c>
      <c r="I33" s="400" t="s">
        <v>228</v>
      </c>
    </row>
    <row r="34" spans="1:9" ht="20.25" customHeight="1">
      <c r="A34" s="639" t="s">
        <v>159</v>
      </c>
      <c r="B34" s="222"/>
      <c r="C34" s="219"/>
      <c r="D34" s="219"/>
      <c r="E34" s="219"/>
      <c r="F34" s="219"/>
      <c r="G34" s="227">
        <f>1892735.4+1322100+119073.39+2998921.44+31715800</f>
        <v>38048630.230000004</v>
      </c>
      <c r="H34" s="219">
        <f>SUM(B34:G34)</f>
        <v>38048630.230000004</v>
      </c>
      <c r="I34" s="400" t="s">
        <v>228</v>
      </c>
    </row>
    <row r="35" spans="1:9" ht="21" customHeight="1">
      <c r="A35" s="229" t="s">
        <v>71</v>
      </c>
      <c r="B35" s="219"/>
      <c r="C35" s="219"/>
      <c r="D35" s="219"/>
      <c r="E35" s="219"/>
      <c r="F35" s="219"/>
      <c r="G35" s="227"/>
      <c r="H35" s="219"/>
      <c r="I35" s="400"/>
    </row>
    <row r="36" spans="1:9" ht="21" customHeight="1">
      <c r="A36" s="504" t="s">
        <v>98</v>
      </c>
      <c r="B36" s="219">
        <v>1643762.25</v>
      </c>
      <c r="C36" s="219">
        <v>384938.24</v>
      </c>
      <c r="D36" s="219">
        <v>405635.99</v>
      </c>
      <c r="E36" s="219">
        <v>247283.25</v>
      </c>
      <c r="F36" s="219"/>
      <c r="G36" s="227"/>
      <c r="H36" s="219">
        <f>SUM(B36:G36)</f>
        <v>2681619.73</v>
      </c>
      <c r="I36" s="225" t="s">
        <v>787</v>
      </c>
    </row>
    <row r="37" spans="1:9" ht="21" customHeight="1">
      <c r="A37" s="229" t="s">
        <v>72</v>
      </c>
      <c r="B37" s="219"/>
      <c r="C37" s="219"/>
      <c r="D37" s="219"/>
      <c r="E37" s="219"/>
      <c r="F37" s="222"/>
      <c r="G37" s="331"/>
      <c r="H37" s="220"/>
      <c r="I37" s="400"/>
    </row>
    <row r="38" spans="1:9" ht="20.25" customHeight="1">
      <c r="A38" s="233" t="s">
        <v>99</v>
      </c>
      <c r="B38" s="219">
        <v>3392500</v>
      </c>
      <c r="C38" s="219">
        <v>3392500</v>
      </c>
      <c r="D38" s="219">
        <v>3392500</v>
      </c>
      <c r="E38" s="219">
        <v>3392500</v>
      </c>
      <c r="F38" s="222"/>
      <c r="G38" s="640"/>
      <c r="H38" s="220">
        <f>SUM(B38:G38)</f>
        <v>13570000</v>
      </c>
      <c r="I38" s="514" t="s">
        <v>789</v>
      </c>
    </row>
    <row r="39" spans="1:9" ht="20.25" customHeight="1">
      <c r="A39" s="511" t="s">
        <v>159</v>
      </c>
      <c r="B39" s="219"/>
      <c r="C39" s="219"/>
      <c r="D39" s="219"/>
      <c r="E39" s="219"/>
      <c r="F39" s="222"/>
      <c r="G39" s="227">
        <v>82483908.605</v>
      </c>
      <c r="H39" s="220">
        <f>SUM(B39:G39)</f>
        <v>82483908.605</v>
      </c>
      <c r="I39" s="400" t="s">
        <v>228</v>
      </c>
    </row>
    <row r="40" spans="1:9" ht="21" customHeight="1">
      <c r="A40" s="513" t="s">
        <v>70</v>
      </c>
      <c r="B40" s="219"/>
      <c r="C40" s="219"/>
      <c r="D40" s="219"/>
      <c r="E40" s="219"/>
      <c r="F40" s="222"/>
      <c r="G40" s="206"/>
      <c r="H40" s="517"/>
      <c r="I40" s="518"/>
    </row>
    <row r="41" spans="1:9" ht="19.5" customHeight="1">
      <c r="A41" s="515" t="s">
        <v>141</v>
      </c>
      <c r="B41" s="219">
        <v>236264.4</v>
      </c>
      <c r="C41" s="219">
        <v>264644.4</v>
      </c>
      <c r="D41" s="219">
        <v>266514.4</v>
      </c>
      <c r="E41" s="219">
        <v>266083.4</v>
      </c>
      <c r="F41" s="219">
        <v>236264.4</v>
      </c>
      <c r="G41" s="206">
        <v>1739754.4</v>
      </c>
      <c r="H41" s="220">
        <f>SUM(B41:G41)</f>
        <v>3009525.4</v>
      </c>
      <c r="I41" s="225" t="s">
        <v>144</v>
      </c>
    </row>
    <row r="42" spans="1:9" ht="21" customHeight="1">
      <c r="A42" s="513" t="s">
        <v>76</v>
      </c>
      <c r="B42" s="218"/>
      <c r="C42" s="218"/>
      <c r="D42" s="516"/>
      <c r="E42" s="206"/>
      <c r="F42" s="206"/>
      <c r="G42" s="206"/>
      <c r="H42" s="220"/>
      <c r="I42" s="228"/>
    </row>
    <row r="43" spans="1:9" ht="21" customHeight="1">
      <c r="A43" s="223" t="s">
        <v>106</v>
      </c>
      <c r="B43" s="219">
        <v>110804.79000000001</v>
      </c>
      <c r="C43" s="219">
        <v>86334.93</v>
      </c>
      <c r="D43" s="516">
        <v>73869.86</v>
      </c>
      <c r="E43" s="206">
        <v>110804.79000000001</v>
      </c>
      <c r="F43" s="206">
        <v>406284.23</v>
      </c>
      <c r="G43" s="206">
        <v>592579.132</v>
      </c>
      <c r="H43" s="220">
        <f>SUM(B43:G43)</f>
        <v>1380677.7319999998</v>
      </c>
      <c r="I43" s="225" t="s">
        <v>144</v>
      </c>
    </row>
    <row r="44" spans="1:9" ht="21" customHeight="1">
      <c r="A44" s="519" t="s">
        <v>191</v>
      </c>
      <c r="B44" s="219"/>
      <c r="C44" s="219"/>
      <c r="D44" s="516"/>
      <c r="E44" s="206"/>
      <c r="F44" s="206"/>
      <c r="G44" s="206">
        <v>105008589.33</v>
      </c>
      <c r="H44" s="220">
        <f>SUM(B44:G44)</f>
        <v>105008589.33</v>
      </c>
      <c r="I44" s="228" t="s">
        <v>102</v>
      </c>
    </row>
    <row r="45" spans="1:9" ht="21" customHeight="1">
      <c r="A45" s="520" t="s">
        <v>74</v>
      </c>
      <c r="B45" s="219"/>
      <c r="C45" s="219"/>
      <c r="D45" s="516"/>
      <c r="E45" s="206"/>
      <c r="F45" s="206"/>
      <c r="G45" s="521"/>
      <c r="H45" s="220"/>
      <c r="I45" s="522"/>
    </row>
    <row r="46" spans="1:9" ht="21" customHeight="1">
      <c r="A46" s="231" t="s">
        <v>141</v>
      </c>
      <c r="B46" s="219">
        <v>1344000</v>
      </c>
      <c r="C46" s="219">
        <v>5296000</v>
      </c>
      <c r="D46" s="516">
        <v>2760000</v>
      </c>
      <c r="E46" s="206">
        <v>336000</v>
      </c>
      <c r="F46" s="206"/>
      <c r="G46" s="524"/>
      <c r="H46" s="220">
        <f>SUM(B46:G46)</f>
        <v>9736000</v>
      </c>
      <c r="I46" s="225" t="s">
        <v>234</v>
      </c>
    </row>
    <row r="47" spans="1:9" ht="21" customHeight="1">
      <c r="A47" s="519" t="s">
        <v>191</v>
      </c>
      <c r="B47" s="219"/>
      <c r="C47" s="219"/>
      <c r="D47" s="516"/>
      <c r="E47" s="206"/>
      <c r="F47" s="206"/>
      <c r="G47" s="521">
        <v>24204459.94</v>
      </c>
      <c r="H47" s="220">
        <f>SUM(B47:G47)</f>
        <v>24204459.94</v>
      </c>
      <c r="I47" s="522" t="s">
        <v>102</v>
      </c>
    </row>
    <row r="48" spans="1:9" ht="21" customHeight="1">
      <c r="A48" s="523" t="s">
        <v>66</v>
      </c>
      <c r="B48" s="219"/>
      <c r="C48" s="219"/>
      <c r="D48" s="516"/>
      <c r="E48" s="206"/>
      <c r="F48" s="206"/>
      <c r="G48" s="521"/>
      <c r="H48" s="220"/>
      <c r="I48" s="522"/>
    </row>
    <row r="49" spans="1:9" ht="21" customHeight="1">
      <c r="A49" s="231" t="s">
        <v>307</v>
      </c>
      <c r="B49" s="219">
        <v>1500000</v>
      </c>
      <c r="C49" s="219"/>
      <c r="D49" s="516">
        <v>5339256</v>
      </c>
      <c r="E49" s="206"/>
      <c r="F49" s="206"/>
      <c r="G49" s="524"/>
      <c r="H49" s="220">
        <f>SUM(B49:G49)</f>
        <v>6839256</v>
      </c>
      <c r="I49" s="225" t="s">
        <v>234</v>
      </c>
    </row>
    <row r="50" spans="1:9" ht="21" customHeight="1">
      <c r="A50" s="519" t="s">
        <v>191</v>
      </c>
      <c r="B50" s="219"/>
      <c r="C50" s="219"/>
      <c r="D50" s="516"/>
      <c r="E50" s="206"/>
      <c r="F50" s="206"/>
      <c r="G50" s="407">
        <v>4854258.42</v>
      </c>
      <c r="H50" s="220">
        <f>SUM(B50:G50)</f>
        <v>4854258.42</v>
      </c>
      <c r="I50" s="522" t="s">
        <v>102</v>
      </c>
    </row>
    <row r="51" spans="1:9" ht="21" customHeight="1">
      <c r="A51" s="525" t="s">
        <v>64</v>
      </c>
      <c r="B51" s="219"/>
      <c r="C51" s="219"/>
      <c r="D51" s="516"/>
      <c r="E51" s="206"/>
      <c r="F51" s="206"/>
      <c r="G51" s="524"/>
      <c r="H51" s="220"/>
      <c r="I51" s="522"/>
    </row>
    <row r="52" spans="1:9" ht="21" customHeight="1">
      <c r="A52" s="526" t="s">
        <v>306</v>
      </c>
      <c r="B52" s="219">
        <v>925888.5488888889</v>
      </c>
      <c r="C52" s="219">
        <v>685062.66</v>
      </c>
      <c r="D52" s="516">
        <v>516511.7216666667</v>
      </c>
      <c r="E52" s="206">
        <v>1907707.1199999999</v>
      </c>
      <c r="F52" s="206">
        <v>34671.29</v>
      </c>
      <c r="G52" s="524">
        <v>3123933.35</v>
      </c>
      <c r="H52" s="220">
        <f>SUM(B52:G52)</f>
        <v>7193774.690555556</v>
      </c>
      <c r="I52" s="225" t="s">
        <v>758</v>
      </c>
    </row>
    <row r="53" spans="1:9" ht="21.75">
      <c r="A53" s="519" t="s">
        <v>191</v>
      </c>
      <c r="B53" s="219"/>
      <c r="C53" s="219"/>
      <c r="D53" s="516"/>
      <c r="E53" s="206"/>
      <c r="F53" s="206"/>
      <c r="G53" s="524">
        <v>2963880.88</v>
      </c>
      <c r="H53" s="220">
        <f>SUM(B53:G53)</f>
        <v>2963880.88</v>
      </c>
      <c r="I53" s="522" t="s">
        <v>102</v>
      </c>
    </row>
    <row r="54" spans="1:9" ht="23.25">
      <c r="A54" s="527" t="s">
        <v>62</v>
      </c>
      <c r="B54" s="219"/>
      <c r="C54" s="219"/>
      <c r="D54" s="230"/>
      <c r="E54" s="206"/>
      <c r="F54" s="206"/>
      <c r="G54" s="524"/>
      <c r="H54" s="220"/>
      <c r="I54" s="529"/>
    </row>
    <row r="55" spans="1:9" ht="21.75">
      <c r="A55" s="519" t="s">
        <v>230</v>
      </c>
      <c r="B55" s="219">
        <v>171359185</v>
      </c>
      <c r="C55" s="219">
        <v>0</v>
      </c>
      <c r="D55" s="230">
        <v>632356916</v>
      </c>
      <c r="E55" s="218"/>
      <c r="F55" s="218"/>
      <c r="G55" s="206"/>
      <c r="H55" s="220">
        <f>SUM(B55:G55)</f>
        <v>803716101</v>
      </c>
      <c r="I55" s="225" t="s">
        <v>758</v>
      </c>
    </row>
    <row r="56" spans="1:9" ht="23.25">
      <c r="A56" s="527" t="s">
        <v>73</v>
      </c>
      <c r="B56" s="219"/>
      <c r="C56" s="221"/>
      <c r="D56" s="230"/>
      <c r="E56" s="219"/>
      <c r="F56" s="219"/>
      <c r="G56" s="524"/>
      <c r="H56" s="220"/>
      <c r="I56" s="522" t="s">
        <v>102</v>
      </c>
    </row>
    <row r="57" spans="1:9" ht="21.75">
      <c r="A57" s="735" t="s">
        <v>101</v>
      </c>
      <c r="B57" s="219">
        <v>636208.33</v>
      </c>
      <c r="C57" s="219">
        <v>666408.33</v>
      </c>
      <c r="D57" s="516">
        <v>636208.33</v>
      </c>
      <c r="E57" s="206">
        <v>636208.33</v>
      </c>
      <c r="F57" s="206"/>
      <c r="G57" s="524">
        <f>4543366.31</f>
        <v>4543366.31</v>
      </c>
      <c r="H57" s="220">
        <f>SUM(B57:G57)</f>
        <v>7118399.629999999</v>
      </c>
      <c r="I57" s="522"/>
    </row>
    <row r="58" spans="1:9" ht="21.75">
      <c r="A58" s="736"/>
      <c r="B58" s="219"/>
      <c r="C58" s="219"/>
      <c r="D58" s="516"/>
      <c r="E58" s="206"/>
      <c r="F58" s="206"/>
      <c r="G58" s="524">
        <f>6836930.6</f>
        <v>6836930.6</v>
      </c>
      <c r="H58" s="220">
        <f>SUM(B58:G58)</f>
        <v>6836930.6</v>
      </c>
      <c r="I58" s="522" t="s">
        <v>102</v>
      </c>
    </row>
    <row r="59" spans="1:9" ht="23.25">
      <c r="A59" s="527" t="s">
        <v>78</v>
      </c>
      <c r="B59" s="219"/>
      <c r="C59" s="219"/>
      <c r="D59" s="531"/>
      <c r="E59" s="532"/>
      <c r="F59" s="532"/>
      <c r="G59" s="524"/>
      <c r="H59" s="220"/>
      <c r="I59" s="522"/>
    </row>
    <row r="60" spans="1:9" ht="21.75">
      <c r="A60" s="530" t="s">
        <v>101</v>
      </c>
      <c r="B60" s="219"/>
      <c r="C60" s="219"/>
      <c r="D60" s="531"/>
      <c r="E60" s="532"/>
      <c r="F60" s="532"/>
      <c r="G60" s="524">
        <v>327605.28</v>
      </c>
      <c r="H60" s="220">
        <f>SUM(B60:G60)</f>
        <v>327605.28</v>
      </c>
      <c r="I60" s="522" t="s">
        <v>102</v>
      </c>
    </row>
    <row r="61" spans="1:9" ht="23.25">
      <c r="A61" s="527" t="s">
        <v>69</v>
      </c>
      <c r="B61" s="219"/>
      <c r="C61" s="219"/>
      <c r="D61" s="531"/>
      <c r="E61" s="532"/>
      <c r="F61" s="532"/>
      <c r="G61" s="524"/>
      <c r="H61" s="220"/>
      <c r="I61" s="228"/>
    </row>
    <row r="62" spans="1:9" ht="21.75">
      <c r="A62" s="268" t="s">
        <v>96</v>
      </c>
      <c r="B62" s="219">
        <v>1532033.33</v>
      </c>
      <c r="C62" s="219">
        <v>1301840.2733333334</v>
      </c>
      <c r="D62" s="230">
        <v>958333.34</v>
      </c>
      <c r="E62" s="219">
        <v>27750</v>
      </c>
      <c r="F62" s="279">
        <v>0</v>
      </c>
      <c r="G62" s="524">
        <v>941050</v>
      </c>
      <c r="H62" s="220">
        <f>SUM(B62:G62)</f>
        <v>4761006.943333333</v>
      </c>
      <c r="I62" s="225" t="s">
        <v>784</v>
      </c>
    </row>
    <row r="63" spans="1:9" ht="21.75">
      <c r="A63" s="530" t="s">
        <v>101</v>
      </c>
      <c r="B63" s="219"/>
      <c r="C63" s="219"/>
      <c r="D63" s="230"/>
      <c r="E63" s="219"/>
      <c r="F63" s="219"/>
      <c r="G63" s="524">
        <v>166006251.96</v>
      </c>
      <c r="H63" s="220">
        <f>SUM(B63:G63)</f>
        <v>166006251.96</v>
      </c>
      <c r="I63" s="228" t="s">
        <v>102</v>
      </c>
    </row>
    <row r="64" spans="1:9" ht="23.25">
      <c r="A64" s="527" t="s">
        <v>77</v>
      </c>
      <c r="B64" s="219"/>
      <c r="C64" s="219"/>
      <c r="D64" s="230"/>
      <c r="E64" s="219"/>
      <c r="F64" s="219"/>
      <c r="G64" s="524"/>
      <c r="H64" s="220"/>
      <c r="I64" s="228"/>
    </row>
    <row r="65" spans="1:9" ht="21.75">
      <c r="A65" s="733" t="s">
        <v>232</v>
      </c>
      <c r="B65" s="219"/>
      <c r="C65" s="219"/>
      <c r="D65" s="230"/>
      <c r="E65" s="219"/>
      <c r="F65" s="219">
        <v>4994</v>
      </c>
      <c r="G65" s="524">
        <v>13262</v>
      </c>
      <c r="H65" s="220">
        <f>SUM(B65:G65)</f>
        <v>18256</v>
      </c>
      <c r="I65" s="225" t="s">
        <v>190</v>
      </c>
    </row>
    <row r="66" spans="1:9" ht="21.75">
      <c r="A66" s="734"/>
      <c r="B66" s="219"/>
      <c r="C66" s="219"/>
      <c r="D66" s="230"/>
      <c r="E66" s="219"/>
      <c r="F66" s="219"/>
      <c r="G66" s="524">
        <v>10902.5</v>
      </c>
      <c r="H66" s="220">
        <f>SUM(B66:G66)</f>
        <v>10902.5</v>
      </c>
      <c r="I66" s="528" t="s">
        <v>102</v>
      </c>
    </row>
    <row r="67" spans="1:9" ht="21.75">
      <c r="A67" s="733" t="s">
        <v>760</v>
      </c>
      <c r="B67" s="219"/>
      <c r="C67" s="219"/>
      <c r="D67" s="230"/>
      <c r="E67" s="219"/>
      <c r="F67" s="219"/>
      <c r="G67" s="524">
        <f>354460.7</f>
        <v>354460.7</v>
      </c>
      <c r="H67" s="220">
        <f>SUM(B67:G67)</f>
        <v>354460.7</v>
      </c>
      <c r="I67" s="225" t="s">
        <v>190</v>
      </c>
    </row>
    <row r="68" spans="1:9" ht="21.75">
      <c r="A68" s="734"/>
      <c r="B68" s="219"/>
      <c r="C68" s="219"/>
      <c r="D68" s="230"/>
      <c r="E68" s="219"/>
      <c r="F68" s="219"/>
      <c r="G68" s="533">
        <f>322050+1695000</f>
        <v>2017050</v>
      </c>
      <c r="H68" s="220">
        <f>SUM(B68:G68)</f>
        <v>2017050</v>
      </c>
      <c r="I68" s="228" t="s">
        <v>102</v>
      </c>
    </row>
    <row r="69" spans="1:9" ht="21.75">
      <c r="A69" s="233" t="s">
        <v>101</v>
      </c>
      <c r="B69" s="219"/>
      <c r="C69" s="219"/>
      <c r="D69" s="230"/>
      <c r="E69" s="219"/>
      <c r="F69" s="219"/>
      <c r="G69" s="643">
        <f>5399508.58</f>
        <v>5399508.58</v>
      </c>
      <c r="H69" s="220">
        <f>SUM(B69:G69)</f>
        <v>5399508.58</v>
      </c>
      <c r="I69" s="228" t="s">
        <v>102</v>
      </c>
    </row>
    <row r="70" spans="1:9" ht="46.5">
      <c r="A70" s="613" t="s">
        <v>584</v>
      </c>
      <c r="B70" s="221"/>
      <c r="C70" s="221"/>
      <c r="D70" s="614"/>
      <c r="E70" s="221"/>
      <c r="F70" s="221"/>
      <c r="G70" s="524"/>
      <c r="H70" s="220"/>
      <c r="I70" s="228"/>
    </row>
    <row r="71" spans="1:9" ht="21.75">
      <c r="A71" s="231" t="s">
        <v>141</v>
      </c>
      <c r="B71" s="615">
        <v>63507</v>
      </c>
      <c r="C71" s="615"/>
      <c r="D71" s="615">
        <v>4335.2</v>
      </c>
      <c r="E71" s="615" t="s">
        <v>783</v>
      </c>
      <c r="F71" s="615"/>
      <c r="G71" s="615">
        <v>13005.599999999999</v>
      </c>
      <c r="H71" s="220">
        <f>SUM(B71:G71)</f>
        <v>80847.79999999999</v>
      </c>
      <c r="I71" s="225" t="s">
        <v>190</v>
      </c>
    </row>
    <row r="72" spans="1:9" ht="21.75">
      <c r="A72" s="519" t="s">
        <v>191</v>
      </c>
      <c r="B72" s="218"/>
      <c r="C72" s="279"/>
      <c r="D72" s="403"/>
      <c r="E72" s="218"/>
      <c r="F72" s="218"/>
      <c r="G72" s="218">
        <v>678000</v>
      </c>
      <c r="H72" s="220">
        <f>SUM(B72:G72)</f>
        <v>678000</v>
      </c>
      <c r="I72" s="228" t="s">
        <v>102</v>
      </c>
    </row>
    <row r="73" spans="1:9" ht="23.25">
      <c r="A73" s="527" t="s">
        <v>82</v>
      </c>
      <c r="B73" s="219"/>
      <c r="C73" s="221"/>
      <c r="D73" s="230"/>
      <c r="E73" s="219"/>
      <c r="F73" s="219"/>
      <c r="G73" s="218"/>
      <c r="H73" s="220"/>
      <c r="I73" s="400"/>
    </row>
    <row r="74" spans="1:9" ht="24">
      <c r="A74" s="515" t="s">
        <v>226</v>
      </c>
      <c r="B74" s="219"/>
      <c r="C74" s="221"/>
      <c r="D74" s="222"/>
      <c r="E74" s="219"/>
      <c r="F74" s="219"/>
      <c r="G74" s="218">
        <v>1775167962.5</v>
      </c>
      <c r="H74" s="220">
        <f>SUM(B74:G74)</f>
        <v>1775167962.5</v>
      </c>
      <c r="I74" s="400" t="s">
        <v>198</v>
      </c>
    </row>
    <row r="75" spans="1:9" ht="21.75">
      <c r="A75" s="232" t="s">
        <v>75</v>
      </c>
      <c r="B75" s="219"/>
      <c r="C75" s="221"/>
      <c r="D75" s="222"/>
      <c r="E75" s="219"/>
      <c r="F75" s="218"/>
      <c r="G75" s="279"/>
      <c r="H75" s="322"/>
      <c r="I75" s="225"/>
    </row>
    <row r="76" spans="1:9" ht="21" customHeight="1">
      <c r="A76" s="268" t="s">
        <v>96</v>
      </c>
      <c r="C76" s="221"/>
      <c r="D76" s="222"/>
      <c r="E76" s="219"/>
      <c r="F76" s="218"/>
      <c r="G76" s="321">
        <f>360810+923533.45+50000</f>
        <v>1334343.45</v>
      </c>
      <c r="H76" s="322">
        <f aca="true" t="shared" si="1" ref="H76:H84">SUM(B76:G76)</f>
        <v>1334343.45</v>
      </c>
      <c r="I76" s="225" t="s">
        <v>144</v>
      </c>
    </row>
    <row r="77" spans="1:9" ht="21" customHeight="1">
      <c r="A77" s="510" t="s">
        <v>94</v>
      </c>
      <c r="B77" s="219"/>
      <c r="C77" s="221"/>
      <c r="D77" s="278"/>
      <c r="E77" s="279">
        <v>258674.95</v>
      </c>
      <c r="F77" s="218">
        <v>500000</v>
      </c>
      <c r="G77" s="477">
        <f>569968.59+550298+140000+50000</f>
        <v>1310266.5899999999</v>
      </c>
      <c r="H77" s="322">
        <f>SUM(B77:G77)</f>
        <v>2068941.5399999998</v>
      </c>
      <c r="I77" s="225" t="s">
        <v>788</v>
      </c>
    </row>
    <row r="78" spans="1:9" ht="21" customHeight="1">
      <c r="A78" s="231" t="s">
        <v>141</v>
      </c>
      <c r="B78" s="219"/>
      <c r="C78" s="321">
        <v>299092</v>
      </c>
      <c r="D78" s="219"/>
      <c r="E78" s="219"/>
      <c r="F78" s="218"/>
      <c r="G78" s="477">
        <v>100000</v>
      </c>
      <c r="H78" s="322">
        <f>SUM(B78:G78)</f>
        <v>399092</v>
      </c>
      <c r="I78" s="267" t="s">
        <v>236</v>
      </c>
    </row>
    <row r="79" spans="1:9" ht="24">
      <c r="A79" s="224" t="s">
        <v>192</v>
      </c>
      <c r="B79" s="219"/>
      <c r="C79" s="219"/>
      <c r="D79" s="219"/>
      <c r="E79" s="219"/>
      <c r="F79" s="219"/>
      <c r="G79" s="502">
        <f>149397.6</f>
        <v>149397.6</v>
      </c>
      <c r="H79" s="322">
        <f t="shared" si="1"/>
        <v>149397.6</v>
      </c>
      <c r="I79" s="228" t="s">
        <v>102</v>
      </c>
    </row>
    <row r="80" spans="1:9" ht="21" customHeight="1">
      <c r="A80" s="223" t="s">
        <v>106</v>
      </c>
      <c r="B80" s="219"/>
      <c r="C80" s="219">
        <f>700000+840260</f>
        <v>1540260</v>
      </c>
      <c r="D80" s="219">
        <v>614171.9</v>
      </c>
      <c r="E80" s="476">
        <v>94997.85</v>
      </c>
      <c r="F80" s="219"/>
      <c r="G80" s="502">
        <f>335379.35+454607.5+658861.7</f>
        <v>1448848.5499999998</v>
      </c>
      <c r="H80" s="220">
        <f t="shared" si="1"/>
        <v>3698278.3</v>
      </c>
      <c r="I80" s="404" t="s">
        <v>229</v>
      </c>
    </row>
    <row r="81" spans="1:9" ht="21.75">
      <c r="A81" s="233" t="s">
        <v>101</v>
      </c>
      <c r="B81" s="227"/>
      <c r="C81" s="227"/>
      <c r="D81" s="227"/>
      <c r="E81" s="284"/>
      <c r="F81" s="642"/>
      <c r="G81" s="322">
        <v>122786680.17</v>
      </c>
      <c r="H81" s="220">
        <f t="shared" si="1"/>
        <v>122786680.17</v>
      </c>
      <c r="I81" s="228" t="s">
        <v>102</v>
      </c>
    </row>
    <row r="82" spans="1:9" ht="21.75">
      <c r="A82" s="229" t="s">
        <v>100</v>
      </c>
      <c r="B82" s="645"/>
      <c r="C82" s="645"/>
      <c r="D82" s="645"/>
      <c r="E82" s="645"/>
      <c r="F82" s="645"/>
      <c r="G82" s="645"/>
      <c r="H82" s="645"/>
      <c r="I82" s="228"/>
    </row>
    <row r="83" spans="1:9" ht="43.5">
      <c r="A83" s="538" t="s">
        <v>115</v>
      </c>
      <c r="B83" s="407">
        <v>131848600</v>
      </c>
      <c r="C83" s="407">
        <v>65725900</v>
      </c>
      <c r="D83" s="407">
        <v>59273900</v>
      </c>
      <c r="E83" s="644">
        <v>13814300</v>
      </c>
      <c r="F83" s="407">
        <v>2242100</v>
      </c>
      <c r="G83" s="142">
        <f>499102300-272904800</f>
        <v>226197500</v>
      </c>
      <c r="H83" s="517">
        <f t="shared" si="1"/>
        <v>499102300</v>
      </c>
      <c r="I83" s="404" t="s">
        <v>229</v>
      </c>
    </row>
    <row r="84" spans="1:9" ht="21.75">
      <c r="A84" s="233" t="s">
        <v>101</v>
      </c>
      <c r="B84" s="227"/>
      <c r="C84" s="227"/>
      <c r="D84" s="227"/>
      <c r="E84" s="284"/>
      <c r="F84" s="227"/>
      <c r="G84" s="634">
        <v>32873027.32</v>
      </c>
      <c r="H84" s="220">
        <f t="shared" si="1"/>
        <v>32873027.32</v>
      </c>
      <c r="I84" s="228" t="s">
        <v>102</v>
      </c>
    </row>
    <row r="85" spans="1:9" ht="21.75" thickBot="1">
      <c r="A85" s="234" t="s">
        <v>103</v>
      </c>
      <c r="B85" s="269">
        <f aca="true" t="shared" si="2" ref="B85:H85">SUM(B7:B84)</f>
        <v>358212528.7188889</v>
      </c>
      <c r="C85" s="269">
        <f t="shared" si="2"/>
        <v>656024793.6533333</v>
      </c>
      <c r="D85" s="269">
        <f t="shared" si="2"/>
        <v>731754064.2516668</v>
      </c>
      <c r="E85" s="269">
        <f t="shared" si="2"/>
        <v>35465174.79</v>
      </c>
      <c r="F85" s="269">
        <f t="shared" si="2"/>
        <v>10574852.920000002</v>
      </c>
      <c r="G85" s="269">
        <f t="shared" si="2"/>
        <v>2769746484.1246004</v>
      </c>
      <c r="H85" s="269">
        <f t="shared" si="2"/>
        <v>4561777898.458488</v>
      </c>
      <c r="I85" s="235"/>
    </row>
    <row r="86" ht="24.75" thickTop="1">
      <c r="I86" s="195" t="s">
        <v>795</v>
      </c>
    </row>
    <row r="87" spans="3:8" ht="24">
      <c r="C87" s="109"/>
      <c r="G87" s="246"/>
      <c r="H87" s="108"/>
    </row>
    <row r="88" ht="24">
      <c r="H88" s="108"/>
    </row>
  </sheetData>
  <sheetProtection/>
  <mergeCells count="13">
    <mergeCell ref="A1:I1"/>
    <mergeCell ref="A2:I2"/>
    <mergeCell ref="A4:A5"/>
    <mergeCell ref="B4:G4"/>
    <mergeCell ref="H4:H5"/>
    <mergeCell ref="I4:I5"/>
    <mergeCell ref="A13:A14"/>
    <mergeCell ref="A7:A8"/>
    <mergeCell ref="A67:A68"/>
    <mergeCell ref="A65:A66"/>
    <mergeCell ref="A57:A58"/>
    <mergeCell ref="A20:A21"/>
    <mergeCell ref="A31:A32"/>
  </mergeCells>
  <printOptions horizontalCentered="1"/>
  <pageMargins left="0.26" right="0.183070866" top="0.4" bottom="0" header="0.33" footer="0.118110236220472"/>
  <pageSetup horizontalDpi="600" verticalDpi="600" orientation="landscape" paperSize="9" scale="80" r:id="rId1"/>
  <rowBreaks count="1" manualBreakCount="1">
    <brk id="6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O43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2" sqref="G22"/>
    </sheetView>
  </sheetViews>
  <sheetFormatPr defaultColWidth="9.140625" defaultRowHeight="21.75"/>
  <cols>
    <col min="1" max="1" width="57.140625" style="344" customWidth="1"/>
    <col min="2" max="2" width="12.28125" style="344" customWidth="1"/>
    <col min="3" max="3" width="13.140625" style="344" customWidth="1"/>
    <col min="4" max="4" width="12.8515625" style="344" customWidth="1"/>
    <col min="5" max="5" width="14.140625" style="344" customWidth="1"/>
    <col min="6" max="6" width="11.57421875" style="344" customWidth="1"/>
    <col min="7" max="7" width="13.140625" style="344" customWidth="1"/>
    <col min="8" max="8" width="15.140625" style="344" customWidth="1"/>
    <col min="9" max="9" width="15.421875" style="344" customWidth="1"/>
    <col min="10" max="10" width="11.7109375" style="344" customWidth="1"/>
    <col min="11" max="11" width="13.57421875" style="344" customWidth="1"/>
    <col min="12" max="12" width="11.421875" style="344" customWidth="1"/>
    <col min="13" max="13" width="9.140625" style="344" customWidth="1"/>
    <col min="14" max="14" width="14.57421875" style="344" customWidth="1"/>
    <col min="15" max="15" width="13.28125" style="344" customWidth="1"/>
    <col min="16" max="16384" width="9.140625" style="344" customWidth="1"/>
  </cols>
  <sheetData>
    <row r="1" spans="1:12" ht="23.25">
      <c r="A1" s="752" t="s">
        <v>0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</row>
    <row r="2" spans="1:13" ht="23.25">
      <c r="A2" s="753" t="s">
        <v>358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</row>
    <row r="3" ht="21.75" customHeight="1"/>
    <row r="4" spans="1:12" ht="37.5" customHeight="1">
      <c r="A4" s="800" t="s">
        <v>1</v>
      </c>
      <c r="B4" s="802" t="s">
        <v>13</v>
      </c>
      <c r="C4" s="803"/>
      <c r="D4" s="803"/>
      <c r="E4" s="803"/>
      <c r="F4" s="803"/>
      <c r="G4" s="803"/>
      <c r="H4" s="759" t="s">
        <v>81</v>
      </c>
      <c r="I4" s="759" t="s">
        <v>14</v>
      </c>
      <c r="J4" s="800" t="s">
        <v>6</v>
      </c>
      <c r="K4" s="754" t="s">
        <v>7</v>
      </c>
      <c r="L4" s="754" t="s">
        <v>35</v>
      </c>
    </row>
    <row r="5" spans="1:12" ht="26.25" customHeight="1">
      <c r="A5" s="801"/>
      <c r="B5" s="540" t="s">
        <v>8</v>
      </c>
      <c r="C5" s="540" t="s">
        <v>9</v>
      </c>
      <c r="D5" s="540" t="s">
        <v>211</v>
      </c>
      <c r="E5" s="540" t="s">
        <v>10</v>
      </c>
      <c r="F5" s="541" t="s">
        <v>23</v>
      </c>
      <c r="G5" s="540" t="s">
        <v>21</v>
      </c>
      <c r="H5" s="760"/>
      <c r="I5" s="760"/>
      <c r="J5" s="801"/>
      <c r="K5" s="755"/>
      <c r="L5" s="755"/>
    </row>
    <row r="6" spans="1:12" ht="21.75">
      <c r="A6" s="345" t="s">
        <v>111</v>
      </c>
      <c r="B6" s="8"/>
      <c r="C6" s="8"/>
      <c r="D6" s="8"/>
      <c r="E6" s="8"/>
      <c r="F6" s="266"/>
      <c r="G6" s="8"/>
      <c r="H6" s="8"/>
      <c r="I6" s="8"/>
      <c r="J6" s="346"/>
      <c r="K6" s="346"/>
      <c r="L6" s="347"/>
    </row>
    <row r="7" spans="1:12" ht="21.75">
      <c r="A7" s="348" t="s">
        <v>242</v>
      </c>
      <c r="B7" s="59"/>
      <c r="C7" s="59"/>
      <c r="D7" s="59"/>
      <c r="E7" s="59"/>
      <c r="F7" s="59"/>
      <c r="G7" s="59"/>
      <c r="H7" s="59"/>
      <c r="I7" s="59"/>
      <c r="J7" s="349"/>
      <c r="K7" s="349"/>
      <c r="L7" s="350"/>
    </row>
    <row r="8" spans="1:12" ht="87">
      <c r="A8" s="351" t="s">
        <v>744</v>
      </c>
      <c r="B8" s="40"/>
      <c r="C8" s="40">
        <v>49400</v>
      </c>
      <c r="D8" s="40"/>
      <c r="E8" s="40"/>
      <c r="F8" s="40"/>
      <c r="G8" s="40"/>
      <c r="H8" s="40"/>
      <c r="I8" s="40">
        <f>SUM(B8:H8)</f>
        <v>49400</v>
      </c>
      <c r="J8" s="352" t="s">
        <v>32</v>
      </c>
      <c r="K8" s="561" t="s">
        <v>745</v>
      </c>
      <c r="L8" s="353"/>
    </row>
    <row r="9" spans="1:12" ht="21.75">
      <c r="A9" s="355" t="s">
        <v>205</v>
      </c>
      <c r="B9" s="299"/>
      <c r="C9" s="297"/>
      <c r="D9" s="297"/>
      <c r="E9" s="297"/>
      <c r="F9" s="297"/>
      <c r="G9" s="356"/>
      <c r="H9" s="356"/>
      <c r="I9" s="297"/>
      <c r="J9" s="357"/>
      <c r="K9" s="357"/>
      <c r="L9" s="358"/>
    </row>
    <row r="10" spans="1:15" ht="28.5" customHeight="1">
      <c r="A10" s="351" t="s">
        <v>131</v>
      </c>
      <c r="B10" s="299"/>
      <c r="C10" s="297"/>
      <c r="D10" s="297"/>
      <c r="E10" s="297"/>
      <c r="F10" s="297"/>
      <c r="G10" s="297"/>
      <c r="H10" s="298">
        <f>48009598.08*76%</f>
        <v>36487294.5408</v>
      </c>
      <c r="I10" s="297">
        <f aca="true" t="shared" si="0" ref="I10:I24">SUM(B10:H10)</f>
        <v>36487294.5408</v>
      </c>
      <c r="J10" s="357" t="s">
        <v>32</v>
      </c>
      <c r="K10" s="359" t="s">
        <v>105</v>
      </c>
      <c r="L10" s="358"/>
      <c r="N10" s="297">
        <v>48009598.08</v>
      </c>
      <c r="O10" s="363">
        <f>N10*76/100</f>
        <v>36487294.5408</v>
      </c>
    </row>
    <row r="11" spans="1:14" ht="65.25">
      <c r="A11" s="351" t="s">
        <v>139</v>
      </c>
      <c r="B11" s="299"/>
      <c r="C11" s="297"/>
      <c r="D11" s="297"/>
      <c r="E11" s="297"/>
      <c r="F11" s="297"/>
      <c r="G11" s="297"/>
      <c r="H11" s="298">
        <v>1600000</v>
      </c>
      <c r="I11" s="297">
        <f t="shared" si="0"/>
        <v>1600000</v>
      </c>
      <c r="J11" s="357" t="s">
        <v>32</v>
      </c>
      <c r="K11" s="359" t="s">
        <v>105</v>
      </c>
      <c r="L11" s="358"/>
      <c r="N11" s="363"/>
    </row>
    <row r="12" spans="1:12" ht="43.5">
      <c r="A12" s="351" t="s">
        <v>140</v>
      </c>
      <c r="B12" s="299"/>
      <c r="C12" s="297"/>
      <c r="D12" s="297"/>
      <c r="E12" s="297"/>
      <c r="F12" s="297"/>
      <c r="G12" s="297"/>
      <c r="H12" s="297">
        <v>5052440</v>
      </c>
      <c r="I12" s="297">
        <f t="shared" si="0"/>
        <v>5052440</v>
      </c>
      <c r="J12" s="357" t="s">
        <v>32</v>
      </c>
      <c r="K12" s="359" t="s">
        <v>105</v>
      </c>
      <c r="L12" s="358"/>
    </row>
    <row r="13" spans="1:12" ht="65.25">
      <c r="A13" s="351" t="s">
        <v>132</v>
      </c>
      <c r="B13" s="299"/>
      <c r="C13" s="297"/>
      <c r="D13" s="297"/>
      <c r="E13" s="297"/>
      <c r="F13" s="297"/>
      <c r="G13" s="297"/>
      <c r="H13" s="297">
        <v>660000</v>
      </c>
      <c r="I13" s="297">
        <f t="shared" si="0"/>
        <v>660000</v>
      </c>
      <c r="J13" s="357" t="s">
        <v>32</v>
      </c>
      <c r="K13" s="359" t="s">
        <v>105</v>
      </c>
      <c r="L13" s="358"/>
    </row>
    <row r="14" spans="1:12" ht="65.25">
      <c r="A14" s="351" t="s">
        <v>133</v>
      </c>
      <c r="B14" s="299"/>
      <c r="C14" s="297"/>
      <c r="D14" s="297"/>
      <c r="E14" s="297"/>
      <c r="F14" s="297"/>
      <c r="G14" s="297"/>
      <c r="H14" s="297">
        <v>82088.06</v>
      </c>
      <c r="I14" s="297">
        <f t="shared" si="0"/>
        <v>82088.06</v>
      </c>
      <c r="J14" s="357" t="s">
        <v>32</v>
      </c>
      <c r="K14" s="359" t="s">
        <v>105</v>
      </c>
      <c r="L14" s="358"/>
    </row>
    <row r="15" spans="1:12" ht="108.75">
      <c r="A15" s="351" t="s">
        <v>183</v>
      </c>
      <c r="B15" s="299"/>
      <c r="C15" s="297"/>
      <c r="D15" s="297"/>
      <c r="E15" s="297"/>
      <c r="F15" s="297"/>
      <c r="G15" s="297"/>
      <c r="H15" s="297">
        <v>1500000</v>
      </c>
      <c r="I15" s="297">
        <f t="shared" si="0"/>
        <v>1500000</v>
      </c>
      <c r="J15" s="357" t="s">
        <v>32</v>
      </c>
      <c r="K15" s="359" t="s">
        <v>105</v>
      </c>
      <c r="L15" s="358"/>
    </row>
    <row r="16" spans="1:12" ht="65.25">
      <c r="A16" s="354" t="s">
        <v>134</v>
      </c>
      <c r="B16" s="299"/>
      <c r="C16" s="297"/>
      <c r="D16" s="297"/>
      <c r="E16" s="297"/>
      <c r="F16" s="297"/>
      <c r="G16" s="297"/>
      <c r="H16" s="297">
        <v>3368812.24</v>
      </c>
      <c r="I16" s="297">
        <f t="shared" si="0"/>
        <v>3368812.24</v>
      </c>
      <c r="J16" s="357" t="s">
        <v>32</v>
      </c>
      <c r="K16" s="359" t="s">
        <v>105</v>
      </c>
      <c r="L16" s="358"/>
    </row>
    <row r="17" spans="1:12" ht="43.5" customHeight="1">
      <c r="A17" s="354" t="s">
        <v>353</v>
      </c>
      <c r="B17" s="299"/>
      <c r="C17" s="297"/>
      <c r="D17" s="297"/>
      <c r="E17" s="297"/>
      <c r="F17" s="297"/>
      <c r="G17" s="297"/>
      <c r="H17" s="297">
        <v>3363143.15</v>
      </c>
      <c r="I17" s="297">
        <f t="shared" si="0"/>
        <v>3363143.15</v>
      </c>
      <c r="J17" s="357" t="s">
        <v>32</v>
      </c>
      <c r="K17" s="359" t="s">
        <v>105</v>
      </c>
      <c r="L17" s="358"/>
    </row>
    <row r="18" spans="1:12" ht="43.5">
      <c r="A18" s="354" t="s">
        <v>182</v>
      </c>
      <c r="B18" s="299"/>
      <c r="C18" s="297"/>
      <c r="D18" s="297"/>
      <c r="E18" s="297"/>
      <c r="F18" s="297"/>
      <c r="G18" s="297"/>
      <c r="H18" s="297">
        <v>49411200</v>
      </c>
      <c r="I18" s="297">
        <f t="shared" si="0"/>
        <v>49411200</v>
      </c>
      <c r="J18" s="357" t="s">
        <v>32</v>
      </c>
      <c r="K18" s="359" t="s">
        <v>105</v>
      </c>
      <c r="L18" s="358"/>
    </row>
    <row r="19" spans="1:12" ht="21.75" customHeight="1">
      <c r="A19" s="354" t="s">
        <v>746</v>
      </c>
      <c r="B19" s="299"/>
      <c r="C19" s="297"/>
      <c r="D19" s="297"/>
      <c r="E19" s="297"/>
      <c r="F19" s="297"/>
      <c r="G19" s="297"/>
      <c r="H19" s="297">
        <v>3368812.24</v>
      </c>
      <c r="I19" s="297">
        <f t="shared" si="0"/>
        <v>3368812.24</v>
      </c>
      <c r="J19" s="357" t="s">
        <v>32</v>
      </c>
      <c r="K19" s="359" t="s">
        <v>105</v>
      </c>
      <c r="L19" s="358"/>
    </row>
    <row r="20" spans="1:12" ht="43.5">
      <c r="A20" s="354" t="s">
        <v>747</v>
      </c>
      <c r="B20" s="299"/>
      <c r="C20" s="297"/>
      <c r="D20" s="297"/>
      <c r="E20" s="297"/>
      <c r="F20" s="297"/>
      <c r="G20" s="297"/>
      <c r="H20" s="297">
        <v>114799.1</v>
      </c>
      <c r="I20" s="297">
        <f t="shared" si="0"/>
        <v>114799.1</v>
      </c>
      <c r="J20" s="357" t="s">
        <v>32</v>
      </c>
      <c r="K20" s="359"/>
      <c r="L20" s="358"/>
    </row>
    <row r="21" spans="1:12" ht="43.5">
      <c r="A21" s="451" t="s">
        <v>750</v>
      </c>
      <c r="B21" s="299"/>
      <c r="C21" s="299"/>
      <c r="D21" s="299"/>
      <c r="E21" s="299"/>
      <c r="F21" s="299"/>
      <c r="G21" s="299"/>
      <c r="H21" s="299"/>
      <c r="I21" s="297"/>
      <c r="J21" s="450"/>
      <c r="K21" s="359"/>
      <c r="L21" s="358"/>
    </row>
    <row r="22" spans="1:12" ht="43.5">
      <c r="A22" s="449" t="s">
        <v>420</v>
      </c>
      <c r="B22" s="299"/>
      <c r="C22" s="299"/>
      <c r="D22" s="299"/>
      <c r="E22" s="299"/>
      <c r="F22" s="299"/>
      <c r="G22" s="299">
        <v>75490</v>
      </c>
      <c r="H22" s="299"/>
      <c r="I22" s="297">
        <f t="shared" si="0"/>
        <v>75490</v>
      </c>
      <c r="J22" s="450" t="s">
        <v>32</v>
      </c>
      <c r="K22" s="359" t="s">
        <v>421</v>
      </c>
      <c r="L22" s="358"/>
    </row>
    <row r="23" spans="1:12" ht="21.75">
      <c r="A23" s="348" t="s">
        <v>748</v>
      </c>
      <c r="B23" s="299"/>
      <c r="C23" s="299"/>
      <c r="D23" s="299"/>
      <c r="E23" s="299"/>
      <c r="F23" s="299"/>
      <c r="G23" s="299"/>
      <c r="H23" s="299"/>
      <c r="I23" s="297"/>
      <c r="J23" s="450"/>
      <c r="K23" s="359"/>
      <c r="L23" s="358"/>
    </row>
    <row r="24" spans="1:12" ht="27.75" customHeight="1">
      <c r="A24" s="449" t="s">
        <v>422</v>
      </c>
      <c r="B24" s="299">
        <f>36934.93*3</f>
        <v>110804.79000000001</v>
      </c>
      <c r="C24" s="299">
        <v>36934.93</v>
      </c>
      <c r="D24" s="299">
        <f>36934.93*2</f>
        <v>73869.86</v>
      </c>
      <c r="E24" s="299">
        <f>36934.93*3</f>
        <v>110804.79000000001</v>
      </c>
      <c r="F24" s="299">
        <f>36934.93*11</f>
        <v>406284.23</v>
      </c>
      <c r="G24" s="299">
        <f>36934.938*14</f>
        <v>517089.13200000004</v>
      </c>
      <c r="H24" s="299"/>
      <c r="I24" s="297">
        <f t="shared" si="0"/>
        <v>1255787.732</v>
      </c>
      <c r="J24" s="450" t="s">
        <v>32</v>
      </c>
      <c r="K24" s="359" t="s">
        <v>749</v>
      </c>
      <c r="L24" s="358"/>
    </row>
    <row r="25" spans="1:12" ht="22.5" thickBot="1">
      <c r="A25" s="360" t="s">
        <v>2</v>
      </c>
      <c r="B25" s="105">
        <f aca="true" t="shared" si="1" ref="B25:I25">SUM(B8:B24)</f>
        <v>110804.79000000001</v>
      </c>
      <c r="C25" s="105">
        <f t="shared" si="1"/>
        <v>86334.93</v>
      </c>
      <c r="D25" s="105">
        <f t="shared" si="1"/>
        <v>73869.86</v>
      </c>
      <c r="E25" s="105">
        <f t="shared" si="1"/>
        <v>110804.79000000001</v>
      </c>
      <c r="F25" s="105">
        <f t="shared" si="1"/>
        <v>406284.23</v>
      </c>
      <c r="G25" s="105">
        <f t="shared" si="1"/>
        <v>592579.132</v>
      </c>
      <c r="H25" s="105">
        <f t="shared" si="1"/>
        <v>105008589.33079998</v>
      </c>
      <c r="I25" s="105">
        <f t="shared" si="1"/>
        <v>106389267.06279998</v>
      </c>
      <c r="J25" s="361"/>
      <c r="K25" s="361"/>
      <c r="L25" s="361"/>
    </row>
    <row r="26" ht="22.5" thickTop="1"/>
    <row r="27" spans="7:11" ht="21.75">
      <c r="G27" s="362"/>
      <c r="H27" s="362"/>
      <c r="I27" s="363"/>
      <c r="K27" s="364"/>
    </row>
    <row r="28" spans="3:9" ht="21.75" customHeight="1">
      <c r="C28" s="2"/>
      <c r="D28" s="362"/>
      <c r="E28" s="362"/>
      <c r="F28" s="362"/>
      <c r="G28" s="362"/>
      <c r="H28" s="2"/>
      <c r="I28" s="363"/>
    </row>
    <row r="29" spans="2:9" ht="21.75">
      <c r="B29" s="362"/>
      <c r="C29" s="2"/>
      <c r="G29" s="362"/>
      <c r="H29" s="362"/>
      <c r="I29" s="362"/>
    </row>
    <row r="30" spans="3:9" ht="21.75">
      <c r="C30" s="2"/>
      <c r="I30" s="362"/>
    </row>
    <row r="31" ht="21.75" customHeight="1">
      <c r="C31" s="2"/>
    </row>
    <row r="32" ht="21.75" customHeight="1">
      <c r="C32" s="2"/>
    </row>
    <row r="34" ht="21.75">
      <c r="G34" s="120"/>
    </row>
    <row r="43" ht="21.75" customHeight="1">
      <c r="L43" s="365"/>
    </row>
  </sheetData>
  <sheetProtection/>
  <mergeCells count="9">
    <mergeCell ref="A1:L1"/>
    <mergeCell ref="A2:M2"/>
    <mergeCell ref="A4:A5"/>
    <mergeCell ref="B4:G4"/>
    <mergeCell ref="H4:H5"/>
    <mergeCell ref="I4:I5"/>
    <mergeCell ref="J4:J5"/>
    <mergeCell ref="K4:K5"/>
    <mergeCell ref="L4:L5"/>
  </mergeCells>
  <printOptions/>
  <pageMargins left="0.590551181102362" right="0.748031496062992" top="0.537401575" bottom="0" header="0.669291338582677" footer="0.15748031496063"/>
  <pageSetup horizontalDpi="600" verticalDpi="600" orientation="landscape" paperSize="9" scale="70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6"/>
  </sheetPr>
  <dimension ref="A1:CX113"/>
  <sheetViews>
    <sheetView showGridLines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11" sqref="J111"/>
    </sheetView>
  </sheetViews>
  <sheetFormatPr defaultColWidth="9.140625" defaultRowHeight="21.75"/>
  <cols>
    <col min="1" max="1" width="60.00390625" style="69" customWidth="1"/>
    <col min="2" max="2" width="14.28125" style="69" customWidth="1"/>
    <col min="3" max="5" width="13.8515625" style="69" customWidth="1"/>
    <col min="6" max="6" width="12.8515625" style="69" bestFit="1" customWidth="1"/>
    <col min="7" max="7" width="13.57421875" style="69" customWidth="1"/>
    <col min="8" max="8" width="15.00390625" style="69" customWidth="1"/>
    <col min="9" max="9" width="16.00390625" style="69" customWidth="1"/>
    <col min="10" max="10" width="11.57421875" style="69" customWidth="1"/>
    <col min="11" max="11" width="15.140625" style="69" customWidth="1"/>
    <col min="12" max="13" width="11.28125" style="69" customWidth="1"/>
    <col min="14" max="14" width="12.421875" style="68" bestFit="1" customWidth="1"/>
    <col min="15" max="15" width="11.7109375" style="68" customWidth="1"/>
    <col min="16" max="16" width="10.00390625" style="68" bestFit="1" customWidth="1"/>
    <col min="17" max="17" width="12.57421875" style="68" customWidth="1"/>
    <col min="18" max="16384" width="9.140625" style="68" customWidth="1"/>
  </cols>
  <sheetData>
    <row r="1" spans="1:13" ht="23.25">
      <c r="A1" s="804" t="s">
        <v>0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241"/>
    </row>
    <row r="2" spans="1:13" ht="23.25">
      <c r="A2" s="805" t="s">
        <v>365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241"/>
    </row>
    <row r="3" spans="1:13" ht="23.25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  <c r="M3" s="102"/>
    </row>
    <row r="4" spans="1:13" ht="21.75" customHeight="1">
      <c r="A4" s="806" t="s">
        <v>1</v>
      </c>
      <c r="B4" s="808" t="s">
        <v>13</v>
      </c>
      <c r="C4" s="809"/>
      <c r="D4" s="809"/>
      <c r="E4" s="809"/>
      <c r="F4" s="809"/>
      <c r="G4" s="810"/>
      <c r="H4" s="769" t="s">
        <v>110</v>
      </c>
      <c r="I4" s="806" t="s">
        <v>121</v>
      </c>
      <c r="J4" s="806" t="s">
        <v>6</v>
      </c>
      <c r="K4" s="806" t="s">
        <v>7</v>
      </c>
      <c r="L4" s="771" t="s">
        <v>35</v>
      </c>
      <c r="M4" s="242"/>
    </row>
    <row r="5" spans="1:13" ht="40.5" customHeight="1">
      <c r="A5" s="807"/>
      <c r="B5" s="380" t="s">
        <v>8</v>
      </c>
      <c r="C5" s="616" t="s">
        <v>9</v>
      </c>
      <c r="D5" s="380" t="s">
        <v>193</v>
      </c>
      <c r="E5" s="380" t="s">
        <v>10</v>
      </c>
      <c r="F5" s="380" t="s">
        <v>23</v>
      </c>
      <c r="G5" s="380" t="s">
        <v>40</v>
      </c>
      <c r="H5" s="781"/>
      <c r="I5" s="807"/>
      <c r="J5" s="807"/>
      <c r="K5" s="807"/>
      <c r="L5" s="782"/>
      <c r="M5" s="242"/>
    </row>
    <row r="6" spans="1:13" ht="24" customHeight="1">
      <c r="A6" s="467" t="s">
        <v>41</v>
      </c>
      <c r="B6" s="468"/>
      <c r="C6" s="468"/>
      <c r="D6" s="468"/>
      <c r="E6" s="468"/>
      <c r="F6" s="468"/>
      <c r="G6" s="468"/>
      <c r="H6" s="468"/>
      <c r="I6" s="469"/>
      <c r="J6" s="470"/>
      <c r="K6" s="470"/>
      <c r="L6" s="471"/>
      <c r="M6" s="243"/>
    </row>
    <row r="7" spans="1:13" ht="24" customHeight="1">
      <c r="A7" s="178" t="s">
        <v>125</v>
      </c>
      <c r="B7" s="294"/>
      <c r="C7" s="294"/>
      <c r="D7" s="294"/>
      <c r="E7" s="294"/>
      <c r="F7" s="294"/>
      <c r="G7" s="294"/>
      <c r="H7" s="294"/>
      <c r="I7" s="472"/>
      <c r="J7" s="473"/>
      <c r="K7" s="473"/>
      <c r="L7" s="295"/>
      <c r="M7" s="243"/>
    </row>
    <row r="8" spans="1:13" ht="108.75">
      <c r="A8" s="180" t="s">
        <v>503</v>
      </c>
      <c r="B8" s="323">
        <f>128400+20000+230000+134600</f>
        <v>513000</v>
      </c>
      <c r="C8" s="323"/>
      <c r="D8" s="323"/>
      <c r="E8" s="323"/>
      <c r="F8" s="323"/>
      <c r="G8" s="323"/>
      <c r="H8" s="323"/>
      <c r="I8" s="198">
        <f>SUM(B8:H8)</f>
        <v>513000</v>
      </c>
      <c r="J8" s="171" t="s">
        <v>185</v>
      </c>
      <c r="K8" s="320" t="s">
        <v>761</v>
      </c>
      <c r="L8" s="295"/>
      <c r="M8" s="243"/>
    </row>
    <row r="9" spans="1:14" ht="49.5" customHeight="1">
      <c r="A9" s="180" t="s">
        <v>471</v>
      </c>
      <c r="B9" s="323">
        <f>506400+150960</f>
        <v>657360</v>
      </c>
      <c r="C9" s="323">
        <v>1266000</v>
      </c>
      <c r="D9" s="323">
        <v>1012800</v>
      </c>
      <c r="E9" s="323">
        <v>1057600</v>
      </c>
      <c r="F9" s="323"/>
      <c r="G9" s="323">
        <f>253200+150960</f>
        <v>404160</v>
      </c>
      <c r="H9" s="294"/>
      <c r="I9" s="198">
        <f aca="true" t="shared" si="0" ref="I9:I72">SUM(B9:H9)</f>
        <v>4397920</v>
      </c>
      <c r="J9" s="171" t="s">
        <v>185</v>
      </c>
      <c r="K9" s="320" t="s">
        <v>762</v>
      </c>
      <c r="L9" s="295"/>
      <c r="M9" s="243"/>
      <c r="N9" s="405"/>
    </row>
    <row r="10" spans="1:14" ht="65.25">
      <c r="A10" s="180" t="s">
        <v>473</v>
      </c>
      <c r="B10" s="323">
        <f>56000+192000</f>
        <v>248000</v>
      </c>
      <c r="C10" s="323">
        <f>96000+40000</f>
        <v>136000</v>
      </c>
      <c r="D10" s="323"/>
      <c r="E10" s="323"/>
      <c r="F10" s="323">
        <v>50000</v>
      </c>
      <c r="G10" s="323">
        <f>70000+120000+56000+120000+96000+50000+50000+40000+40000+40000</f>
        <v>682000</v>
      </c>
      <c r="H10" s="294"/>
      <c r="I10" s="198">
        <f t="shared" si="0"/>
        <v>1116000</v>
      </c>
      <c r="J10" s="171" t="s">
        <v>43</v>
      </c>
      <c r="K10" s="320" t="s">
        <v>472</v>
      </c>
      <c r="L10" s="295"/>
      <c r="M10" s="243"/>
      <c r="N10" s="405"/>
    </row>
    <row r="11" spans="1:14" ht="21.75">
      <c r="A11" s="178" t="s">
        <v>299</v>
      </c>
      <c r="B11" s="181"/>
      <c r="C11" s="181"/>
      <c r="D11" s="181"/>
      <c r="E11" s="181"/>
      <c r="F11" s="181"/>
      <c r="G11" s="181"/>
      <c r="H11" s="181"/>
      <c r="I11" s="198">
        <f t="shared" si="0"/>
        <v>0</v>
      </c>
      <c r="J11" s="171"/>
      <c r="K11" s="185"/>
      <c r="L11" s="244"/>
      <c r="M11" s="243"/>
      <c r="N11" s="405"/>
    </row>
    <row r="12" spans="1:14" ht="108.75">
      <c r="A12" s="185" t="s">
        <v>474</v>
      </c>
      <c r="B12" s="181">
        <v>2000000</v>
      </c>
      <c r="C12" s="181">
        <v>3000000</v>
      </c>
      <c r="D12" s="181">
        <v>5000000</v>
      </c>
      <c r="E12" s="181">
        <v>2000000</v>
      </c>
      <c r="F12" s="181">
        <v>1000000</v>
      </c>
      <c r="G12" s="181">
        <f>1000000+6000000</f>
        <v>7000000</v>
      </c>
      <c r="H12" s="181"/>
      <c r="I12" s="198">
        <f t="shared" si="0"/>
        <v>20000000</v>
      </c>
      <c r="J12" s="171" t="s">
        <v>43</v>
      </c>
      <c r="K12" s="185" t="s">
        <v>763</v>
      </c>
      <c r="L12" s="244" t="s">
        <v>475</v>
      </c>
      <c r="M12" s="243"/>
      <c r="N12" s="406"/>
    </row>
    <row r="13" spans="1:13" ht="108.75">
      <c r="A13" s="185" t="s">
        <v>476</v>
      </c>
      <c r="B13" s="181">
        <v>6000000</v>
      </c>
      <c r="C13" s="181"/>
      <c r="D13" s="181"/>
      <c r="E13" s="181"/>
      <c r="F13" s="181"/>
      <c r="G13" s="181"/>
      <c r="H13" s="181"/>
      <c r="I13" s="198">
        <f t="shared" si="0"/>
        <v>6000000</v>
      </c>
      <c r="J13" s="171" t="s">
        <v>31</v>
      </c>
      <c r="K13" s="185" t="s">
        <v>298</v>
      </c>
      <c r="L13" s="244" t="s">
        <v>475</v>
      </c>
      <c r="M13" s="243"/>
    </row>
    <row r="14" spans="1:13" ht="21.75">
      <c r="A14" s="182" t="s">
        <v>186</v>
      </c>
      <c r="B14" s="323"/>
      <c r="C14" s="323"/>
      <c r="D14" s="323"/>
      <c r="E14" s="323"/>
      <c r="F14" s="323"/>
      <c r="G14" s="323"/>
      <c r="H14" s="323"/>
      <c r="I14" s="198">
        <f t="shared" si="0"/>
        <v>0</v>
      </c>
      <c r="J14" s="171"/>
      <c r="K14" s="171"/>
      <c r="L14" s="576"/>
      <c r="M14" s="243"/>
    </row>
    <row r="15" spans="1:13" ht="108.75">
      <c r="A15" s="180" t="s">
        <v>503</v>
      </c>
      <c r="B15" s="323">
        <f>440200</f>
        <v>440200</v>
      </c>
      <c r="C15" s="323">
        <v>108703</v>
      </c>
      <c r="D15" s="323">
        <v>303100</v>
      </c>
      <c r="E15" s="323"/>
      <c r="F15" s="323"/>
      <c r="G15" s="323">
        <f>303100+303100</f>
        <v>606200</v>
      </c>
      <c r="H15" s="323"/>
      <c r="I15" s="198">
        <f t="shared" si="0"/>
        <v>1458203</v>
      </c>
      <c r="J15" s="171" t="s">
        <v>32</v>
      </c>
      <c r="K15" s="185" t="s">
        <v>764</v>
      </c>
      <c r="L15" s="576"/>
      <c r="M15" s="243"/>
    </row>
    <row r="16" spans="1:13" ht="108.75">
      <c r="A16" s="185" t="s">
        <v>518</v>
      </c>
      <c r="B16" s="323">
        <f>368330+389500</f>
        <v>757830</v>
      </c>
      <c r="C16" s="323"/>
      <c r="D16" s="323"/>
      <c r="E16" s="323"/>
      <c r="F16" s="323"/>
      <c r="G16" s="323"/>
      <c r="H16" s="323"/>
      <c r="I16" s="198">
        <f t="shared" si="0"/>
        <v>757830</v>
      </c>
      <c r="J16" s="171" t="s">
        <v>481</v>
      </c>
      <c r="K16" s="185" t="s">
        <v>477</v>
      </c>
      <c r="L16" s="576"/>
      <c r="M16" s="243"/>
    </row>
    <row r="17" spans="1:13" ht="108.75">
      <c r="A17" s="185" t="s">
        <v>765</v>
      </c>
      <c r="B17" s="323">
        <v>45975.98</v>
      </c>
      <c r="C17" s="323"/>
      <c r="D17" s="323">
        <v>45239.62</v>
      </c>
      <c r="E17" s="323"/>
      <c r="F17" s="323">
        <v>100489</v>
      </c>
      <c r="G17" s="323">
        <f>104873.87+53196.28</f>
        <v>158070.15</v>
      </c>
      <c r="H17" s="323"/>
      <c r="I17" s="198">
        <f t="shared" si="0"/>
        <v>349774.75</v>
      </c>
      <c r="J17" s="171" t="s">
        <v>32</v>
      </c>
      <c r="K17" s="185" t="s">
        <v>766</v>
      </c>
      <c r="L17" s="576"/>
      <c r="M17" s="243"/>
    </row>
    <row r="18" spans="1:13" ht="43.5">
      <c r="A18" s="185" t="s">
        <v>767</v>
      </c>
      <c r="B18" s="323"/>
      <c r="C18" s="323"/>
      <c r="D18" s="323"/>
      <c r="E18" s="323"/>
      <c r="F18" s="323"/>
      <c r="G18" s="323">
        <v>168000</v>
      </c>
      <c r="H18" s="323"/>
      <c r="I18" s="198">
        <f t="shared" si="0"/>
        <v>168000</v>
      </c>
      <c r="J18" s="171" t="s">
        <v>32</v>
      </c>
      <c r="K18" s="185" t="s">
        <v>112</v>
      </c>
      <c r="L18" s="576"/>
      <c r="M18" s="243"/>
    </row>
    <row r="19" spans="1:13" ht="43.5">
      <c r="A19" s="185" t="s">
        <v>479</v>
      </c>
      <c r="B19" s="323"/>
      <c r="C19" s="323"/>
      <c r="D19" s="323">
        <v>312600</v>
      </c>
      <c r="E19" s="323"/>
      <c r="F19" s="323"/>
      <c r="G19" s="323">
        <f>169800+393000</f>
        <v>562800</v>
      </c>
      <c r="H19" s="323"/>
      <c r="I19" s="198">
        <f t="shared" si="0"/>
        <v>875400</v>
      </c>
      <c r="J19" s="171" t="s">
        <v>481</v>
      </c>
      <c r="K19" s="185" t="s">
        <v>480</v>
      </c>
      <c r="L19" s="576"/>
      <c r="M19" s="243"/>
    </row>
    <row r="20" spans="1:13" ht="43.5">
      <c r="A20" s="185" t="s">
        <v>482</v>
      </c>
      <c r="B20" s="323"/>
      <c r="C20" s="323"/>
      <c r="D20" s="323">
        <v>80000</v>
      </c>
      <c r="E20" s="323">
        <v>80000</v>
      </c>
      <c r="F20" s="323"/>
      <c r="G20" s="323">
        <f>40000+86125</f>
        <v>126125</v>
      </c>
      <c r="H20" s="323"/>
      <c r="I20" s="198">
        <f t="shared" si="0"/>
        <v>286125</v>
      </c>
      <c r="J20" s="171" t="s">
        <v>481</v>
      </c>
      <c r="K20" s="185" t="s">
        <v>483</v>
      </c>
      <c r="L20" s="576"/>
      <c r="M20" s="243"/>
    </row>
    <row r="21" spans="1:13" ht="21.75">
      <c r="A21" s="182" t="s">
        <v>768</v>
      </c>
      <c r="B21" s="323"/>
      <c r="C21" s="323"/>
      <c r="D21" s="323"/>
      <c r="E21" s="323"/>
      <c r="F21" s="323"/>
      <c r="G21" s="323"/>
      <c r="H21" s="323"/>
      <c r="I21" s="198">
        <f t="shared" si="0"/>
        <v>0</v>
      </c>
      <c r="J21" s="171"/>
      <c r="K21" s="185"/>
      <c r="L21" s="576"/>
      <c r="M21" s="243"/>
    </row>
    <row r="22" spans="1:13" ht="108.75">
      <c r="A22" s="180" t="s">
        <v>503</v>
      </c>
      <c r="B22" s="323">
        <f>732080</f>
        <v>732080</v>
      </c>
      <c r="C22" s="323"/>
      <c r="D22" s="323"/>
      <c r="E22" s="323"/>
      <c r="F22" s="323"/>
      <c r="G22" s="323"/>
      <c r="H22" s="323"/>
      <c r="I22" s="198">
        <f t="shared" si="0"/>
        <v>732080</v>
      </c>
      <c r="J22" s="171" t="s">
        <v>31</v>
      </c>
      <c r="K22" s="185" t="s">
        <v>184</v>
      </c>
      <c r="L22" s="576"/>
      <c r="M22" s="243"/>
    </row>
    <row r="23" spans="1:13" ht="21.75">
      <c r="A23" s="178" t="s">
        <v>162</v>
      </c>
      <c r="B23" s="323"/>
      <c r="C23" s="323"/>
      <c r="D23" s="323"/>
      <c r="E23" s="323"/>
      <c r="F23" s="323"/>
      <c r="G23" s="323"/>
      <c r="H23" s="323"/>
      <c r="I23" s="198"/>
      <c r="J23" s="171"/>
      <c r="K23" s="185"/>
      <c r="L23" s="576"/>
      <c r="M23" s="243"/>
    </row>
    <row r="24" spans="1:13" ht="87">
      <c r="A24" s="185" t="s">
        <v>486</v>
      </c>
      <c r="B24" s="323"/>
      <c r="C24" s="323"/>
      <c r="D24" s="323">
        <f>80000+96000+10000</f>
        <v>186000</v>
      </c>
      <c r="E24" s="323"/>
      <c r="F24" s="323"/>
      <c r="G24" s="323"/>
      <c r="H24" s="323"/>
      <c r="I24" s="198">
        <f t="shared" si="0"/>
        <v>186000</v>
      </c>
      <c r="J24" s="171" t="s">
        <v>31</v>
      </c>
      <c r="K24" s="185" t="s">
        <v>484</v>
      </c>
      <c r="L24" s="576"/>
      <c r="M24" s="243"/>
    </row>
    <row r="25" spans="1:13" ht="65.25">
      <c r="A25" s="185" t="s">
        <v>490</v>
      </c>
      <c r="B25" s="323"/>
      <c r="C25" s="323"/>
      <c r="D25" s="323"/>
      <c r="E25" s="323"/>
      <c r="F25" s="323"/>
      <c r="G25" s="323">
        <v>55000</v>
      </c>
      <c r="H25" s="323"/>
      <c r="I25" s="198">
        <f t="shared" si="0"/>
        <v>55000</v>
      </c>
      <c r="J25" s="171" t="s">
        <v>481</v>
      </c>
      <c r="K25" s="185" t="s">
        <v>489</v>
      </c>
      <c r="L25" s="576"/>
      <c r="M25" s="243"/>
    </row>
    <row r="26" spans="1:13" ht="43.5">
      <c r="A26" s="185" t="s">
        <v>485</v>
      </c>
      <c r="B26" s="323"/>
      <c r="C26" s="323"/>
      <c r="D26" s="323">
        <v>167997</v>
      </c>
      <c r="E26" s="323"/>
      <c r="F26" s="323"/>
      <c r="G26" s="323"/>
      <c r="H26" s="323"/>
      <c r="I26" s="198">
        <f t="shared" si="0"/>
        <v>167997</v>
      </c>
      <c r="J26" s="171" t="s">
        <v>481</v>
      </c>
      <c r="K26" s="185" t="s">
        <v>491</v>
      </c>
      <c r="L26" s="576"/>
      <c r="M26" s="243"/>
    </row>
    <row r="27" spans="1:13" ht="87">
      <c r="A27" s="185" t="s">
        <v>487</v>
      </c>
      <c r="B27" s="323"/>
      <c r="C27" s="323"/>
      <c r="D27" s="323"/>
      <c r="E27" s="323">
        <v>192500</v>
      </c>
      <c r="F27" s="323"/>
      <c r="G27" s="323">
        <f>55000+27500</f>
        <v>82500</v>
      </c>
      <c r="H27" s="323"/>
      <c r="I27" s="198">
        <f t="shared" si="0"/>
        <v>275000</v>
      </c>
      <c r="J27" s="171" t="s">
        <v>488</v>
      </c>
      <c r="K27" s="185" t="s">
        <v>769</v>
      </c>
      <c r="L27" s="576"/>
      <c r="M27" s="243"/>
    </row>
    <row r="28" spans="1:13" ht="108.75">
      <c r="A28" s="185" t="s">
        <v>492</v>
      </c>
      <c r="B28" s="323"/>
      <c r="C28" s="323"/>
      <c r="D28" s="323">
        <v>19800</v>
      </c>
      <c r="E28" s="323"/>
      <c r="F28" s="323"/>
      <c r="G28" s="323"/>
      <c r="H28" s="323"/>
      <c r="I28" s="198">
        <f t="shared" si="0"/>
        <v>19800</v>
      </c>
      <c r="J28" s="171" t="s">
        <v>31</v>
      </c>
      <c r="K28" s="171" t="s">
        <v>493</v>
      </c>
      <c r="L28" s="576"/>
      <c r="M28" s="243"/>
    </row>
    <row r="29" spans="1:13" ht="21.75">
      <c r="A29" s="182" t="s">
        <v>494</v>
      </c>
      <c r="B29" s="323"/>
      <c r="C29" s="323"/>
      <c r="D29" s="323"/>
      <c r="E29" s="323"/>
      <c r="F29" s="323"/>
      <c r="G29" s="323"/>
      <c r="H29" s="323"/>
      <c r="I29" s="198"/>
      <c r="J29" s="171"/>
      <c r="K29" s="185"/>
      <c r="L29" s="576"/>
      <c r="M29" s="243"/>
    </row>
    <row r="30" spans="1:14" ht="65.25">
      <c r="A30" s="185" t="s">
        <v>495</v>
      </c>
      <c r="B30" s="323">
        <v>1797830</v>
      </c>
      <c r="C30" s="323"/>
      <c r="D30" s="323">
        <v>1379375</v>
      </c>
      <c r="E30" s="323">
        <v>1528740</v>
      </c>
      <c r="F30" s="323">
        <v>2735010</v>
      </c>
      <c r="G30" s="323">
        <f>2226835+782110+135900+302110+1565170+1109425+286710+1180460+922820+358310+26000+806920</f>
        <v>9702770</v>
      </c>
      <c r="H30" s="323"/>
      <c r="I30" s="198">
        <f t="shared" si="0"/>
        <v>17143725</v>
      </c>
      <c r="J30" s="171" t="s">
        <v>43</v>
      </c>
      <c r="K30" s="185" t="s">
        <v>496</v>
      </c>
      <c r="L30" s="576"/>
      <c r="M30" s="243"/>
      <c r="N30" s="68">
        <f>10+6+3+11+1+1+7+3+1+4+6+4+1+1+8+2</f>
        <v>69</v>
      </c>
    </row>
    <row r="31" spans="1:13" ht="21.75">
      <c r="A31" s="182" t="s">
        <v>300</v>
      </c>
      <c r="B31" s="323"/>
      <c r="C31" s="323"/>
      <c r="D31" s="323"/>
      <c r="E31" s="323"/>
      <c r="F31" s="323"/>
      <c r="G31" s="323"/>
      <c r="H31" s="323"/>
      <c r="I31" s="198">
        <f t="shared" si="0"/>
        <v>0</v>
      </c>
      <c r="J31" s="171"/>
      <c r="K31" s="185"/>
      <c r="L31" s="576"/>
      <c r="M31" s="243"/>
    </row>
    <row r="32" spans="1:13" ht="43.5">
      <c r="A32" s="185" t="s">
        <v>497</v>
      </c>
      <c r="B32" s="323"/>
      <c r="C32" s="323"/>
      <c r="D32" s="323">
        <v>384900</v>
      </c>
      <c r="E32" s="323"/>
      <c r="F32" s="323"/>
      <c r="G32" s="323">
        <f>587400+426600+144400+160800+273300</f>
        <v>1592500</v>
      </c>
      <c r="H32" s="323"/>
      <c r="I32" s="198">
        <f t="shared" si="0"/>
        <v>1977400</v>
      </c>
      <c r="J32" s="171" t="s">
        <v>43</v>
      </c>
      <c r="K32" s="185" t="s">
        <v>298</v>
      </c>
      <c r="L32" s="576"/>
      <c r="M32" s="243"/>
    </row>
    <row r="33" spans="1:13" ht="87">
      <c r="A33" s="185" t="s">
        <v>498</v>
      </c>
      <c r="B33" s="323">
        <v>2372835</v>
      </c>
      <c r="C33" s="323"/>
      <c r="D33" s="323"/>
      <c r="E33" s="323"/>
      <c r="F33" s="323"/>
      <c r="G33" s="323"/>
      <c r="H33" s="323"/>
      <c r="I33" s="198">
        <f t="shared" si="0"/>
        <v>2372835</v>
      </c>
      <c r="J33" s="171" t="s">
        <v>43</v>
      </c>
      <c r="K33" s="185" t="s">
        <v>293</v>
      </c>
      <c r="L33" s="576"/>
      <c r="M33" s="243"/>
    </row>
    <row r="34" spans="1:13" ht="43.5">
      <c r="A34" s="185" t="s">
        <v>499</v>
      </c>
      <c r="B34" s="323">
        <f>229300+406500</f>
        <v>635800</v>
      </c>
      <c r="C34" s="323">
        <v>183800</v>
      </c>
      <c r="D34" s="323"/>
      <c r="E34" s="323">
        <f>281300+872800</f>
        <v>1154100</v>
      </c>
      <c r="F34" s="323">
        <v>363400</v>
      </c>
      <c r="G34" s="323">
        <f>183800+111300+616700+1153900+46000+427900+73900+311000+746800+1295100+282900+503600+672600+994200+836400+8532+516900+862500+145100+290200</f>
        <v>10079332</v>
      </c>
      <c r="H34" s="323"/>
      <c r="I34" s="198">
        <f t="shared" si="0"/>
        <v>12416432</v>
      </c>
      <c r="J34" s="171" t="s">
        <v>43</v>
      </c>
      <c r="K34" s="185" t="s">
        <v>500</v>
      </c>
      <c r="L34" s="576"/>
      <c r="M34" s="243"/>
    </row>
    <row r="35" spans="1:13" ht="87">
      <c r="A35" s="185" t="s">
        <v>770</v>
      </c>
      <c r="B35" s="323"/>
      <c r="C35" s="323"/>
      <c r="D35" s="323"/>
      <c r="E35" s="323"/>
      <c r="F35" s="323"/>
      <c r="G35" s="323">
        <f>3985500+1425213+174707</f>
        <v>5585420</v>
      </c>
      <c r="H35" s="323"/>
      <c r="I35" s="198">
        <f t="shared" si="0"/>
        <v>5585420</v>
      </c>
      <c r="J35" s="171" t="s">
        <v>43</v>
      </c>
      <c r="K35" s="185" t="s">
        <v>501</v>
      </c>
      <c r="L35" s="576"/>
      <c r="M35" s="243"/>
    </row>
    <row r="36" spans="1:13" ht="65.25">
      <c r="A36" s="185" t="s">
        <v>771</v>
      </c>
      <c r="B36" s="323"/>
      <c r="C36" s="323"/>
      <c r="D36" s="323"/>
      <c r="E36" s="323"/>
      <c r="F36" s="323"/>
      <c r="G36" s="323"/>
      <c r="H36" s="323">
        <v>11775</v>
      </c>
      <c r="I36" s="198">
        <f t="shared" si="0"/>
        <v>11775</v>
      </c>
      <c r="J36" s="171" t="s">
        <v>43</v>
      </c>
      <c r="K36" s="185" t="s">
        <v>459</v>
      </c>
      <c r="L36" s="185" t="s">
        <v>105</v>
      </c>
      <c r="M36" s="243"/>
    </row>
    <row r="37" spans="1:13" ht="21.75">
      <c r="A37" s="178" t="s">
        <v>292</v>
      </c>
      <c r="B37" s="323"/>
      <c r="C37" s="323"/>
      <c r="D37" s="323"/>
      <c r="E37" s="323"/>
      <c r="F37" s="323"/>
      <c r="G37" s="323"/>
      <c r="H37" s="323"/>
      <c r="I37" s="198"/>
      <c r="J37" s="171"/>
      <c r="K37" s="185"/>
      <c r="L37" s="576"/>
      <c r="M37" s="243"/>
    </row>
    <row r="38" spans="1:13" ht="108.75">
      <c r="A38" s="180" t="s">
        <v>352</v>
      </c>
      <c r="B38" s="323">
        <f>798000+2197000</f>
        <v>2995000</v>
      </c>
      <c r="C38" s="323"/>
      <c r="D38" s="323"/>
      <c r="E38" s="323"/>
      <c r="F38" s="323"/>
      <c r="G38" s="323"/>
      <c r="H38" s="323"/>
      <c r="I38" s="198">
        <f t="shared" si="0"/>
        <v>2995000</v>
      </c>
      <c r="J38" s="171" t="s">
        <v>43</v>
      </c>
      <c r="K38" s="185" t="s">
        <v>501</v>
      </c>
      <c r="L38" s="576"/>
      <c r="M38" s="243"/>
    </row>
    <row r="39" spans="1:13" ht="21.75">
      <c r="A39" s="178" t="s">
        <v>502</v>
      </c>
      <c r="B39" s="323"/>
      <c r="C39" s="323"/>
      <c r="D39" s="323"/>
      <c r="E39" s="323"/>
      <c r="F39" s="323"/>
      <c r="G39" s="323"/>
      <c r="H39" s="323"/>
      <c r="I39" s="198"/>
      <c r="J39" s="171"/>
      <c r="K39" s="185"/>
      <c r="L39" s="576"/>
      <c r="M39" s="243"/>
    </row>
    <row r="40" spans="1:13" ht="108.75">
      <c r="A40" s="180" t="s">
        <v>503</v>
      </c>
      <c r="B40" s="323">
        <v>240000</v>
      </c>
      <c r="C40" s="323"/>
      <c r="D40" s="323"/>
      <c r="E40" s="323"/>
      <c r="F40" s="323"/>
      <c r="G40" s="323"/>
      <c r="H40" s="323"/>
      <c r="I40" s="198">
        <f t="shared" si="0"/>
        <v>240000</v>
      </c>
      <c r="J40" s="171" t="s">
        <v>185</v>
      </c>
      <c r="K40" s="185" t="s">
        <v>184</v>
      </c>
      <c r="L40" s="576"/>
      <c r="M40" s="243"/>
    </row>
    <row r="41" spans="1:13" ht="43.5">
      <c r="A41" s="185" t="s">
        <v>504</v>
      </c>
      <c r="B41" s="323"/>
      <c r="C41" s="323"/>
      <c r="D41" s="323"/>
      <c r="E41" s="323"/>
      <c r="F41" s="323"/>
      <c r="G41" s="323"/>
      <c r="H41" s="323">
        <v>59484</v>
      </c>
      <c r="I41" s="198">
        <f t="shared" si="0"/>
        <v>59484</v>
      </c>
      <c r="J41" s="171" t="s">
        <v>43</v>
      </c>
      <c r="K41" s="185" t="s">
        <v>459</v>
      </c>
      <c r="L41" s="576"/>
      <c r="M41" s="243"/>
    </row>
    <row r="42" spans="1:13" ht="43.5">
      <c r="A42" s="185" t="s">
        <v>505</v>
      </c>
      <c r="B42" s="323"/>
      <c r="C42" s="323"/>
      <c r="D42" s="323"/>
      <c r="E42" s="323"/>
      <c r="F42" s="323"/>
      <c r="G42" s="323"/>
      <c r="H42" s="323">
        <v>30000</v>
      </c>
      <c r="I42" s="198">
        <f t="shared" si="0"/>
        <v>30000</v>
      </c>
      <c r="J42" s="171" t="s">
        <v>43</v>
      </c>
      <c r="K42" s="185" t="s">
        <v>459</v>
      </c>
      <c r="L42" s="576"/>
      <c r="M42" s="243"/>
    </row>
    <row r="43" spans="1:13" ht="65.25">
      <c r="A43" s="185" t="s">
        <v>771</v>
      </c>
      <c r="B43" s="323"/>
      <c r="C43" s="323"/>
      <c r="D43" s="323"/>
      <c r="E43" s="323"/>
      <c r="F43" s="323"/>
      <c r="G43" s="323"/>
      <c r="H43" s="323">
        <v>12427.5</v>
      </c>
      <c r="I43" s="198">
        <f t="shared" si="0"/>
        <v>12427.5</v>
      </c>
      <c r="J43" s="171" t="s">
        <v>43</v>
      </c>
      <c r="K43" s="185" t="s">
        <v>459</v>
      </c>
      <c r="L43" s="576"/>
      <c r="M43" s="243"/>
    </row>
    <row r="44" spans="1:13" ht="21.75">
      <c r="A44" s="178" t="s">
        <v>294</v>
      </c>
      <c r="B44" s="323"/>
      <c r="C44" s="323"/>
      <c r="D44" s="323"/>
      <c r="E44" s="323"/>
      <c r="F44" s="323"/>
      <c r="G44" s="323"/>
      <c r="H44" s="323"/>
      <c r="I44" s="198"/>
      <c r="J44" s="171"/>
      <c r="K44" s="185"/>
      <c r="L44" s="576"/>
      <c r="M44" s="243"/>
    </row>
    <row r="45" spans="1:13" ht="43.5">
      <c r="A45" s="185" t="s">
        <v>506</v>
      </c>
      <c r="B45" s="323"/>
      <c r="C45" s="323"/>
      <c r="D45" s="323"/>
      <c r="E45" s="323"/>
      <c r="F45" s="323">
        <v>69730</v>
      </c>
      <c r="G45" s="323"/>
      <c r="H45" s="323"/>
      <c r="I45" s="198">
        <f t="shared" si="0"/>
        <v>69730</v>
      </c>
      <c r="J45" s="171" t="s">
        <v>31</v>
      </c>
      <c r="K45" s="185" t="s">
        <v>489</v>
      </c>
      <c r="L45" s="576"/>
      <c r="M45" s="243"/>
    </row>
    <row r="46" spans="1:13" ht="21.75">
      <c r="A46" s="182" t="s">
        <v>297</v>
      </c>
      <c r="B46" s="323"/>
      <c r="C46" s="323"/>
      <c r="D46" s="323"/>
      <c r="E46" s="323"/>
      <c r="F46" s="323"/>
      <c r="G46" s="323"/>
      <c r="H46" s="323"/>
      <c r="I46" s="198"/>
      <c r="J46" s="171"/>
      <c r="K46" s="185"/>
      <c r="L46" s="576"/>
      <c r="M46" s="243"/>
    </row>
    <row r="47" spans="1:13" ht="87">
      <c r="A47" s="185" t="s">
        <v>507</v>
      </c>
      <c r="B47" s="323">
        <v>490800</v>
      </c>
      <c r="C47" s="323"/>
      <c r="D47" s="323"/>
      <c r="E47" s="323"/>
      <c r="F47" s="323"/>
      <c r="G47" s="323"/>
      <c r="H47" s="323"/>
      <c r="I47" s="198">
        <f t="shared" si="0"/>
        <v>490800</v>
      </c>
      <c r="J47" s="171" t="s">
        <v>31</v>
      </c>
      <c r="K47" s="185" t="s">
        <v>188</v>
      </c>
      <c r="L47" s="576"/>
      <c r="M47" s="243"/>
    </row>
    <row r="48" spans="1:13" ht="43.5">
      <c r="A48" s="185" t="s">
        <v>508</v>
      </c>
      <c r="B48" s="323">
        <v>305600</v>
      </c>
      <c r="C48" s="323"/>
      <c r="D48" s="323"/>
      <c r="E48" s="323"/>
      <c r="F48" s="323"/>
      <c r="G48" s="323"/>
      <c r="H48" s="323"/>
      <c r="I48" s="198">
        <f t="shared" si="0"/>
        <v>305600</v>
      </c>
      <c r="J48" s="171" t="s">
        <v>43</v>
      </c>
      <c r="K48" s="185" t="s">
        <v>184</v>
      </c>
      <c r="L48" s="576"/>
      <c r="M48" s="243"/>
    </row>
    <row r="49" spans="1:13" ht="43.5">
      <c r="A49" s="185" t="s">
        <v>509</v>
      </c>
      <c r="B49" s="323">
        <v>152800</v>
      </c>
      <c r="C49" s="323"/>
      <c r="D49" s="323"/>
      <c r="E49" s="323"/>
      <c r="F49" s="323"/>
      <c r="G49" s="323"/>
      <c r="H49" s="323"/>
      <c r="I49" s="198">
        <f t="shared" si="0"/>
        <v>152800</v>
      </c>
      <c r="J49" s="171" t="s">
        <v>43</v>
      </c>
      <c r="K49" s="185" t="s">
        <v>489</v>
      </c>
      <c r="L49" s="576"/>
      <c r="M49" s="243"/>
    </row>
    <row r="50" spans="1:13" ht="21.75">
      <c r="A50" s="178" t="s">
        <v>772</v>
      </c>
      <c r="B50" s="323"/>
      <c r="C50" s="323"/>
      <c r="D50" s="323"/>
      <c r="E50" s="323"/>
      <c r="F50" s="323"/>
      <c r="G50" s="323"/>
      <c r="H50" s="323"/>
      <c r="I50" s="198"/>
      <c r="J50" s="171"/>
      <c r="K50" s="185"/>
      <c r="L50" s="576"/>
      <c r="M50" s="243"/>
    </row>
    <row r="51" spans="1:14" ht="43.5">
      <c r="A51" s="185" t="s">
        <v>510</v>
      </c>
      <c r="B51" s="323">
        <v>1257500</v>
      </c>
      <c r="C51" s="323">
        <v>1305700</v>
      </c>
      <c r="D51" s="323">
        <v>1356500</v>
      </c>
      <c r="E51" s="323"/>
      <c r="F51" s="323">
        <v>209760</v>
      </c>
      <c r="G51" s="323">
        <f>3125400+540100+292500+58500+58500+74880</f>
        <v>4149880</v>
      </c>
      <c r="H51" s="323"/>
      <c r="I51" s="198">
        <f t="shared" si="0"/>
        <v>8279340</v>
      </c>
      <c r="J51" s="171" t="s">
        <v>43</v>
      </c>
      <c r="K51" s="185" t="s">
        <v>511</v>
      </c>
      <c r="L51" s="576"/>
      <c r="M51" s="243"/>
      <c r="N51" s="68">
        <f>21+7+8+7+3+3+5+1+1+1</f>
        <v>57</v>
      </c>
    </row>
    <row r="52" spans="1:13" ht="21.75">
      <c r="A52" s="182" t="s">
        <v>512</v>
      </c>
      <c r="B52" s="323"/>
      <c r="C52" s="323"/>
      <c r="D52" s="323"/>
      <c r="E52" s="323"/>
      <c r="F52" s="323"/>
      <c r="G52" s="323"/>
      <c r="H52" s="323"/>
      <c r="I52" s="198"/>
      <c r="J52" s="171"/>
      <c r="K52" s="185"/>
      <c r="L52" s="576"/>
      <c r="M52" s="243"/>
    </row>
    <row r="53" spans="1:13" ht="43.5">
      <c r="A53" s="185" t="s">
        <v>513</v>
      </c>
      <c r="B53" s="323"/>
      <c r="C53" s="323"/>
      <c r="D53" s="323"/>
      <c r="E53" s="323"/>
      <c r="F53" s="323"/>
      <c r="G53" s="323">
        <v>285000</v>
      </c>
      <c r="H53" s="323"/>
      <c r="I53" s="198">
        <f t="shared" si="0"/>
        <v>285000</v>
      </c>
      <c r="J53" s="171" t="s">
        <v>43</v>
      </c>
      <c r="K53" s="185" t="s">
        <v>516</v>
      </c>
      <c r="L53" s="576"/>
      <c r="M53" s="243"/>
    </row>
    <row r="54" spans="1:13" ht="21.75">
      <c r="A54" s="182" t="s">
        <v>514</v>
      </c>
      <c r="B54" s="323"/>
      <c r="C54" s="323"/>
      <c r="D54" s="323"/>
      <c r="E54" s="323"/>
      <c r="F54" s="323"/>
      <c r="G54" s="323"/>
      <c r="H54" s="323"/>
      <c r="I54" s="198"/>
      <c r="J54" s="171"/>
      <c r="K54" s="185"/>
      <c r="L54" s="576"/>
      <c r="M54" s="243"/>
    </row>
    <row r="55" spans="1:13" ht="43.5">
      <c r="A55" s="185" t="s">
        <v>515</v>
      </c>
      <c r="B55" s="323"/>
      <c r="C55" s="323"/>
      <c r="D55" s="323"/>
      <c r="E55" s="323"/>
      <c r="F55" s="323"/>
      <c r="G55" s="323">
        <v>7000000</v>
      </c>
      <c r="H55" s="323"/>
      <c r="I55" s="198">
        <f t="shared" si="0"/>
        <v>7000000</v>
      </c>
      <c r="J55" s="171" t="s">
        <v>43</v>
      </c>
      <c r="K55" s="185" t="s">
        <v>295</v>
      </c>
      <c r="L55" s="576"/>
      <c r="M55" s="243"/>
    </row>
    <row r="56" spans="1:13" ht="21.75">
      <c r="A56" s="178" t="s">
        <v>517</v>
      </c>
      <c r="B56" s="323"/>
      <c r="C56" s="323"/>
      <c r="D56" s="323"/>
      <c r="E56" s="323"/>
      <c r="F56" s="323"/>
      <c r="G56" s="323"/>
      <c r="H56" s="323"/>
      <c r="I56" s="198"/>
      <c r="J56" s="171"/>
      <c r="K56" s="185"/>
      <c r="L56" s="576"/>
      <c r="M56" s="243"/>
    </row>
    <row r="57" spans="1:13" ht="87">
      <c r="A57" s="180" t="s">
        <v>773</v>
      </c>
      <c r="B57" s="323">
        <f>323700+48500+550900+63900+64900+86300+83300</f>
        <v>1221500</v>
      </c>
      <c r="C57" s="323"/>
      <c r="D57" s="323"/>
      <c r="E57" s="323"/>
      <c r="F57" s="323"/>
      <c r="G57" s="323"/>
      <c r="H57" s="323"/>
      <c r="I57" s="198">
        <f t="shared" si="0"/>
        <v>1221500</v>
      </c>
      <c r="J57" s="171" t="s">
        <v>43</v>
      </c>
      <c r="K57" s="185" t="s">
        <v>519</v>
      </c>
      <c r="L57" s="576"/>
      <c r="M57" s="243"/>
    </row>
    <row r="58" spans="1:13" ht="21.75">
      <c r="A58" s="178" t="s">
        <v>520</v>
      </c>
      <c r="B58" s="323"/>
      <c r="C58" s="323"/>
      <c r="D58" s="323"/>
      <c r="E58" s="323"/>
      <c r="F58" s="323"/>
      <c r="G58" s="323"/>
      <c r="H58" s="323"/>
      <c r="I58" s="198"/>
      <c r="J58" s="171"/>
      <c r="K58" s="185"/>
      <c r="L58" s="576"/>
      <c r="M58" s="243"/>
    </row>
    <row r="59" spans="1:13" ht="87">
      <c r="A59" s="185" t="s">
        <v>521</v>
      </c>
      <c r="B59" s="323">
        <v>136000</v>
      </c>
      <c r="C59" s="323"/>
      <c r="D59" s="323"/>
      <c r="E59" s="323"/>
      <c r="F59" s="323"/>
      <c r="G59" s="323"/>
      <c r="H59" s="323"/>
      <c r="I59" s="198">
        <f t="shared" si="0"/>
        <v>136000</v>
      </c>
      <c r="J59" s="167" t="s">
        <v>43</v>
      </c>
      <c r="K59" s="185" t="s">
        <v>184</v>
      </c>
      <c r="L59" s="576"/>
      <c r="M59" s="243"/>
    </row>
    <row r="60" spans="1:102" s="103" customFormat="1" ht="43.5">
      <c r="A60" s="539" t="s">
        <v>522</v>
      </c>
      <c r="B60" s="181">
        <v>32000</v>
      </c>
      <c r="C60" s="392"/>
      <c r="D60" s="392"/>
      <c r="E60" s="392"/>
      <c r="F60" s="392"/>
      <c r="G60" s="392"/>
      <c r="H60" s="392"/>
      <c r="I60" s="198">
        <f t="shared" si="0"/>
        <v>32000</v>
      </c>
      <c r="J60" s="167" t="s">
        <v>43</v>
      </c>
      <c r="K60" s="185" t="s">
        <v>489</v>
      </c>
      <c r="L60" s="393"/>
      <c r="M60" s="243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</row>
    <row r="61" spans="1:102" s="103" customFormat="1" ht="65.25">
      <c r="A61" s="577" t="s">
        <v>523</v>
      </c>
      <c r="B61" s="181">
        <v>100000</v>
      </c>
      <c r="C61" s="181"/>
      <c r="D61" s="181"/>
      <c r="E61" s="181"/>
      <c r="F61" s="181"/>
      <c r="G61" s="181">
        <v>64000</v>
      </c>
      <c r="H61" s="392"/>
      <c r="I61" s="198">
        <f t="shared" si="0"/>
        <v>164000</v>
      </c>
      <c r="J61" s="167" t="s">
        <v>43</v>
      </c>
      <c r="K61" s="185" t="s">
        <v>524</v>
      </c>
      <c r="L61" s="393"/>
      <c r="M61" s="243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</row>
    <row r="62" spans="1:102" s="103" customFormat="1" ht="21.75">
      <c r="A62" s="178" t="s">
        <v>525</v>
      </c>
      <c r="B62" s="392"/>
      <c r="C62" s="392"/>
      <c r="D62" s="392"/>
      <c r="E62" s="392"/>
      <c r="F62" s="392"/>
      <c r="G62" s="392"/>
      <c r="H62" s="392"/>
      <c r="I62" s="198"/>
      <c r="J62" s="167"/>
      <c r="K62" s="185"/>
      <c r="L62" s="393"/>
      <c r="M62" s="462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</row>
    <row r="63" spans="1:102" s="103" customFormat="1" ht="87">
      <c r="A63" s="185" t="s">
        <v>526</v>
      </c>
      <c r="B63" s="392">
        <f>14400+14400+14400+14400+3600+3600+3600+3600+3600+3600</f>
        <v>79200</v>
      </c>
      <c r="C63" s="392"/>
      <c r="D63" s="181"/>
      <c r="E63" s="392"/>
      <c r="F63" s="392"/>
      <c r="G63" s="181"/>
      <c r="H63" s="392"/>
      <c r="I63" s="198">
        <f t="shared" si="0"/>
        <v>79200</v>
      </c>
      <c r="J63" s="167" t="s">
        <v>43</v>
      </c>
      <c r="K63" s="185" t="s">
        <v>188</v>
      </c>
      <c r="L63" s="393"/>
      <c r="M63" s="462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</row>
    <row r="64" spans="1:102" s="103" customFormat="1" ht="21.75">
      <c r="A64" s="178" t="s">
        <v>527</v>
      </c>
      <c r="B64" s="181"/>
      <c r="C64" s="181"/>
      <c r="D64" s="181"/>
      <c r="E64" s="181"/>
      <c r="F64" s="181"/>
      <c r="G64" s="181"/>
      <c r="H64" s="392"/>
      <c r="I64" s="198"/>
      <c r="J64" s="167"/>
      <c r="K64" s="185"/>
      <c r="L64" s="393"/>
      <c r="M64" s="462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</row>
    <row r="65" spans="1:102" s="103" customFormat="1" ht="108.75">
      <c r="A65" s="180" t="s">
        <v>592</v>
      </c>
      <c r="B65" s="181">
        <v>1087000</v>
      </c>
      <c r="C65" s="181"/>
      <c r="D65" s="181"/>
      <c r="E65" s="181"/>
      <c r="F65" s="181"/>
      <c r="G65" s="181"/>
      <c r="H65" s="181"/>
      <c r="I65" s="198">
        <f t="shared" si="0"/>
        <v>1087000</v>
      </c>
      <c r="J65" s="167" t="s">
        <v>43</v>
      </c>
      <c r="K65" s="185" t="s">
        <v>484</v>
      </c>
      <c r="L65" s="244"/>
      <c r="M65" s="462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</row>
    <row r="66" spans="1:102" s="103" customFormat="1" ht="70.5" customHeight="1">
      <c r="A66" s="185" t="s">
        <v>528</v>
      </c>
      <c r="B66" s="181"/>
      <c r="C66" s="181"/>
      <c r="D66" s="181"/>
      <c r="E66" s="181"/>
      <c r="F66" s="181">
        <v>180000</v>
      </c>
      <c r="G66" s="181"/>
      <c r="H66" s="181"/>
      <c r="I66" s="198">
        <f t="shared" si="0"/>
        <v>180000</v>
      </c>
      <c r="J66" s="171" t="s">
        <v>43</v>
      </c>
      <c r="K66" s="185" t="s">
        <v>591</v>
      </c>
      <c r="L66" s="244"/>
      <c r="M66" s="462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</row>
    <row r="67" spans="1:102" s="103" customFormat="1" ht="42">
      <c r="A67" s="178" t="s">
        <v>533</v>
      </c>
      <c r="B67" s="181"/>
      <c r="C67" s="181"/>
      <c r="D67" s="181"/>
      <c r="E67" s="181"/>
      <c r="F67" s="181"/>
      <c r="G67" s="181"/>
      <c r="H67" s="181"/>
      <c r="I67" s="198"/>
      <c r="J67" s="171"/>
      <c r="K67" s="185"/>
      <c r="L67" s="244"/>
      <c r="M67" s="462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</row>
    <row r="68" spans="1:102" s="103" customFormat="1" ht="51.75" customHeight="1">
      <c r="A68" s="180" t="s">
        <v>529</v>
      </c>
      <c r="B68" s="181">
        <f>98350+255875</f>
        <v>354225</v>
      </c>
      <c r="C68" s="181"/>
      <c r="D68" s="181"/>
      <c r="E68" s="181"/>
      <c r="F68" s="181"/>
      <c r="G68" s="181"/>
      <c r="H68" s="181"/>
      <c r="I68" s="198">
        <f t="shared" si="0"/>
        <v>354225</v>
      </c>
      <c r="J68" s="171" t="s">
        <v>31</v>
      </c>
      <c r="K68" s="185" t="s">
        <v>478</v>
      </c>
      <c r="L68" s="244"/>
      <c r="M68" s="462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</row>
    <row r="69" spans="1:102" s="103" customFormat="1" ht="21.75">
      <c r="A69" s="178" t="s">
        <v>534</v>
      </c>
      <c r="B69" s="181"/>
      <c r="C69" s="181"/>
      <c r="D69" s="181"/>
      <c r="E69" s="181"/>
      <c r="F69" s="181"/>
      <c r="G69" s="181"/>
      <c r="H69" s="181"/>
      <c r="I69" s="198"/>
      <c r="J69" s="171"/>
      <c r="K69" s="185"/>
      <c r="L69" s="244"/>
      <c r="M69" s="462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</row>
    <row r="70" spans="1:102" s="103" customFormat="1" ht="65.25">
      <c r="A70" s="180" t="s">
        <v>530</v>
      </c>
      <c r="B70" s="181">
        <v>695900</v>
      </c>
      <c r="C70" s="181"/>
      <c r="D70" s="181"/>
      <c r="E70" s="181"/>
      <c r="F70" s="181"/>
      <c r="G70" s="181"/>
      <c r="H70" s="181"/>
      <c r="I70" s="198">
        <f t="shared" si="0"/>
        <v>695900</v>
      </c>
      <c r="J70" s="171" t="s">
        <v>774</v>
      </c>
      <c r="K70" s="185" t="s">
        <v>483</v>
      </c>
      <c r="L70" s="244"/>
      <c r="M70" s="243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</row>
    <row r="71" spans="1:102" s="103" customFormat="1" ht="21.75">
      <c r="A71" s="178" t="s">
        <v>531</v>
      </c>
      <c r="B71" s="181"/>
      <c r="C71" s="181"/>
      <c r="D71" s="181"/>
      <c r="E71" s="181"/>
      <c r="F71" s="181"/>
      <c r="G71" s="181"/>
      <c r="H71" s="181"/>
      <c r="I71" s="198"/>
      <c r="J71" s="171"/>
      <c r="K71" s="185"/>
      <c r="L71" s="244"/>
      <c r="M71" s="243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</row>
    <row r="72" spans="1:102" s="103" customFormat="1" ht="108.75">
      <c r="A72" s="185" t="s">
        <v>775</v>
      </c>
      <c r="B72" s="181"/>
      <c r="C72" s="181"/>
      <c r="D72" s="181"/>
      <c r="E72" s="181">
        <v>25000</v>
      </c>
      <c r="F72" s="181"/>
      <c r="G72" s="181"/>
      <c r="H72" s="181"/>
      <c r="I72" s="198">
        <f t="shared" si="0"/>
        <v>25000</v>
      </c>
      <c r="J72" s="171" t="s">
        <v>31</v>
      </c>
      <c r="K72" s="185" t="s">
        <v>484</v>
      </c>
      <c r="L72" s="244"/>
      <c r="M72" s="243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</row>
    <row r="73" spans="1:102" s="103" customFormat="1" ht="87">
      <c r="A73" s="185" t="s">
        <v>535</v>
      </c>
      <c r="B73" s="181"/>
      <c r="C73" s="181">
        <v>50000</v>
      </c>
      <c r="D73" s="181"/>
      <c r="E73" s="181"/>
      <c r="F73" s="181"/>
      <c r="G73" s="181"/>
      <c r="H73" s="181"/>
      <c r="I73" s="198">
        <f aca="true" t="shared" si="1" ref="I73:I105">SUM(B73:H73)</f>
        <v>50000</v>
      </c>
      <c r="J73" s="386" t="s">
        <v>31</v>
      </c>
      <c r="K73" s="386" t="s">
        <v>184</v>
      </c>
      <c r="L73" s="244"/>
      <c r="M73" s="243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</row>
    <row r="74" spans="1:102" s="103" customFormat="1" ht="21.75">
      <c r="A74" s="178" t="s">
        <v>536</v>
      </c>
      <c r="B74" s="181"/>
      <c r="C74" s="181"/>
      <c r="D74" s="181"/>
      <c r="E74" s="181"/>
      <c r="F74" s="181"/>
      <c r="G74" s="181"/>
      <c r="H74" s="181"/>
      <c r="I74" s="198"/>
      <c r="J74" s="386"/>
      <c r="K74" s="386"/>
      <c r="L74" s="244"/>
      <c r="M74" s="243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</row>
    <row r="75" spans="1:102" s="103" customFormat="1" ht="65.25">
      <c r="A75" s="185" t="s">
        <v>532</v>
      </c>
      <c r="B75" s="181">
        <v>498520</v>
      </c>
      <c r="C75" s="181"/>
      <c r="D75" s="181"/>
      <c r="E75" s="181"/>
      <c r="F75" s="181"/>
      <c r="G75" s="181"/>
      <c r="H75" s="181"/>
      <c r="I75" s="198">
        <f t="shared" si="1"/>
        <v>498520</v>
      </c>
      <c r="J75" s="171" t="s">
        <v>43</v>
      </c>
      <c r="K75" s="185" t="s">
        <v>188</v>
      </c>
      <c r="L75" s="244"/>
      <c r="M75" s="243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</row>
    <row r="76" spans="1:102" s="103" customFormat="1" ht="23.25" customHeight="1">
      <c r="A76" s="185" t="s">
        <v>537</v>
      </c>
      <c r="B76" s="181">
        <f>36580+36880+66960</f>
        <v>140420</v>
      </c>
      <c r="C76" s="181">
        <f>94800+62300+105600+71000+41700+24000</f>
        <v>399400</v>
      </c>
      <c r="D76" s="181"/>
      <c r="E76" s="181"/>
      <c r="F76" s="181"/>
      <c r="G76" s="181"/>
      <c r="H76" s="181"/>
      <c r="I76" s="198">
        <f t="shared" si="1"/>
        <v>539820</v>
      </c>
      <c r="J76" s="171" t="s">
        <v>43</v>
      </c>
      <c r="K76" s="185" t="s">
        <v>538</v>
      </c>
      <c r="L76" s="244"/>
      <c r="M76" s="243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</row>
    <row r="77" spans="1:102" s="103" customFormat="1" ht="21.75" customHeight="1">
      <c r="A77" s="178" t="s">
        <v>539</v>
      </c>
      <c r="B77" s="181"/>
      <c r="C77" s="181"/>
      <c r="D77" s="181"/>
      <c r="E77" s="181"/>
      <c r="F77" s="181"/>
      <c r="G77" s="181"/>
      <c r="H77" s="181"/>
      <c r="I77" s="198"/>
      <c r="J77" s="171"/>
      <c r="K77" s="185"/>
      <c r="L77" s="244"/>
      <c r="M77" s="243"/>
      <c r="N77" s="84" t="s">
        <v>548</v>
      </c>
      <c r="O77" s="84" t="s">
        <v>549</v>
      </c>
      <c r="P77" s="84" t="s">
        <v>550</v>
      </c>
      <c r="Q77" s="578" t="s">
        <v>551</v>
      </c>
      <c r="R77" s="578" t="s">
        <v>23</v>
      </c>
      <c r="S77" s="578" t="s">
        <v>328</v>
      </c>
      <c r="T77" s="578" t="s">
        <v>552</v>
      </c>
      <c r="U77" s="578" t="s">
        <v>46</v>
      </c>
      <c r="V77" s="578" t="s">
        <v>553</v>
      </c>
      <c r="W77" s="578" t="s">
        <v>113</v>
      </c>
      <c r="X77" s="578" t="s">
        <v>554</v>
      </c>
      <c r="Y77" s="578" t="s">
        <v>555</v>
      </c>
      <c r="Z77" s="578" t="s">
        <v>107</v>
      </c>
      <c r="AA77" s="578" t="s">
        <v>556</v>
      </c>
      <c r="AB77" s="578" t="s">
        <v>557</v>
      </c>
      <c r="AC77" s="578" t="s">
        <v>193</v>
      </c>
      <c r="AD77" s="578" t="s">
        <v>558</v>
      </c>
      <c r="AE77" s="578" t="s">
        <v>559</v>
      </c>
      <c r="AF77" s="578" t="s">
        <v>181</v>
      </c>
      <c r="AG77" s="578" t="s">
        <v>560</v>
      </c>
      <c r="AH77" s="578" t="s">
        <v>302</v>
      </c>
      <c r="AI77" s="382" t="s">
        <v>561</v>
      </c>
      <c r="AJ77" s="382" t="s">
        <v>562</v>
      </c>
      <c r="AK77" s="382" t="s">
        <v>563</v>
      </c>
      <c r="AL77" s="382" t="s">
        <v>10</v>
      </c>
      <c r="AM77" s="382" t="s">
        <v>124</v>
      </c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</row>
    <row r="78" spans="1:102" s="383" customFormat="1" ht="43.5">
      <c r="A78" s="185" t="s">
        <v>547</v>
      </c>
      <c r="B78" s="181">
        <f>50000+119350+90000+376550+267000+84660</f>
        <v>987560</v>
      </c>
      <c r="C78" s="181">
        <f>34230+123000+216920+90000+55730+25000</f>
        <v>544880</v>
      </c>
      <c r="D78" s="181">
        <f>50000+25000+63000+74220+287920+25000</f>
        <v>525140</v>
      </c>
      <c r="E78" s="181">
        <f>54080+270000+25000+63000+136450+112000+134000</f>
        <v>794530</v>
      </c>
      <c r="F78" s="181">
        <f>550000+56200+117900+131000+75000+233000+48300+25000+137800+29800+25000+43000+75000+65400</f>
        <v>1612400</v>
      </c>
      <c r="G78" s="181">
        <f>133700+90000+25000+25000+25000+493200+75460+25000+309200+55730+25000+25000+25000+50000+109000+25000+179460+50000+25000+52230+180000+60000+108000+63000+24740+112000+35000+98000+550000+99260+103260+25000+25000+25000+25000+50000+218000+63000+42980+87000+193000</f>
        <v>4010220</v>
      </c>
      <c r="H78" s="181"/>
      <c r="I78" s="198">
        <f t="shared" si="1"/>
        <v>8474730</v>
      </c>
      <c r="J78" s="171" t="s">
        <v>43</v>
      </c>
      <c r="K78" s="185" t="s">
        <v>564</v>
      </c>
      <c r="L78" s="244"/>
      <c r="M78" s="381"/>
      <c r="N78" s="382">
        <v>1</v>
      </c>
      <c r="O78" s="382">
        <v>1</v>
      </c>
      <c r="P78" s="382">
        <v>1</v>
      </c>
      <c r="Q78" s="579">
        <v>12</v>
      </c>
      <c r="R78" s="579">
        <v>28</v>
      </c>
      <c r="S78" s="579">
        <v>1</v>
      </c>
      <c r="T78" s="579">
        <v>1</v>
      </c>
      <c r="U78" s="579">
        <v>6</v>
      </c>
      <c r="V78" s="579">
        <v>5</v>
      </c>
      <c r="W78" s="579">
        <v>1</v>
      </c>
      <c r="X78" s="579">
        <v>1</v>
      </c>
      <c r="Y78" s="579">
        <v>2</v>
      </c>
      <c r="Z78" s="579">
        <v>11</v>
      </c>
      <c r="AA78" s="579">
        <v>8</v>
      </c>
      <c r="AB78" s="579">
        <v>2</v>
      </c>
      <c r="AC78" s="579">
        <v>13</v>
      </c>
      <c r="AD78" s="579">
        <v>9</v>
      </c>
      <c r="AE78" s="579">
        <v>1</v>
      </c>
      <c r="AF78" s="579">
        <v>2</v>
      </c>
      <c r="AG78" s="579">
        <v>2</v>
      </c>
      <c r="AH78" s="579">
        <v>1</v>
      </c>
      <c r="AI78" s="383">
        <v>1</v>
      </c>
      <c r="AJ78" s="579">
        <v>1</v>
      </c>
      <c r="AK78" s="579">
        <v>3</v>
      </c>
      <c r="AL78" s="383">
        <v>15</v>
      </c>
      <c r="AM78" s="579">
        <v>10</v>
      </c>
      <c r="AN78" s="382">
        <f>SUM(N78:AM78)</f>
        <v>139</v>
      </c>
      <c r="AO78" s="382"/>
      <c r="AP78" s="382"/>
      <c r="AQ78" s="382"/>
      <c r="AR78" s="382"/>
      <c r="AS78" s="382"/>
      <c r="AT78" s="382"/>
      <c r="AU78" s="382"/>
      <c r="AV78" s="382"/>
      <c r="AW78" s="382"/>
      <c r="AX78" s="382"/>
      <c r="AY78" s="382"/>
      <c r="AZ78" s="382"/>
      <c r="BA78" s="382"/>
      <c r="BB78" s="382"/>
      <c r="BC78" s="382"/>
      <c r="BD78" s="382"/>
      <c r="BE78" s="382"/>
      <c r="BF78" s="382"/>
      <c r="BG78" s="382"/>
      <c r="BH78" s="382"/>
      <c r="BI78" s="382"/>
      <c r="BJ78" s="382"/>
      <c r="BK78" s="382"/>
      <c r="BL78" s="382"/>
      <c r="BM78" s="382"/>
      <c r="BN78" s="382"/>
      <c r="BO78" s="382"/>
      <c r="BP78" s="382"/>
      <c r="BQ78" s="382"/>
      <c r="BR78" s="382"/>
      <c r="BS78" s="382"/>
      <c r="BT78" s="382"/>
      <c r="BU78" s="382"/>
      <c r="BV78" s="382"/>
      <c r="BW78" s="382"/>
      <c r="BX78" s="382"/>
      <c r="BY78" s="382"/>
      <c r="BZ78" s="382"/>
      <c r="CA78" s="382"/>
      <c r="CB78" s="382"/>
      <c r="CC78" s="382"/>
      <c r="CD78" s="382"/>
      <c r="CE78" s="382"/>
      <c r="CF78" s="382"/>
      <c r="CG78" s="382"/>
      <c r="CH78" s="382"/>
      <c r="CI78" s="382"/>
      <c r="CJ78" s="382"/>
      <c r="CK78" s="382"/>
      <c r="CL78" s="382"/>
      <c r="CM78" s="382"/>
      <c r="CN78" s="382"/>
      <c r="CO78" s="382"/>
      <c r="CP78" s="382"/>
      <c r="CQ78" s="382"/>
      <c r="CR78" s="382"/>
      <c r="CS78" s="382"/>
      <c r="CT78" s="382"/>
      <c r="CU78" s="382"/>
      <c r="CV78" s="382"/>
      <c r="CW78" s="382"/>
      <c r="CX78" s="382"/>
    </row>
    <row r="79" spans="1:102" s="383" customFormat="1" ht="43.5">
      <c r="A79" s="185" t="s">
        <v>776</v>
      </c>
      <c r="B79" s="181"/>
      <c r="C79" s="181"/>
      <c r="D79" s="181"/>
      <c r="E79" s="181"/>
      <c r="F79" s="181"/>
      <c r="G79" s="181"/>
      <c r="H79" s="181">
        <f>270*33.9</f>
        <v>9153</v>
      </c>
      <c r="I79" s="198">
        <f t="shared" si="1"/>
        <v>9153</v>
      </c>
      <c r="J79" s="171" t="s">
        <v>43</v>
      </c>
      <c r="K79" s="185" t="s">
        <v>459</v>
      </c>
      <c r="L79" s="244"/>
      <c r="M79" s="381"/>
      <c r="N79" s="382"/>
      <c r="O79" s="382"/>
      <c r="P79" s="382"/>
      <c r="Q79" s="579"/>
      <c r="R79" s="579"/>
      <c r="S79" s="579"/>
      <c r="T79" s="579"/>
      <c r="U79" s="579"/>
      <c r="V79" s="579"/>
      <c r="W79" s="579"/>
      <c r="X79" s="579"/>
      <c r="Y79" s="579"/>
      <c r="Z79" s="579"/>
      <c r="AA79" s="579"/>
      <c r="AB79" s="579"/>
      <c r="AC79" s="579"/>
      <c r="AD79" s="579"/>
      <c r="AE79" s="579"/>
      <c r="AF79" s="579"/>
      <c r="AG79" s="579"/>
      <c r="AH79" s="579"/>
      <c r="AJ79" s="579"/>
      <c r="AK79" s="579"/>
      <c r="AM79" s="579"/>
      <c r="AN79" s="382"/>
      <c r="AO79" s="382"/>
      <c r="AP79" s="382"/>
      <c r="AQ79" s="382"/>
      <c r="AR79" s="382"/>
      <c r="AS79" s="382"/>
      <c r="AT79" s="382"/>
      <c r="AU79" s="382"/>
      <c r="AV79" s="382"/>
      <c r="AW79" s="382"/>
      <c r="AX79" s="382"/>
      <c r="AY79" s="382"/>
      <c r="AZ79" s="382"/>
      <c r="BA79" s="382"/>
      <c r="BB79" s="382"/>
      <c r="BC79" s="382"/>
      <c r="BD79" s="382"/>
      <c r="BE79" s="382"/>
      <c r="BF79" s="382"/>
      <c r="BG79" s="382"/>
      <c r="BH79" s="382"/>
      <c r="BI79" s="382"/>
      <c r="BJ79" s="382"/>
      <c r="BK79" s="382"/>
      <c r="BL79" s="382"/>
      <c r="BM79" s="382"/>
      <c r="BN79" s="382"/>
      <c r="BO79" s="382"/>
      <c r="BP79" s="382"/>
      <c r="BQ79" s="382"/>
      <c r="BR79" s="382"/>
      <c r="BS79" s="382"/>
      <c r="BT79" s="382"/>
      <c r="BU79" s="382"/>
      <c r="BV79" s="382"/>
      <c r="BW79" s="382"/>
      <c r="BX79" s="382"/>
      <c r="BY79" s="382"/>
      <c r="BZ79" s="382"/>
      <c r="CA79" s="382"/>
      <c r="CB79" s="382"/>
      <c r="CC79" s="382"/>
      <c r="CD79" s="382"/>
      <c r="CE79" s="382"/>
      <c r="CF79" s="382"/>
      <c r="CG79" s="382"/>
      <c r="CH79" s="382"/>
      <c r="CI79" s="382"/>
      <c r="CJ79" s="382"/>
      <c r="CK79" s="382"/>
      <c r="CL79" s="382"/>
      <c r="CM79" s="382"/>
      <c r="CN79" s="382"/>
      <c r="CO79" s="382"/>
      <c r="CP79" s="382"/>
      <c r="CQ79" s="382"/>
      <c r="CR79" s="382"/>
      <c r="CS79" s="382"/>
      <c r="CT79" s="382"/>
      <c r="CU79" s="382"/>
      <c r="CV79" s="382"/>
      <c r="CW79" s="382"/>
      <c r="CX79" s="382"/>
    </row>
    <row r="80" spans="1:102" s="383" customFormat="1" ht="65.25">
      <c r="A80" s="185" t="s">
        <v>771</v>
      </c>
      <c r="B80" s="181"/>
      <c r="C80" s="181"/>
      <c r="D80" s="181"/>
      <c r="E80" s="181"/>
      <c r="F80" s="181"/>
      <c r="G80" s="181"/>
      <c r="H80" s="181">
        <f>375*33.9</f>
        <v>12712.5</v>
      </c>
      <c r="I80" s="198">
        <f t="shared" si="1"/>
        <v>12712.5</v>
      </c>
      <c r="J80" s="171" t="s">
        <v>43</v>
      </c>
      <c r="K80" s="185" t="s">
        <v>459</v>
      </c>
      <c r="L80" s="244"/>
      <c r="M80" s="381"/>
      <c r="N80" s="382"/>
      <c r="O80" s="382"/>
      <c r="P80" s="382"/>
      <c r="Q80" s="579"/>
      <c r="R80" s="579"/>
      <c r="S80" s="579"/>
      <c r="T80" s="579"/>
      <c r="U80" s="579"/>
      <c r="V80" s="579"/>
      <c r="W80" s="579"/>
      <c r="X80" s="579"/>
      <c r="Y80" s="579"/>
      <c r="Z80" s="579"/>
      <c r="AA80" s="579"/>
      <c r="AB80" s="579"/>
      <c r="AC80" s="579"/>
      <c r="AD80" s="579"/>
      <c r="AE80" s="579"/>
      <c r="AF80" s="579"/>
      <c r="AG80" s="579"/>
      <c r="AH80" s="579"/>
      <c r="AJ80" s="579"/>
      <c r="AK80" s="579"/>
      <c r="AM80" s="579"/>
      <c r="AN80" s="382"/>
      <c r="AO80" s="382"/>
      <c r="AP80" s="382"/>
      <c r="AQ80" s="382"/>
      <c r="AR80" s="382"/>
      <c r="AS80" s="382"/>
      <c r="AT80" s="382"/>
      <c r="AU80" s="382"/>
      <c r="AV80" s="382"/>
      <c r="AW80" s="382"/>
      <c r="AX80" s="382"/>
      <c r="AY80" s="382"/>
      <c r="AZ80" s="382"/>
      <c r="BA80" s="382"/>
      <c r="BB80" s="382"/>
      <c r="BC80" s="382"/>
      <c r="BD80" s="382"/>
      <c r="BE80" s="382"/>
      <c r="BF80" s="382"/>
      <c r="BG80" s="382"/>
      <c r="BH80" s="382"/>
      <c r="BI80" s="382"/>
      <c r="BJ80" s="382"/>
      <c r="BK80" s="382"/>
      <c r="BL80" s="382"/>
      <c r="BM80" s="382"/>
      <c r="BN80" s="382"/>
      <c r="BO80" s="382"/>
      <c r="BP80" s="382"/>
      <c r="BQ80" s="382"/>
      <c r="BR80" s="382"/>
      <c r="BS80" s="382"/>
      <c r="BT80" s="382"/>
      <c r="BU80" s="382"/>
      <c r="BV80" s="382"/>
      <c r="BW80" s="382"/>
      <c r="BX80" s="382"/>
      <c r="BY80" s="382"/>
      <c r="BZ80" s="382"/>
      <c r="CA80" s="382"/>
      <c r="CB80" s="382"/>
      <c r="CC80" s="382"/>
      <c r="CD80" s="382"/>
      <c r="CE80" s="382"/>
      <c r="CF80" s="382"/>
      <c r="CG80" s="382"/>
      <c r="CH80" s="382"/>
      <c r="CI80" s="382"/>
      <c r="CJ80" s="382"/>
      <c r="CK80" s="382"/>
      <c r="CL80" s="382"/>
      <c r="CM80" s="382"/>
      <c r="CN80" s="382"/>
      <c r="CO80" s="382"/>
      <c r="CP80" s="382"/>
      <c r="CQ80" s="382"/>
      <c r="CR80" s="382"/>
      <c r="CS80" s="382"/>
      <c r="CT80" s="382"/>
      <c r="CU80" s="382"/>
      <c r="CV80" s="382"/>
      <c r="CW80" s="382"/>
      <c r="CX80" s="382"/>
    </row>
    <row r="81" spans="1:102" s="383" customFormat="1" ht="43.5">
      <c r="A81" s="185" t="s">
        <v>777</v>
      </c>
      <c r="B81" s="181"/>
      <c r="C81" s="181"/>
      <c r="D81" s="181"/>
      <c r="E81" s="181"/>
      <c r="F81" s="181"/>
      <c r="G81" s="181"/>
      <c r="H81" s="181">
        <f>535*33.9</f>
        <v>18136.5</v>
      </c>
      <c r="I81" s="198">
        <f t="shared" si="1"/>
        <v>18136.5</v>
      </c>
      <c r="J81" s="171" t="s">
        <v>43</v>
      </c>
      <c r="K81" s="185" t="s">
        <v>459</v>
      </c>
      <c r="L81" s="244"/>
      <c r="M81" s="381"/>
      <c r="N81" s="382"/>
      <c r="O81" s="382"/>
      <c r="P81" s="382"/>
      <c r="Q81" s="579"/>
      <c r="R81" s="579"/>
      <c r="S81" s="579"/>
      <c r="T81" s="579"/>
      <c r="U81" s="579"/>
      <c r="V81" s="579"/>
      <c r="W81" s="579"/>
      <c r="X81" s="579"/>
      <c r="Y81" s="579"/>
      <c r="Z81" s="579"/>
      <c r="AA81" s="579"/>
      <c r="AB81" s="579"/>
      <c r="AC81" s="579"/>
      <c r="AD81" s="579"/>
      <c r="AE81" s="579"/>
      <c r="AF81" s="579"/>
      <c r="AG81" s="579"/>
      <c r="AH81" s="579"/>
      <c r="AJ81" s="579"/>
      <c r="AK81" s="579"/>
      <c r="AM81" s="579"/>
      <c r="AN81" s="382"/>
      <c r="AO81" s="382"/>
      <c r="AP81" s="382"/>
      <c r="AQ81" s="382"/>
      <c r="AR81" s="382"/>
      <c r="AS81" s="382"/>
      <c r="AT81" s="382"/>
      <c r="AU81" s="382"/>
      <c r="AV81" s="382"/>
      <c r="AW81" s="382"/>
      <c r="AX81" s="382"/>
      <c r="AY81" s="382"/>
      <c r="AZ81" s="382"/>
      <c r="BA81" s="382"/>
      <c r="BB81" s="382"/>
      <c r="BC81" s="382"/>
      <c r="BD81" s="382"/>
      <c r="BE81" s="382"/>
      <c r="BF81" s="382"/>
      <c r="BG81" s="382"/>
      <c r="BH81" s="382"/>
      <c r="BI81" s="382"/>
      <c r="BJ81" s="382"/>
      <c r="BK81" s="382"/>
      <c r="BL81" s="382"/>
      <c r="BM81" s="382"/>
      <c r="BN81" s="382"/>
      <c r="BO81" s="382"/>
      <c r="BP81" s="382"/>
      <c r="BQ81" s="382"/>
      <c r="BR81" s="382"/>
      <c r="BS81" s="382"/>
      <c r="BT81" s="382"/>
      <c r="BU81" s="382"/>
      <c r="BV81" s="382"/>
      <c r="BW81" s="382"/>
      <c r="BX81" s="382"/>
      <c r="BY81" s="382"/>
      <c r="BZ81" s="382"/>
      <c r="CA81" s="382"/>
      <c r="CB81" s="382"/>
      <c r="CC81" s="382"/>
      <c r="CD81" s="382"/>
      <c r="CE81" s="382"/>
      <c r="CF81" s="382"/>
      <c r="CG81" s="382"/>
      <c r="CH81" s="382"/>
      <c r="CI81" s="382"/>
      <c r="CJ81" s="382"/>
      <c r="CK81" s="382"/>
      <c r="CL81" s="382"/>
      <c r="CM81" s="382"/>
      <c r="CN81" s="382"/>
      <c r="CO81" s="382"/>
      <c r="CP81" s="382"/>
      <c r="CQ81" s="382"/>
      <c r="CR81" s="382"/>
      <c r="CS81" s="382"/>
      <c r="CT81" s="382"/>
      <c r="CU81" s="382"/>
      <c r="CV81" s="382"/>
      <c r="CW81" s="382"/>
      <c r="CX81" s="382"/>
    </row>
    <row r="82" spans="1:102" s="383" customFormat="1" ht="43.5">
      <c r="A82" s="185" t="s">
        <v>778</v>
      </c>
      <c r="B82" s="181"/>
      <c r="C82" s="181"/>
      <c r="D82" s="181"/>
      <c r="E82" s="181"/>
      <c r="F82" s="181"/>
      <c r="G82" s="181"/>
      <c r="H82" s="181">
        <f>400*33.9</f>
        <v>13560</v>
      </c>
      <c r="I82" s="198">
        <f t="shared" si="1"/>
        <v>13560</v>
      </c>
      <c r="J82" s="171" t="s">
        <v>43</v>
      </c>
      <c r="K82" s="185" t="s">
        <v>459</v>
      </c>
      <c r="L82" s="244"/>
      <c r="M82" s="381"/>
      <c r="N82" s="382"/>
      <c r="O82" s="382"/>
      <c r="P82" s="382"/>
      <c r="Q82" s="579"/>
      <c r="R82" s="579"/>
      <c r="S82" s="579"/>
      <c r="T82" s="579"/>
      <c r="U82" s="579"/>
      <c r="V82" s="579"/>
      <c r="W82" s="579"/>
      <c r="X82" s="579"/>
      <c r="Y82" s="579"/>
      <c r="Z82" s="579"/>
      <c r="AA82" s="579"/>
      <c r="AB82" s="579"/>
      <c r="AC82" s="579"/>
      <c r="AD82" s="579"/>
      <c r="AE82" s="579"/>
      <c r="AF82" s="579"/>
      <c r="AG82" s="579"/>
      <c r="AH82" s="579"/>
      <c r="AJ82" s="579"/>
      <c r="AK82" s="579"/>
      <c r="AM82" s="579"/>
      <c r="AN82" s="382"/>
      <c r="AO82" s="382"/>
      <c r="AP82" s="382"/>
      <c r="AQ82" s="382"/>
      <c r="AR82" s="382"/>
      <c r="AS82" s="382"/>
      <c r="AT82" s="382"/>
      <c r="AU82" s="382"/>
      <c r="AV82" s="382"/>
      <c r="AW82" s="382"/>
      <c r="AX82" s="382"/>
      <c r="AY82" s="382"/>
      <c r="AZ82" s="382"/>
      <c r="BA82" s="382"/>
      <c r="BB82" s="382"/>
      <c r="BC82" s="382"/>
      <c r="BD82" s="382"/>
      <c r="BE82" s="382"/>
      <c r="BF82" s="382"/>
      <c r="BG82" s="382"/>
      <c r="BH82" s="382"/>
      <c r="BI82" s="382"/>
      <c r="BJ82" s="382"/>
      <c r="BK82" s="382"/>
      <c r="BL82" s="382"/>
      <c r="BM82" s="382"/>
      <c r="BN82" s="382"/>
      <c r="BO82" s="382"/>
      <c r="BP82" s="382"/>
      <c r="BQ82" s="382"/>
      <c r="BR82" s="382"/>
      <c r="BS82" s="382"/>
      <c r="BT82" s="382"/>
      <c r="BU82" s="382"/>
      <c r="BV82" s="382"/>
      <c r="BW82" s="382"/>
      <c r="BX82" s="382"/>
      <c r="BY82" s="382"/>
      <c r="BZ82" s="382"/>
      <c r="CA82" s="382"/>
      <c r="CB82" s="382"/>
      <c r="CC82" s="382"/>
      <c r="CD82" s="382"/>
      <c r="CE82" s="382"/>
      <c r="CF82" s="382"/>
      <c r="CG82" s="382"/>
      <c r="CH82" s="382"/>
      <c r="CI82" s="382"/>
      <c r="CJ82" s="382"/>
      <c r="CK82" s="382"/>
      <c r="CL82" s="382"/>
      <c r="CM82" s="382"/>
      <c r="CN82" s="382"/>
      <c r="CO82" s="382"/>
      <c r="CP82" s="382"/>
      <c r="CQ82" s="382"/>
      <c r="CR82" s="382"/>
      <c r="CS82" s="382"/>
      <c r="CT82" s="382"/>
      <c r="CU82" s="382"/>
      <c r="CV82" s="382"/>
      <c r="CW82" s="382"/>
      <c r="CX82" s="382"/>
    </row>
    <row r="83" spans="1:102" s="103" customFormat="1" ht="21.75">
      <c r="A83" s="178" t="s">
        <v>540</v>
      </c>
      <c r="B83" s="181"/>
      <c r="C83" s="181"/>
      <c r="D83" s="181"/>
      <c r="E83" s="181"/>
      <c r="F83" s="181"/>
      <c r="G83" s="181"/>
      <c r="H83" s="181"/>
      <c r="I83" s="198"/>
      <c r="J83" s="171"/>
      <c r="K83" s="185"/>
      <c r="L83" s="244"/>
      <c r="M83" s="243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</row>
    <row r="84" spans="1:102" s="103" customFormat="1" ht="42.75" customHeight="1">
      <c r="A84" s="185" t="s">
        <v>541</v>
      </c>
      <c r="B84" s="181"/>
      <c r="C84" s="181">
        <v>384800</v>
      </c>
      <c r="D84" s="181"/>
      <c r="E84" s="181"/>
      <c r="F84" s="181"/>
      <c r="G84" s="181"/>
      <c r="H84" s="181"/>
      <c r="I84" s="198">
        <f t="shared" si="1"/>
        <v>384800</v>
      </c>
      <c r="J84" s="171" t="s">
        <v>32</v>
      </c>
      <c r="K84" s="171" t="s">
        <v>779</v>
      </c>
      <c r="L84" s="244"/>
      <c r="M84" s="243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</row>
    <row r="85" spans="1:102" s="103" customFormat="1" ht="24" customHeight="1">
      <c r="A85" s="178" t="s">
        <v>544</v>
      </c>
      <c r="B85" s="181"/>
      <c r="C85" s="181"/>
      <c r="D85" s="181"/>
      <c r="E85" s="181"/>
      <c r="F85" s="181"/>
      <c r="G85" s="181"/>
      <c r="H85" s="181"/>
      <c r="I85" s="198"/>
      <c r="J85" s="171"/>
      <c r="K85" s="171"/>
      <c r="L85" s="244"/>
      <c r="M85" s="243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</row>
    <row r="86" spans="1:102" s="103" customFormat="1" ht="24.75" customHeight="1">
      <c r="A86" s="185" t="s">
        <v>542</v>
      </c>
      <c r="B86" s="331"/>
      <c r="C86" s="331"/>
      <c r="D86" s="331"/>
      <c r="E86" s="331"/>
      <c r="F86" s="331">
        <v>629750</v>
      </c>
      <c r="G86" s="331"/>
      <c r="H86" s="331"/>
      <c r="I86" s="198">
        <f t="shared" si="1"/>
        <v>629750</v>
      </c>
      <c r="J86" s="386" t="s">
        <v>31</v>
      </c>
      <c r="K86" s="386" t="s">
        <v>543</v>
      </c>
      <c r="L86" s="394"/>
      <c r="M86" s="243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</row>
    <row r="87" spans="1:102" s="103" customFormat="1" ht="21.75">
      <c r="A87" s="178" t="s">
        <v>545</v>
      </c>
      <c r="B87" s="181"/>
      <c r="C87" s="181"/>
      <c r="D87" s="181"/>
      <c r="E87" s="181"/>
      <c r="F87" s="181"/>
      <c r="G87" s="181"/>
      <c r="H87" s="181"/>
      <c r="I87" s="198"/>
      <c r="J87" s="386"/>
      <c r="K87" s="171"/>
      <c r="L87" s="244"/>
      <c r="M87" s="243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</row>
    <row r="88" spans="1:102" s="103" customFormat="1" ht="65.25">
      <c r="A88" s="185" t="s">
        <v>780</v>
      </c>
      <c r="B88" s="181"/>
      <c r="C88" s="181"/>
      <c r="D88" s="181">
        <v>1090600</v>
      </c>
      <c r="E88" s="181"/>
      <c r="F88" s="181"/>
      <c r="G88" s="181">
        <f>(862200+103800+256500+167400+13087200)-1090600</f>
        <v>13386500</v>
      </c>
      <c r="H88" s="181"/>
      <c r="I88" s="198">
        <f t="shared" si="1"/>
        <v>14477100</v>
      </c>
      <c r="J88" s="386" t="s">
        <v>31</v>
      </c>
      <c r="K88" s="171" t="s">
        <v>781</v>
      </c>
      <c r="L88" s="244"/>
      <c r="M88" s="243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</row>
    <row r="89" spans="1:102" s="103" customFormat="1" ht="21.75">
      <c r="A89" s="178" t="s">
        <v>546</v>
      </c>
      <c r="B89" s="181"/>
      <c r="C89" s="181"/>
      <c r="D89" s="181"/>
      <c r="E89" s="181"/>
      <c r="F89" s="181"/>
      <c r="G89" s="181"/>
      <c r="H89" s="181"/>
      <c r="I89" s="198"/>
      <c r="J89" s="171"/>
      <c r="K89" s="171"/>
      <c r="L89" s="244"/>
      <c r="M89" s="243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</row>
    <row r="90" spans="1:102" s="103" customFormat="1" ht="27" customHeight="1">
      <c r="A90" s="185" t="s">
        <v>301</v>
      </c>
      <c r="B90" s="181"/>
      <c r="C90" s="181"/>
      <c r="D90" s="181"/>
      <c r="E90" s="181"/>
      <c r="F90" s="181"/>
      <c r="G90" s="181"/>
      <c r="H90" s="181">
        <v>12000</v>
      </c>
      <c r="I90" s="198">
        <f t="shared" si="1"/>
        <v>12000</v>
      </c>
      <c r="J90" s="171" t="s">
        <v>43</v>
      </c>
      <c r="K90" s="185" t="s">
        <v>459</v>
      </c>
      <c r="L90" s="171"/>
      <c r="M90" s="243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</row>
    <row r="91" spans="1:102" s="103" customFormat="1" ht="42">
      <c r="A91" s="178" t="s">
        <v>782</v>
      </c>
      <c r="B91" s="181"/>
      <c r="C91" s="181"/>
      <c r="D91" s="181"/>
      <c r="E91" s="181"/>
      <c r="F91" s="181"/>
      <c r="G91" s="181"/>
      <c r="H91" s="181"/>
      <c r="I91" s="198"/>
      <c r="J91" s="171"/>
      <c r="K91" s="171"/>
      <c r="L91" s="244"/>
      <c r="M91" s="243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</row>
    <row r="92" spans="1:102" s="103" customFormat="1" ht="65.25">
      <c r="A92" s="185" t="s">
        <v>565</v>
      </c>
      <c r="B92" s="181">
        <f>200000</f>
        <v>200000</v>
      </c>
      <c r="C92" s="181">
        <v>200000</v>
      </c>
      <c r="D92" s="181">
        <v>200000</v>
      </c>
      <c r="E92" s="181">
        <v>200000</v>
      </c>
      <c r="F92" s="181">
        <v>200000</v>
      </c>
      <c r="G92" s="181">
        <v>1000000</v>
      </c>
      <c r="H92" s="181"/>
      <c r="I92" s="198">
        <f t="shared" si="1"/>
        <v>2000000</v>
      </c>
      <c r="J92" s="386" t="s">
        <v>31</v>
      </c>
      <c r="K92" s="386" t="s">
        <v>566</v>
      </c>
      <c r="L92" s="244"/>
      <c r="M92" s="243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</row>
    <row r="93" spans="1:102" s="103" customFormat="1" ht="21.75">
      <c r="A93" s="178" t="s">
        <v>567</v>
      </c>
      <c r="B93" s="181"/>
      <c r="C93" s="181"/>
      <c r="D93" s="181"/>
      <c r="E93" s="181"/>
      <c r="F93" s="181"/>
      <c r="G93" s="181"/>
      <c r="H93" s="181"/>
      <c r="I93" s="198"/>
      <c r="J93" s="171"/>
      <c r="K93" s="185"/>
      <c r="L93" s="244"/>
      <c r="M93" s="243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</row>
    <row r="94" spans="1:102" s="103" customFormat="1" ht="108.75">
      <c r="A94" s="185" t="s">
        <v>568</v>
      </c>
      <c r="B94" s="181">
        <f>4460400/2</f>
        <v>2230200</v>
      </c>
      <c r="C94" s="181"/>
      <c r="D94" s="181"/>
      <c r="E94" s="181">
        <v>2230200</v>
      </c>
      <c r="F94" s="181"/>
      <c r="G94" s="181"/>
      <c r="H94" s="181"/>
      <c r="I94" s="198">
        <f t="shared" si="1"/>
        <v>4460400</v>
      </c>
      <c r="J94" s="171" t="s">
        <v>774</v>
      </c>
      <c r="K94" s="185" t="s">
        <v>298</v>
      </c>
      <c r="L94" s="244"/>
      <c r="M94" s="243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</row>
    <row r="95" spans="1:102" s="103" customFormat="1" ht="43.5">
      <c r="A95" s="185" t="s">
        <v>569</v>
      </c>
      <c r="B95" s="181">
        <f>5129100/10</f>
        <v>512910</v>
      </c>
      <c r="C95" s="181">
        <v>512910</v>
      </c>
      <c r="D95" s="181">
        <v>512910</v>
      </c>
      <c r="E95" s="181">
        <v>512910</v>
      </c>
      <c r="F95" s="181"/>
      <c r="G95" s="181">
        <f>512910*4</f>
        <v>2051640</v>
      </c>
      <c r="H95" s="181"/>
      <c r="I95" s="198">
        <f t="shared" si="1"/>
        <v>4103280</v>
      </c>
      <c r="J95" s="171" t="s">
        <v>774</v>
      </c>
      <c r="K95" s="185" t="s">
        <v>570</v>
      </c>
      <c r="L95" s="244"/>
      <c r="M95" s="243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</row>
    <row r="96" spans="1:102" s="103" customFormat="1" ht="43.5">
      <c r="A96" s="185" t="s">
        <v>571</v>
      </c>
      <c r="B96" s="181"/>
      <c r="C96" s="181"/>
      <c r="D96" s="181"/>
      <c r="E96" s="181"/>
      <c r="F96" s="181"/>
      <c r="G96" s="181"/>
      <c r="H96" s="181">
        <v>26041</v>
      </c>
      <c r="I96" s="198">
        <f t="shared" si="1"/>
        <v>26041</v>
      </c>
      <c r="J96" s="171" t="s">
        <v>43</v>
      </c>
      <c r="K96" s="185" t="s">
        <v>459</v>
      </c>
      <c r="L96" s="244"/>
      <c r="M96" s="243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</row>
    <row r="97" spans="1:102" s="103" customFormat="1" ht="43.5">
      <c r="A97" s="185" t="s">
        <v>572</v>
      </c>
      <c r="B97" s="181"/>
      <c r="C97" s="181"/>
      <c r="D97" s="181"/>
      <c r="E97" s="181"/>
      <c r="F97" s="181"/>
      <c r="G97" s="181"/>
      <c r="H97" s="181">
        <v>11866</v>
      </c>
      <c r="I97" s="198">
        <f t="shared" si="1"/>
        <v>11866</v>
      </c>
      <c r="J97" s="171" t="s">
        <v>43</v>
      </c>
      <c r="K97" s="185" t="s">
        <v>459</v>
      </c>
      <c r="L97" s="244"/>
      <c r="M97" s="243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</row>
    <row r="98" spans="1:102" s="103" customFormat="1" ht="43.5">
      <c r="A98" s="185" t="s">
        <v>573</v>
      </c>
      <c r="B98" s="181"/>
      <c r="C98" s="181"/>
      <c r="D98" s="181"/>
      <c r="E98" s="181"/>
      <c r="F98" s="181"/>
      <c r="G98" s="181"/>
      <c r="H98" s="181">
        <v>211476</v>
      </c>
      <c r="I98" s="198">
        <f t="shared" si="1"/>
        <v>211476</v>
      </c>
      <c r="J98" s="171" t="s">
        <v>43</v>
      </c>
      <c r="K98" s="185" t="s">
        <v>459</v>
      </c>
      <c r="L98" s="244"/>
      <c r="M98" s="243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</row>
    <row r="99" spans="1:102" s="103" customFormat="1" ht="43.5">
      <c r="A99" s="185" t="s">
        <v>574</v>
      </c>
      <c r="B99" s="181"/>
      <c r="C99" s="181"/>
      <c r="D99" s="181"/>
      <c r="E99" s="181"/>
      <c r="F99" s="181"/>
      <c r="G99" s="181"/>
      <c r="H99" s="181">
        <v>26000</v>
      </c>
      <c r="I99" s="198">
        <f t="shared" si="1"/>
        <v>26000</v>
      </c>
      <c r="J99" s="171" t="s">
        <v>43</v>
      </c>
      <c r="K99" s="185" t="s">
        <v>459</v>
      </c>
      <c r="L99" s="244"/>
      <c r="M99" s="243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</row>
    <row r="100" spans="1:102" s="103" customFormat="1" ht="43.5">
      <c r="A100" s="185" t="s">
        <v>575</v>
      </c>
      <c r="B100" s="181"/>
      <c r="C100" s="181"/>
      <c r="D100" s="181"/>
      <c r="E100" s="181"/>
      <c r="F100" s="181"/>
      <c r="G100" s="181"/>
      <c r="H100" s="181">
        <v>158800</v>
      </c>
      <c r="I100" s="198">
        <f t="shared" si="1"/>
        <v>158800</v>
      </c>
      <c r="J100" s="171" t="s">
        <v>43</v>
      </c>
      <c r="K100" s="185" t="s">
        <v>459</v>
      </c>
      <c r="L100" s="244"/>
      <c r="M100" s="243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</row>
    <row r="101" spans="1:102" s="103" customFormat="1" ht="43.5">
      <c r="A101" s="185" t="s">
        <v>576</v>
      </c>
      <c r="B101" s="181"/>
      <c r="C101" s="181"/>
      <c r="D101" s="181"/>
      <c r="E101" s="181"/>
      <c r="F101" s="181"/>
      <c r="G101" s="181"/>
      <c r="H101" s="181">
        <v>57522</v>
      </c>
      <c r="I101" s="198">
        <f t="shared" si="1"/>
        <v>57522</v>
      </c>
      <c r="J101" s="171" t="s">
        <v>43</v>
      </c>
      <c r="K101" s="185" t="s">
        <v>459</v>
      </c>
      <c r="L101" s="244"/>
      <c r="M101" s="243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</row>
    <row r="102" spans="1:102" s="103" customFormat="1" ht="21.75">
      <c r="A102" s="178" t="s">
        <v>604</v>
      </c>
      <c r="B102" s="181"/>
      <c r="C102" s="181"/>
      <c r="D102" s="181"/>
      <c r="E102" s="181"/>
      <c r="F102" s="181"/>
      <c r="G102" s="181"/>
      <c r="H102" s="181"/>
      <c r="I102" s="198"/>
      <c r="J102" s="171"/>
      <c r="K102" s="185"/>
      <c r="L102" s="244"/>
      <c r="M102" s="243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</row>
    <row r="103" spans="1:102" s="103" customFormat="1" ht="43.5">
      <c r="A103" s="185" t="s">
        <v>605</v>
      </c>
      <c r="B103" s="181"/>
      <c r="C103" s="181"/>
      <c r="D103" s="181"/>
      <c r="E103" s="181"/>
      <c r="F103" s="181"/>
      <c r="G103" s="181">
        <f>123900+87000+88000</f>
        <v>298900</v>
      </c>
      <c r="H103" s="181"/>
      <c r="I103" s="198">
        <f t="shared" si="1"/>
        <v>298900</v>
      </c>
      <c r="J103" s="171" t="s">
        <v>43</v>
      </c>
      <c r="K103" s="185" t="s">
        <v>524</v>
      </c>
      <c r="L103" s="244"/>
      <c r="M103" s="243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</row>
    <row r="104" spans="1:102" s="103" customFormat="1" ht="43.5">
      <c r="A104" s="185" t="s">
        <v>572</v>
      </c>
      <c r="B104" s="181"/>
      <c r="C104" s="181"/>
      <c r="D104" s="181"/>
      <c r="E104" s="181"/>
      <c r="F104" s="181"/>
      <c r="G104" s="181"/>
      <c r="H104" s="181">
        <v>12150</v>
      </c>
      <c r="I104" s="198">
        <f t="shared" si="1"/>
        <v>12150</v>
      </c>
      <c r="J104" s="171" t="s">
        <v>43</v>
      </c>
      <c r="K104" s="185" t="s">
        <v>459</v>
      </c>
      <c r="L104" s="244"/>
      <c r="M104" s="243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</row>
    <row r="105" spans="1:102" s="103" customFormat="1" ht="43.5">
      <c r="A105" s="185" t="s">
        <v>575</v>
      </c>
      <c r="B105" s="181"/>
      <c r="C105" s="181"/>
      <c r="D105" s="181"/>
      <c r="E105" s="181"/>
      <c r="F105" s="181"/>
      <c r="G105" s="181"/>
      <c r="H105" s="181">
        <v>80000</v>
      </c>
      <c r="I105" s="198">
        <f t="shared" si="1"/>
        <v>80000</v>
      </c>
      <c r="J105" s="171" t="s">
        <v>43</v>
      </c>
      <c r="K105" s="185" t="s">
        <v>459</v>
      </c>
      <c r="L105" s="244"/>
      <c r="M105" s="243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</row>
    <row r="106" spans="1:102" s="103" customFormat="1" ht="24" customHeight="1" hidden="1">
      <c r="A106" s="186" t="s">
        <v>239</v>
      </c>
      <c r="B106" s="181"/>
      <c r="C106" s="181"/>
      <c r="D106" s="181"/>
      <c r="E106" s="181"/>
      <c r="F106" s="181"/>
      <c r="G106" s="181"/>
      <c r="H106" s="184"/>
      <c r="I106" s="179">
        <f>SUM(B106:H106)</f>
        <v>0</v>
      </c>
      <c r="J106" s="185"/>
      <c r="K106" s="185"/>
      <c r="L106" s="617"/>
      <c r="M106" s="618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</row>
    <row r="107" spans="1:102" s="103" customFormat="1" ht="24" customHeight="1" hidden="1">
      <c r="A107" s="182" t="s">
        <v>126</v>
      </c>
      <c r="B107" s="181"/>
      <c r="C107" s="181"/>
      <c r="D107" s="181"/>
      <c r="E107" s="181"/>
      <c r="F107" s="619"/>
      <c r="G107" s="181"/>
      <c r="H107" s="184"/>
      <c r="I107" s="179">
        <f>SUM(B107:H107)</f>
        <v>0</v>
      </c>
      <c r="J107" s="185" t="s">
        <v>45</v>
      </c>
      <c r="K107" s="185" t="s">
        <v>120</v>
      </c>
      <c r="L107" s="617"/>
      <c r="M107" s="618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</row>
    <row r="108" spans="1:14" s="84" customFormat="1" ht="24" customHeight="1" thickBot="1">
      <c r="A108" s="187" t="s">
        <v>2</v>
      </c>
      <c r="B108" s="188">
        <f aca="true" t="shared" si="2" ref="B108:I108">SUM(B8:B105)</f>
        <v>29918045.98</v>
      </c>
      <c r="C108" s="188">
        <f t="shared" si="2"/>
        <v>8092193</v>
      </c>
      <c r="D108" s="188">
        <f t="shared" si="2"/>
        <v>12576961.620000001</v>
      </c>
      <c r="E108" s="188">
        <f t="shared" si="2"/>
        <v>9775580</v>
      </c>
      <c r="F108" s="188">
        <f t="shared" si="2"/>
        <v>7150539</v>
      </c>
      <c r="G108" s="188">
        <f t="shared" si="2"/>
        <v>69051017.15</v>
      </c>
      <c r="H108" s="188">
        <f t="shared" si="2"/>
        <v>763103.5</v>
      </c>
      <c r="I108" s="188">
        <f t="shared" si="2"/>
        <v>137327440.25</v>
      </c>
      <c r="J108" s="189"/>
      <c r="K108" s="189"/>
      <c r="L108" s="189"/>
      <c r="M108" s="243"/>
      <c r="N108" s="213"/>
    </row>
    <row r="109" spans="1:102" ht="22.5" thickTop="1">
      <c r="A109" s="176"/>
      <c r="B109" s="191"/>
      <c r="C109" s="191"/>
      <c r="D109" s="191"/>
      <c r="E109" s="191"/>
      <c r="F109" s="191"/>
      <c r="G109" s="192"/>
      <c r="H109" s="191"/>
      <c r="I109" s="193"/>
      <c r="J109" s="191"/>
      <c r="K109" s="191"/>
      <c r="L109" s="191"/>
      <c r="M109" s="191"/>
      <c r="N109" s="213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</row>
    <row r="110" spans="1:10" ht="21.75">
      <c r="A110" s="190"/>
      <c r="B110" s="398"/>
      <c r="C110" s="398"/>
      <c r="D110" s="398"/>
      <c r="E110" s="398"/>
      <c r="F110" s="398"/>
      <c r="G110" s="620"/>
      <c r="H110" s="398"/>
      <c r="I110" s="396"/>
      <c r="J110" s="113"/>
    </row>
    <row r="111" spans="2:9" ht="21.75">
      <c r="B111" s="70"/>
      <c r="C111" s="70"/>
      <c r="D111" s="70"/>
      <c r="E111" s="70"/>
      <c r="F111" s="70"/>
      <c r="G111" s="70"/>
      <c r="H111" s="70"/>
      <c r="I111" s="70"/>
    </row>
    <row r="112" spans="2:102" s="69" customFormat="1" ht="21.75">
      <c r="B112" s="70"/>
      <c r="G112" s="70"/>
      <c r="I112" s="113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</row>
    <row r="113" spans="9:102" s="69" customFormat="1" ht="21.75">
      <c r="I113" s="113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</row>
    <row r="114" ht="21.75"/>
    <row r="115" ht="21.75"/>
    <row r="116" ht="21.75"/>
    <row r="117" ht="21.75"/>
    <row r="118" ht="21.75"/>
    <row r="119" ht="21.75"/>
    <row r="120" ht="21.75"/>
    <row r="121" ht="21.75"/>
  </sheetData>
  <sheetProtection/>
  <mergeCells count="9">
    <mergeCell ref="A1:L1"/>
    <mergeCell ref="A2:L2"/>
    <mergeCell ref="A4:A5"/>
    <mergeCell ref="B4:G4"/>
    <mergeCell ref="H4:H5"/>
    <mergeCell ref="I4:I5"/>
    <mergeCell ref="J4:J5"/>
    <mergeCell ref="K4:K5"/>
    <mergeCell ref="L4:L5"/>
  </mergeCells>
  <printOptions horizontalCentered="1" verticalCentered="1"/>
  <pageMargins left="0" right="0" top="0.25" bottom="0.196850394" header="0.236220472440945" footer="0.15748031496063"/>
  <pageSetup horizontalDpi="600" verticalDpi="600" orientation="landscape" scale="70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showGridLines="0" zoomScalePageLayoutView="0" workbookViewId="0" topLeftCell="A1">
      <pane xSplit="1" ySplit="5" topLeftCell="B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3" sqref="A3"/>
    </sheetView>
  </sheetViews>
  <sheetFormatPr defaultColWidth="9.140625" defaultRowHeight="21.75"/>
  <cols>
    <col min="1" max="1" width="61.57421875" style="0" customWidth="1"/>
    <col min="2" max="2" width="9.140625" style="0" customWidth="1"/>
    <col min="3" max="3" width="10.28125" style="0" customWidth="1"/>
    <col min="4" max="5" width="9.421875" style="0" customWidth="1"/>
    <col min="6" max="6" width="12.421875" style="0" customWidth="1"/>
    <col min="7" max="7" width="17.8515625" style="0" customWidth="1"/>
    <col min="8" max="8" width="16.7109375" style="0" customWidth="1"/>
    <col min="9" max="9" width="12.8515625" style="0" customWidth="1"/>
    <col min="10" max="10" width="14.00390625" style="0" customWidth="1"/>
    <col min="11" max="11" width="15.00390625" style="0" customWidth="1"/>
  </cols>
  <sheetData>
    <row r="1" spans="1:11" ht="23.2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15" ht="24">
      <c r="A2" s="764" t="s">
        <v>358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217"/>
      <c r="M2" s="217"/>
      <c r="N2" s="217"/>
      <c r="O2" s="217"/>
    </row>
    <row r="3" spans="2:11" ht="21.75" customHeight="1"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21.75" customHeight="1">
      <c r="A4" s="765" t="s">
        <v>1</v>
      </c>
      <c r="B4" s="767" t="s">
        <v>13</v>
      </c>
      <c r="C4" s="768"/>
      <c r="D4" s="768"/>
      <c r="E4" s="768"/>
      <c r="F4" s="768"/>
      <c r="G4" s="769" t="s">
        <v>110</v>
      </c>
      <c r="H4" s="769" t="s">
        <v>14</v>
      </c>
      <c r="I4" s="765" t="s">
        <v>6</v>
      </c>
      <c r="J4" s="771" t="s">
        <v>7</v>
      </c>
      <c r="K4" s="771" t="s">
        <v>35</v>
      </c>
    </row>
    <row r="5" spans="1:11" ht="42" customHeight="1">
      <c r="A5" s="766"/>
      <c r="B5" s="23" t="s">
        <v>8</v>
      </c>
      <c r="C5" s="23" t="s">
        <v>9</v>
      </c>
      <c r="D5" s="23" t="s">
        <v>211</v>
      </c>
      <c r="E5" s="23" t="s">
        <v>10</v>
      </c>
      <c r="F5" s="118" t="s">
        <v>40</v>
      </c>
      <c r="G5" s="781"/>
      <c r="H5" s="781"/>
      <c r="I5" s="766"/>
      <c r="J5" s="782"/>
      <c r="K5" s="782"/>
    </row>
    <row r="6" spans="1:11" ht="21.75">
      <c r="A6" s="7" t="s">
        <v>177</v>
      </c>
      <c r="B6" s="58"/>
      <c r="C6" s="58"/>
      <c r="D6" s="58"/>
      <c r="E6" s="58"/>
      <c r="F6" s="58"/>
      <c r="G6" s="58"/>
      <c r="H6" s="58"/>
      <c r="I6" s="9"/>
      <c r="J6" s="9"/>
      <c r="K6" s="10"/>
    </row>
    <row r="7" spans="1:11" ht="21.75">
      <c r="A7" s="149" t="s">
        <v>178</v>
      </c>
      <c r="B7" s="59"/>
      <c r="C7" s="59"/>
      <c r="D7" s="59"/>
      <c r="E7" s="59"/>
      <c r="F7" s="59"/>
      <c r="G7" s="59"/>
      <c r="H7" s="59"/>
      <c r="I7" s="13"/>
      <c r="J7" s="13"/>
      <c r="K7" s="14"/>
    </row>
    <row r="8" spans="1:11" ht="69" customHeight="1">
      <c r="A8" s="161" t="s">
        <v>221</v>
      </c>
      <c r="B8" s="59"/>
      <c r="C8" s="40"/>
      <c r="D8" s="15"/>
      <c r="E8" s="14"/>
      <c r="F8" s="14"/>
      <c r="G8" s="40">
        <v>27150000</v>
      </c>
      <c r="H8" s="40">
        <f>SUM(B8:G8)</f>
        <v>27150000</v>
      </c>
      <c r="I8" s="495" t="s">
        <v>327</v>
      </c>
      <c r="J8" s="154" t="s">
        <v>179</v>
      </c>
      <c r="K8" s="197" t="s">
        <v>180</v>
      </c>
    </row>
    <row r="9" spans="1:11" ht="48.75" customHeight="1">
      <c r="A9" s="161" t="s">
        <v>313</v>
      </c>
      <c r="B9" s="65"/>
      <c r="C9" s="65"/>
      <c r="D9" s="65"/>
      <c r="E9" s="65"/>
      <c r="F9" s="65"/>
      <c r="G9" s="496">
        <v>30986200</v>
      </c>
      <c r="H9" s="29">
        <f>SUM(B9:G9)</f>
        <v>30986200</v>
      </c>
      <c r="I9" s="495" t="s">
        <v>327</v>
      </c>
      <c r="J9" s="154" t="s">
        <v>179</v>
      </c>
      <c r="K9" s="197" t="s">
        <v>180</v>
      </c>
    </row>
    <row r="10" spans="1:11" ht="28.5" customHeight="1">
      <c r="A10" s="161" t="s">
        <v>223</v>
      </c>
      <c r="B10" s="65"/>
      <c r="C10" s="65"/>
      <c r="D10" s="65"/>
      <c r="E10" s="65"/>
      <c r="F10" s="65"/>
      <c r="G10" s="496">
        <v>132000000</v>
      </c>
      <c r="H10" s="29">
        <f>SUM(B10:G10)</f>
        <v>132000000</v>
      </c>
      <c r="I10" s="495" t="s">
        <v>327</v>
      </c>
      <c r="J10" s="154" t="s">
        <v>222</v>
      </c>
      <c r="K10" s="197" t="s">
        <v>105</v>
      </c>
    </row>
    <row r="11" spans="1:11" ht="48" customHeight="1">
      <c r="A11" s="161" t="s">
        <v>224</v>
      </c>
      <c r="B11" s="29"/>
      <c r="C11" s="29"/>
      <c r="D11" s="29"/>
      <c r="E11" s="29"/>
      <c r="F11" s="29"/>
      <c r="G11" s="497">
        <f>1864743250*85%</f>
        <v>1585031762.5</v>
      </c>
      <c r="H11" s="29">
        <f>SUM(B11:G11)</f>
        <v>1585031762.5</v>
      </c>
      <c r="I11" s="495" t="s">
        <v>327</v>
      </c>
      <c r="J11" s="154" t="s">
        <v>225</v>
      </c>
      <c r="K11" s="197" t="s">
        <v>105</v>
      </c>
    </row>
    <row r="12" spans="1:11" ht="21.75">
      <c r="A12" s="161"/>
      <c r="B12" s="29"/>
      <c r="C12" s="67"/>
      <c r="D12" s="67"/>
      <c r="E12" s="67"/>
      <c r="F12" s="67"/>
      <c r="G12" s="67"/>
      <c r="H12" s="29"/>
      <c r="I12" s="150"/>
      <c r="J12" s="150"/>
      <c r="K12" s="293"/>
    </row>
    <row r="13" spans="1:11" ht="21.75">
      <c r="A13" s="161"/>
      <c r="B13" s="29"/>
      <c r="C13" s="67"/>
      <c r="D13" s="67"/>
      <c r="E13" s="67"/>
      <c r="F13" s="67"/>
      <c r="G13" s="67"/>
      <c r="H13" s="29"/>
      <c r="I13" s="150"/>
      <c r="J13" s="150"/>
      <c r="K13" s="111"/>
    </row>
    <row r="14" spans="1:11" ht="22.5" thickBot="1">
      <c r="A14" s="19" t="s">
        <v>2</v>
      </c>
      <c r="B14" s="61">
        <f>SUM(B8:B13)</f>
        <v>0</v>
      </c>
      <c r="C14" s="61">
        <f>SUM(C8:C13)</f>
        <v>0</v>
      </c>
      <c r="D14" s="61">
        <f>SUM(D8:D13)</f>
        <v>0</v>
      </c>
      <c r="E14" s="61"/>
      <c r="F14" s="61">
        <f>SUM(F8:F13)</f>
        <v>0</v>
      </c>
      <c r="G14" s="61">
        <f>SUM(G8:G13)</f>
        <v>1775167962.5</v>
      </c>
      <c r="H14" s="61">
        <f>SUM(H6:H13)</f>
        <v>1775167962.5</v>
      </c>
      <c r="I14" s="21"/>
      <c r="J14" s="21"/>
      <c r="K14" s="21"/>
    </row>
    <row r="15" spans="1:11" ht="22.5" thickTop="1">
      <c r="A15" s="36"/>
      <c r="B15" s="43"/>
      <c r="C15" s="36"/>
      <c r="D15" s="36"/>
      <c r="E15" s="36"/>
      <c r="F15" s="36"/>
      <c r="G15" s="36"/>
      <c r="H15" s="36"/>
      <c r="I15" s="36"/>
      <c r="J15" s="36"/>
      <c r="K15" s="36"/>
    </row>
    <row r="16" spans="1:10" ht="21.75">
      <c r="A16" s="37"/>
      <c r="G16" s="1"/>
      <c r="H16" s="30"/>
      <c r="J16" s="57"/>
    </row>
    <row r="17" ht="21.75">
      <c r="G17" s="584"/>
    </row>
    <row r="18" ht="21.75">
      <c r="G18" s="584"/>
    </row>
    <row r="19" ht="21.75">
      <c r="G19" s="327"/>
    </row>
  </sheetData>
  <sheetProtection/>
  <mergeCells count="9">
    <mergeCell ref="A1:K1"/>
    <mergeCell ref="A2:K2"/>
    <mergeCell ref="A4:A5"/>
    <mergeCell ref="B4:F4"/>
    <mergeCell ref="G4:G5"/>
    <mergeCell ref="H4:H5"/>
    <mergeCell ref="I4:I5"/>
    <mergeCell ref="J4:J5"/>
    <mergeCell ref="K4:K5"/>
  </mergeCells>
  <printOptions/>
  <pageMargins left="0.433070866141732" right="0" top="1.246062992" bottom="0.15748031496063" header="0.78740157480315" footer="0.15748031496063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5"/>
  </sheetPr>
  <dimension ref="A1:P21"/>
  <sheetViews>
    <sheetView showGridLines="0" zoomScalePageLayoutView="0" workbookViewId="0" topLeftCell="A1">
      <pane xSplit="1" ySplit="5" topLeftCell="B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L10" sqref="L10"/>
    </sheetView>
  </sheetViews>
  <sheetFormatPr defaultColWidth="9.140625" defaultRowHeight="21.75"/>
  <cols>
    <col min="1" max="1" width="50.00390625" style="0" customWidth="1"/>
    <col min="2" max="2" width="8.7109375" style="0" customWidth="1"/>
    <col min="3" max="3" width="10.140625" style="0" customWidth="1"/>
    <col min="4" max="4" width="8.421875" style="0" customWidth="1"/>
    <col min="5" max="6" width="9.28125" style="0" customWidth="1"/>
    <col min="7" max="7" width="11.7109375" style="0" customWidth="1"/>
    <col min="8" max="8" width="14.140625" style="0" customWidth="1"/>
    <col min="9" max="9" width="15.00390625" style="0" customWidth="1"/>
    <col min="10" max="10" width="13.140625" style="0" customWidth="1"/>
    <col min="11" max="11" width="13.421875" style="0" customWidth="1"/>
    <col min="12" max="12" width="16.00390625" style="0" customWidth="1"/>
  </cols>
  <sheetData>
    <row r="1" spans="1:12" ht="23.2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</row>
    <row r="2" spans="1:16" ht="24">
      <c r="A2" s="764" t="s">
        <v>358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64"/>
      <c r="N2" s="64"/>
      <c r="O2" s="64"/>
      <c r="P2" s="64"/>
    </row>
    <row r="3" spans="2:12" ht="21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21.75" customHeight="1">
      <c r="A4" s="765" t="s">
        <v>1</v>
      </c>
      <c r="B4" s="767" t="s">
        <v>13</v>
      </c>
      <c r="C4" s="768"/>
      <c r="D4" s="768"/>
      <c r="E4" s="768"/>
      <c r="F4" s="116"/>
      <c r="G4" s="328"/>
      <c r="H4" s="769" t="s">
        <v>110</v>
      </c>
      <c r="I4" s="769" t="s">
        <v>14</v>
      </c>
      <c r="J4" s="765" t="s">
        <v>6</v>
      </c>
      <c r="K4" s="771" t="s">
        <v>7</v>
      </c>
      <c r="L4" s="771" t="s">
        <v>35</v>
      </c>
    </row>
    <row r="5" spans="1:12" ht="42" customHeight="1">
      <c r="A5" s="766"/>
      <c r="B5" s="23" t="s">
        <v>8</v>
      </c>
      <c r="C5" s="23" t="s">
        <v>9</v>
      </c>
      <c r="D5" s="23" t="s">
        <v>211</v>
      </c>
      <c r="E5" s="23" t="s">
        <v>10</v>
      </c>
      <c r="F5" s="23" t="s">
        <v>23</v>
      </c>
      <c r="G5" s="118" t="s">
        <v>40</v>
      </c>
      <c r="H5" s="781"/>
      <c r="I5" s="781"/>
      <c r="J5" s="766"/>
      <c r="K5" s="782"/>
      <c r="L5" s="782"/>
    </row>
    <row r="6" spans="1:12" ht="21.75">
      <c r="A6" s="7" t="s">
        <v>265</v>
      </c>
      <c r="B6" s="58"/>
      <c r="C6" s="58"/>
      <c r="D6" s="58"/>
      <c r="E6" s="58"/>
      <c r="F6" s="58"/>
      <c r="G6" s="58"/>
      <c r="H6" s="58"/>
      <c r="I6" s="58"/>
      <c r="J6" s="9"/>
      <c r="K6" s="9"/>
      <c r="L6" s="10"/>
    </row>
    <row r="7" spans="1:12" ht="21.75">
      <c r="A7" s="149" t="s">
        <v>263</v>
      </c>
      <c r="B7" s="59"/>
      <c r="C7" s="59"/>
      <c r="D7" s="59"/>
      <c r="E7" s="59"/>
      <c r="F7" s="59"/>
      <c r="G7" s="59"/>
      <c r="H7" s="59"/>
      <c r="I7" s="59"/>
      <c r="J7" s="13"/>
      <c r="K7" s="13"/>
      <c r="L7" s="14"/>
    </row>
    <row r="8" spans="1:12" ht="87">
      <c r="A8" s="161" t="s">
        <v>594</v>
      </c>
      <c r="B8" s="59"/>
      <c r="C8" s="59"/>
      <c r="D8" s="59"/>
      <c r="E8" s="59"/>
      <c r="F8" s="59"/>
      <c r="G8" s="40"/>
      <c r="H8" s="40">
        <v>5399508.58</v>
      </c>
      <c r="I8" s="40">
        <f>SUM(B8:H8)</f>
        <v>5399508.58</v>
      </c>
      <c r="J8" s="154" t="s">
        <v>43</v>
      </c>
      <c r="K8" s="154" t="s">
        <v>268</v>
      </c>
      <c r="L8" s="197" t="s">
        <v>105</v>
      </c>
    </row>
    <row r="9" spans="1:12" ht="65.25">
      <c r="A9" s="185" t="s">
        <v>599</v>
      </c>
      <c r="B9" s="59"/>
      <c r="C9" s="59"/>
      <c r="D9" s="59"/>
      <c r="E9" s="59"/>
      <c r="F9" s="59"/>
      <c r="G9" s="59"/>
      <c r="H9" s="40">
        <f>9500*33.9</f>
        <v>322050</v>
      </c>
      <c r="I9" s="40">
        <f>SUM(B9:H9)</f>
        <v>322050</v>
      </c>
      <c r="J9" s="201" t="s">
        <v>267</v>
      </c>
      <c r="K9" s="154" t="s">
        <v>143</v>
      </c>
      <c r="L9" s="197" t="s">
        <v>180</v>
      </c>
    </row>
    <row r="10" spans="1:12" ht="65.25">
      <c r="A10" s="185" t="s">
        <v>596</v>
      </c>
      <c r="B10" s="440"/>
      <c r="C10" s="440"/>
      <c r="D10" s="440"/>
      <c r="E10" s="440"/>
      <c r="F10" s="440"/>
      <c r="G10" s="207"/>
      <c r="H10" s="165">
        <f>50000*33.9</f>
        <v>1695000</v>
      </c>
      <c r="I10" s="40">
        <f>SUM(B10:H10)</f>
        <v>1695000</v>
      </c>
      <c r="J10" s="201" t="s">
        <v>267</v>
      </c>
      <c r="K10" s="154" t="s">
        <v>143</v>
      </c>
      <c r="L10" s="154" t="s">
        <v>105</v>
      </c>
    </row>
    <row r="11" spans="1:12" ht="21.75">
      <c r="A11" s="149" t="s">
        <v>597</v>
      </c>
      <c r="B11" s="440"/>
      <c r="C11" s="440"/>
      <c r="D11" s="440"/>
      <c r="E11" s="440"/>
      <c r="F11" s="440"/>
      <c r="G11" s="199"/>
      <c r="H11" s="440"/>
      <c r="I11" s="59">
        <f>SUM(B11:H11)</f>
        <v>0</v>
      </c>
      <c r="J11" s="201"/>
      <c r="K11" s="150"/>
      <c r="L11" s="154"/>
    </row>
    <row r="12" spans="1:12" ht="152.25">
      <c r="A12" s="185" t="s">
        <v>598</v>
      </c>
      <c r="B12" s="440"/>
      <c r="C12" s="440"/>
      <c r="D12" s="440"/>
      <c r="E12" s="440"/>
      <c r="F12" s="440"/>
      <c r="G12" s="407">
        <f>354460.7</f>
        <v>354460.7</v>
      </c>
      <c r="H12" s="440"/>
      <c r="I12" s="40">
        <f>SUM(B12:H12)</f>
        <v>354460.7</v>
      </c>
      <c r="J12" s="201" t="s">
        <v>267</v>
      </c>
      <c r="K12" s="154" t="s">
        <v>685</v>
      </c>
      <c r="L12" s="154"/>
    </row>
    <row r="13" spans="1:12" ht="21.75">
      <c r="A13" s="149" t="s">
        <v>600</v>
      </c>
      <c r="B13" s="440"/>
      <c r="C13" s="440"/>
      <c r="D13" s="440"/>
      <c r="E13" s="440"/>
      <c r="F13" s="440"/>
      <c r="G13" s="407"/>
      <c r="H13" s="440"/>
      <c r="I13" s="59"/>
      <c r="J13" s="201"/>
      <c r="K13" s="150"/>
      <c r="L13" s="154"/>
    </row>
    <row r="14" spans="1:12" ht="65.25">
      <c r="A14" s="185" t="s">
        <v>601</v>
      </c>
      <c r="B14" s="440"/>
      <c r="C14" s="440"/>
      <c r="D14" s="440"/>
      <c r="E14" s="440"/>
      <c r="F14" s="165">
        <v>4994</v>
      </c>
      <c r="G14" s="407">
        <f>3379+4994+4889</f>
        <v>13262</v>
      </c>
      <c r="H14" s="440"/>
      <c r="I14" s="40">
        <f>SUM(B14:H14)</f>
        <v>18256</v>
      </c>
      <c r="J14" s="201" t="s">
        <v>602</v>
      </c>
      <c r="K14" s="150" t="s">
        <v>603</v>
      </c>
      <c r="L14" s="154"/>
    </row>
    <row r="15" spans="1:12" ht="65.25">
      <c r="A15" s="161" t="s">
        <v>595</v>
      </c>
      <c r="B15" s="59"/>
      <c r="C15" s="59"/>
      <c r="D15" s="59"/>
      <c r="E15" s="59"/>
      <c r="F15" s="59"/>
      <c r="G15" s="40"/>
      <c r="H15" s="40">
        <v>10902.5</v>
      </c>
      <c r="I15" s="40">
        <f>SUM(B15:H15)</f>
        <v>10902.5</v>
      </c>
      <c r="J15" s="154" t="s">
        <v>266</v>
      </c>
      <c r="K15" s="154"/>
      <c r="L15" s="14"/>
    </row>
    <row r="16" spans="1:12" ht="21.75">
      <c r="A16" s="185"/>
      <c r="B16" s="440"/>
      <c r="C16" s="440"/>
      <c r="D16" s="440"/>
      <c r="E16" s="440"/>
      <c r="F16" s="440"/>
      <c r="G16" s="440"/>
      <c r="H16" s="40"/>
      <c r="I16" s="40"/>
      <c r="J16" s="201"/>
      <c r="K16" s="154"/>
      <c r="L16" s="154"/>
    </row>
    <row r="17" spans="1:12" ht="22.5" thickBot="1">
      <c r="A17" s="19" t="s">
        <v>2</v>
      </c>
      <c r="B17" s="61">
        <f>SUM(B9:B16)</f>
        <v>0</v>
      </c>
      <c r="C17" s="61">
        <f>SUM(C9:C16)</f>
        <v>0</v>
      </c>
      <c r="D17" s="61">
        <f>SUM(D9:D16)</f>
        <v>0</v>
      </c>
      <c r="E17" s="61">
        <f>SUM(E9:E16)</f>
        <v>0</v>
      </c>
      <c r="F17" s="61">
        <f>SUM(F8:F16)</f>
        <v>4994</v>
      </c>
      <c r="G17" s="61">
        <f>SUM(G6:G16)</f>
        <v>367722.7</v>
      </c>
      <c r="H17" s="61">
        <f>SUM(H6:H16)</f>
        <v>7427461.08</v>
      </c>
      <c r="I17" s="61">
        <f>SUM(I6:I16)</f>
        <v>7800177.78</v>
      </c>
      <c r="J17" s="21"/>
      <c r="K17" s="21"/>
      <c r="L17" s="21"/>
    </row>
    <row r="18" spans="1:12" ht="22.5" thickTop="1">
      <c r="A18" s="36"/>
      <c r="B18" s="43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1" ht="21.75">
      <c r="A19" s="37"/>
      <c r="G19" s="30"/>
      <c r="K19" s="57"/>
    </row>
    <row r="20" spans="1:11" ht="21.75">
      <c r="A20" s="37"/>
      <c r="K20" s="57"/>
    </row>
    <row r="21" ht="21.75">
      <c r="P21" s="251"/>
    </row>
  </sheetData>
  <sheetProtection/>
  <mergeCells count="9">
    <mergeCell ref="A1:L1"/>
    <mergeCell ref="A2:L2"/>
    <mergeCell ref="A4:A5"/>
    <mergeCell ref="B4:E4"/>
    <mergeCell ref="H4:H5"/>
    <mergeCell ref="I4:I5"/>
    <mergeCell ref="J4:J5"/>
    <mergeCell ref="K4:K5"/>
    <mergeCell ref="L4:L5"/>
  </mergeCells>
  <printOptions/>
  <pageMargins left="0.933070866" right="0" top="1.49606299212598" bottom="0.15748031496063" header="0.78740157480315" footer="0.15748031496063"/>
  <pageSetup horizontalDpi="600" verticalDpi="600" orientation="landscape" paperSize="9" scale="80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50"/>
  <sheetViews>
    <sheetView showGridLines="0" zoomScalePageLayoutView="0" workbookViewId="0" topLeftCell="A1">
      <pane xSplit="1" ySplit="5" topLeftCell="B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D12" sqref="D12"/>
    </sheetView>
  </sheetViews>
  <sheetFormatPr defaultColWidth="9.140625" defaultRowHeight="21.75"/>
  <cols>
    <col min="1" max="1" width="63.57421875" style="0" customWidth="1"/>
    <col min="2" max="2" width="13.00390625" style="0" customWidth="1"/>
    <col min="3" max="4" width="12.8515625" style="0" customWidth="1"/>
    <col min="5" max="5" width="10.28125" style="0" customWidth="1"/>
    <col min="6" max="6" width="11.57421875" style="0" customWidth="1"/>
    <col min="7" max="7" width="13.57421875" style="0" customWidth="1"/>
    <col min="8" max="8" width="17.00390625" style="0" customWidth="1"/>
    <col min="9" max="9" width="16.28125" style="0" customWidth="1"/>
    <col min="10" max="10" width="10.28125" style="0" customWidth="1"/>
    <col min="11" max="11" width="12.28125" style="0" customWidth="1"/>
    <col min="12" max="12" width="14.140625" style="0" customWidth="1"/>
  </cols>
  <sheetData>
    <row r="1" spans="1:12" ht="23.2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</row>
    <row r="2" spans="1:16" ht="24">
      <c r="A2" s="764" t="s">
        <v>358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64"/>
      <c r="N2" s="64"/>
      <c r="O2" s="64"/>
      <c r="P2" s="64"/>
    </row>
    <row r="3" spans="2:12" ht="21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21.75" customHeight="1">
      <c r="A4" s="765" t="s">
        <v>1</v>
      </c>
      <c r="B4" s="767" t="s">
        <v>13</v>
      </c>
      <c r="C4" s="768"/>
      <c r="D4" s="768"/>
      <c r="E4" s="768"/>
      <c r="F4" s="768"/>
      <c r="G4" s="768"/>
      <c r="H4" s="769" t="s">
        <v>110</v>
      </c>
      <c r="I4" s="769" t="s">
        <v>14</v>
      </c>
      <c r="J4" s="765" t="s">
        <v>6</v>
      </c>
      <c r="K4" s="771" t="s">
        <v>7</v>
      </c>
      <c r="L4" s="771" t="s">
        <v>35</v>
      </c>
    </row>
    <row r="5" spans="1:12" ht="42" customHeight="1">
      <c r="A5" s="766"/>
      <c r="B5" s="23" t="s">
        <v>8</v>
      </c>
      <c r="C5" s="23" t="s">
        <v>9</v>
      </c>
      <c r="D5" s="23" t="s">
        <v>193</v>
      </c>
      <c r="E5" s="23" t="s">
        <v>10</v>
      </c>
      <c r="F5" s="23" t="s">
        <v>23</v>
      </c>
      <c r="G5" s="118" t="s">
        <v>40</v>
      </c>
      <c r="H5" s="781"/>
      <c r="I5" s="781"/>
      <c r="J5" s="766"/>
      <c r="K5" s="782"/>
      <c r="L5" s="782"/>
    </row>
    <row r="6" spans="1:12" ht="21.75">
      <c r="A6" s="7" t="s">
        <v>207</v>
      </c>
      <c r="B6" s="58"/>
      <c r="C6" s="58"/>
      <c r="D6" s="58"/>
      <c r="E6" s="58"/>
      <c r="F6" s="58"/>
      <c r="G6" s="58"/>
      <c r="H6" s="58"/>
      <c r="I6" s="58"/>
      <c r="J6" s="9"/>
      <c r="K6" s="9"/>
      <c r="L6" s="10"/>
    </row>
    <row r="7" spans="1:12" ht="21.75">
      <c r="A7" s="149" t="s">
        <v>317</v>
      </c>
      <c r="B7" s="59"/>
      <c r="C7" s="59"/>
      <c r="D7" s="59"/>
      <c r="E7" s="59"/>
      <c r="F7" s="59"/>
      <c r="G7" s="59"/>
      <c r="H7" s="59"/>
      <c r="I7" s="59"/>
      <c r="J7" s="13"/>
      <c r="K7" s="13"/>
      <c r="L7" s="14"/>
    </row>
    <row r="8" spans="1:12" ht="43.5">
      <c r="A8" s="161" t="s">
        <v>278</v>
      </c>
      <c r="B8" s="59">
        <f>958333.33</f>
        <v>958333.33</v>
      </c>
      <c r="C8" s="59">
        <f>2875000/3</f>
        <v>958333.3333333334</v>
      </c>
      <c r="D8" s="59">
        <v>958333.34</v>
      </c>
      <c r="E8" s="339"/>
      <c r="F8" s="339"/>
      <c r="G8" s="339"/>
      <c r="H8" s="40"/>
      <c r="I8" s="40">
        <f>SUM(B8:H8)</f>
        <v>2875000.0033333334</v>
      </c>
      <c r="J8" s="154" t="s">
        <v>185</v>
      </c>
      <c r="K8" s="154" t="s">
        <v>201</v>
      </c>
      <c r="L8" s="197" t="s">
        <v>37</v>
      </c>
    </row>
    <row r="9" spans="1:12" ht="65.25">
      <c r="A9" s="161" t="s">
        <v>706</v>
      </c>
      <c r="B9" s="40">
        <v>500000</v>
      </c>
      <c r="C9" s="59"/>
      <c r="D9" s="59"/>
      <c r="E9" s="339"/>
      <c r="F9" s="339"/>
      <c r="G9" s="339"/>
      <c r="H9" s="40"/>
      <c r="I9" s="40">
        <f>SUM(B9:H9)</f>
        <v>500000</v>
      </c>
      <c r="J9" s="154" t="s">
        <v>185</v>
      </c>
      <c r="K9" s="154" t="s">
        <v>201</v>
      </c>
      <c r="L9" s="197" t="s">
        <v>37</v>
      </c>
    </row>
    <row r="10" spans="1:12" ht="43.5">
      <c r="A10" s="161" t="s">
        <v>642</v>
      </c>
      <c r="B10" s="59"/>
      <c r="C10" s="40"/>
      <c r="D10" s="339"/>
      <c r="E10" s="339"/>
      <c r="F10" s="339"/>
      <c r="G10" s="339">
        <v>411800</v>
      </c>
      <c r="H10" s="40"/>
      <c r="I10" s="40">
        <f>SUM(B10:H10)</f>
        <v>411800</v>
      </c>
      <c r="J10" s="154" t="s">
        <v>185</v>
      </c>
      <c r="K10" s="154" t="s">
        <v>55</v>
      </c>
      <c r="L10" s="197" t="s">
        <v>643</v>
      </c>
    </row>
    <row r="11" spans="1:12" ht="38.25" customHeight="1">
      <c r="A11" s="585" t="s">
        <v>641</v>
      </c>
      <c r="B11" s="59"/>
      <c r="C11" s="40"/>
      <c r="D11" s="339"/>
      <c r="E11" s="339"/>
      <c r="F11" s="339"/>
      <c r="G11" s="339">
        <v>411900</v>
      </c>
      <c r="H11" s="40"/>
      <c r="I11" s="40">
        <f aca="true" t="shared" si="0" ref="I11:I17">SUM(B11:H11)</f>
        <v>411900</v>
      </c>
      <c r="J11" s="154" t="s">
        <v>185</v>
      </c>
      <c r="K11" s="154" t="s">
        <v>55</v>
      </c>
      <c r="L11" s="197" t="s">
        <v>643</v>
      </c>
    </row>
    <row r="12" spans="1:12" ht="24" customHeight="1">
      <c r="A12" s="446" t="s">
        <v>316</v>
      </c>
      <c r="B12" s="59"/>
      <c r="C12" s="40"/>
      <c r="D12" s="339"/>
      <c r="E12" s="339"/>
      <c r="F12" s="339"/>
      <c r="G12" s="339"/>
      <c r="H12" s="40"/>
      <c r="I12" s="40"/>
      <c r="J12" s="154"/>
      <c r="K12" s="201"/>
      <c r="L12" s="197"/>
    </row>
    <row r="13" spans="1:12" ht="87">
      <c r="A13" s="161" t="s">
        <v>634</v>
      </c>
      <c r="B13" s="59"/>
      <c r="C13" s="40">
        <v>343506.94</v>
      </c>
      <c r="D13" s="339"/>
      <c r="E13" s="339"/>
      <c r="F13" s="339"/>
      <c r="G13" s="339"/>
      <c r="H13" s="40"/>
      <c r="I13" s="40">
        <f t="shared" si="0"/>
        <v>343506.94</v>
      </c>
      <c r="J13" s="154" t="s">
        <v>185</v>
      </c>
      <c r="K13" s="154" t="s">
        <v>135</v>
      </c>
      <c r="L13" s="197" t="s">
        <v>644</v>
      </c>
    </row>
    <row r="14" spans="1:12" ht="21.75">
      <c r="A14" s="446" t="s">
        <v>280</v>
      </c>
      <c r="B14" s="59"/>
      <c r="C14" s="40"/>
      <c r="D14" s="339"/>
      <c r="E14" s="339"/>
      <c r="F14" s="339"/>
      <c r="G14" s="339"/>
      <c r="H14" s="40"/>
      <c r="I14" s="40"/>
      <c r="J14" s="154"/>
      <c r="K14" s="154"/>
      <c r="L14" s="197"/>
    </row>
    <row r="15" spans="1:12" ht="43.5">
      <c r="A15" s="161" t="s">
        <v>281</v>
      </c>
      <c r="B15" s="40"/>
      <c r="C15" s="40"/>
      <c r="D15" s="339"/>
      <c r="E15" s="339"/>
      <c r="F15" s="339"/>
      <c r="G15" s="339"/>
      <c r="H15" s="40">
        <v>826200</v>
      </c>
      <c r="I15" s="40">
        <f t="shared" si="0"/>
        <v>826200</v>
      </c>
      <c r="J15" s="154" t="s">
        <v>43</v>
      </c>
      <c r="K15" s="154" t="s">
        <v>279</v>
      </c>
      <c r="L15" s="283" t="s">
        <v>105</v>
      </c>
    </row>
    <row r="16" spans="1:12" ht="27" customHeight="1">
      <c r="A16" s="161" t="s">
        <v>282</v>
      </c>
      <c r="B16" s="59"/>
      <c r="C16" s="40"/>
      <c r="D16" s="339"/>
      <c r="E16" s="339"/>
      <c r="F16" s="339"/>
      <c r="G16" s="339"/>
      <c r="H16" s="40">
        <v>2201419.27</v>
      </c>
      <c r="I16" s="40">
        <f t="shared" si="0"/>
        <v>2201419.27</v>
      </c>
      <c r="J16" s="154" t="s">
        <v>43</v>
      </c>
      <c r="K16" s="154" t="s">
        <v>279</v>
      </c>
      <c r="L16" s="283" t="s">
        <v>105</v>
      </c>
    </row>
    <row r="17" spans="1:12" ht="23.25" customHeight="1">
      <c r="A17" s="161" t="s">
        <v>283</v>
      </c>
      <c r="B17" s="341"/>
      <c r="C17" s="341"/>
      <c r="D17" s="342"/>
      <c r="E17" s="340"/>
      <c r="F17" s="340"/>
      <c r="G17" s="340"/>
      <c r="H17" s="330">
        <f>2204900+1020000</f>
        <v>3224900</v>
      </c>
      <c r="I17" s="169">
        <f t="shared" si="0"/>
        <v>3224900</v>
      </c>
      <c r="J17" s="154" t="s">
        <v>43</v>
      </c>
      <c r="K17" s="154" t="s">
        <v>279</v>
      </c>
      <c r="L17" s="283" t="s">
        <v>105</v>
      </c>
    </row>
    <row r="18" spans="1:18" ht="43.5">
      <c r="A18" s="161" t="s">
        <v>284</v>
      </c>
      <c r="B18" s="28"/>
      <c r="C18" s="29"/>
      <c r="D18" s="29"/>
      <c r="E18" s="29"/>
      <c r="F18" s="29"/>
      <c r="G18" s="29"/>
      <c r="H18" s="29">
        <f>426046+427520</f>
        <v>853566</v>
      </c>
      <c r="I18" s="169">
        <f>SUM(B18:H18)</f>
        <v>853566</v>
      </c>
      <c r="J18" s="154" t="s">
        <v>43</v>
      </c>
      <c r="K18" s="154" t="s">
        <v>279</v>
      </c>
      <c r="L18" s="283" t="s">
        <v>105</v>
      </c>
      <c r="P18">
        <f>779043-762676</f>
        <v>16367</v>
      </c>
      <c r="R18">
        <v>213365</v>
      </c>
    </row>
    <row r="19" spans="1:18" ht="43.5">
      <c r="A19" s="161" t="s">
        <v>285</v>
      </c>
      <c r="B19" s="29"/>
      <c r="C19" s="29"/>
      <c r="D19" s="29"/>
      <c r="E19" s="29"/>
      <c r="F19" s="29"/>
      <c r="G19" s="29"/>
      <c r="H19" s="29">
        <f>101798100+1122000</f>
        <v>102920100</v>
      </c>
      <c r="I19" s="29">
        <f>SUM(B19:H19)</f>
        <v>102920100</v>
      </c>
      <c r="J19" s="154" t="s">
        <v>43</v>
      </c>
      <c r="K19" s="154" t="s">
        <v>279</v>
      </c>
      <c r="L19" s="283" t="s">
        <v>105</v>
      </c>
      <c r="R19">
        <v>16723</v>
      </c>
    </row>
    <row r="20" spans="1:12" ht="21.75" hidden="1">
      <c r="A20" s="161" t="s">
        <v>286</v>
      </c>
      <c r="B20" s="59"/>
      <c r="C20" s="59"/>
      <c r="D20" s="59"/>
      <c r="E20" s="59"/>
      <c r="F20" s="59"/>
      <c r="G20" s="59"/>
      <c r="H20" s="29"/>
      <c r="I20" s="40"/>
      <c r="J20" s="154"/>
      <c r="K20" s="154"/>
      <c r="L20" s="283"/>
    </row>
    <row r="21" spans="1:18" ht="43.5">
      <c r="A21" s="161" t="s">
        <v>287</v>
      </c>
      <c r="B21" s="29"/>
      <c r="C21" s="29"/>
      <c r="D21" s="29"/>
      <c r="E21" s="29"/>
      <c r="F21" s="29"/>
      <c r="G21" s="29"/>
      <c r="H21" s="59">
        <v>679057.92</v>
      </c>
      <c r="I21" s="29">
        <f>SUM(B21:H21)</f>
        <v>679057.92</v>
      </c>
      <c r="J21" s="154" t="s">
        <v>43</v>
      </c>
      <c r="K21" s="154" t="s">
        <v>279</v>
      </c>
      <c r="L21" s="283" t="s">
        <v>105</v>
      </c>
      <c r="R21">
        <v>93866</v>
      </c>
    </row>
    <row r="22" spans="1:12" ht="21.75">
      <c r="A22" s="446" t="s">
        <v>318</v>
      </c>
      <c r="B22" s="29"/>
      <c r="C22" s="29"/>
      <c r="D22" s="29"/>
      <c r="E22" s="29"/>
      <c r="F22" s="29"/>
      <c r="G22" s="29"/>
      <c r="H22" s="59"/>
      <c r="I22" s="29"/>
      <c r="J22" s="154"/>
      <c r="K22" s="154"/>
      <c r="L22" s="283"/>
    </row>
    <row r="23" spans="1:12" ht="65.25">
      <c r="A23" s="161" t="s">
        <v>652</v>
      </c>
      <c r="B23" s="29"/>
      <c r="C23" s="29"/>
      <c r="D23" s="29"/>
      <c r="E23" s="29"/>
      <c r="F23" s="29"/>
      <c r="G23" s="29"/>
      <c r="H23" s="29">
        <v>80453</v>
      </c>
      <c r="I23" s="29">
        <f>SUM(B23:H23)</f>
        <v>80453</v>
      </c>
      <c r="J23" s="154" t="s">
        <v>185</v>
      </c>
      <c r="K23" s="154" t="s">
        <v>279</v>
      </c>
      <c r="L23" s="283" t="s">
        <v>105</v>
      </c>
    </row>
    <row r="24" spans="1:12" ht="21.75">
      <c r="A24" s="446" t="s">
        <v>625</v>
      </c>
      <c r="B24" s="29"/>
      <c r="C24" s="29"/>
      <c r="D24" s="29"/>
      <c r="E24" s="29"/>
      <c r="F24" s="29"/>
      <c r="G24" s="29"/>
      <c r="H24" s="29"/>
      <c r="I24" s="29"/>
      <c r="J24" s="154"/>
      <c r="K24" s="154"/>
      <c r="L24" s="283"/>
    </row>
    <row r="25" spans="1:12" ht="43.5">
      <c r="A25" s="161" t="s">
        <v>653</v>
      </c>
      <c r="B25" s="29"/>
      <c r="C25" s="29"/>
      <c r="D25" s="29"/>
      <c r="E25" s="29"/>
      <c r="F25" s="29"/>
      <c r="G25" s="29"/>
      <c r="H25" s="29">
        <v>46056111.68</v>
      </c>
      <c r="I25" s="29">
        <f>SUM(B25:H25)</f>
        <v>46056111.68</v>
      </c>
      <c r="J25" s="154" t="s">
        <v>185</v>
      </c>
      <c r="K25" s="154" t="s">
        <v>279</v>
      </c>
      <c r="L25" s="283" t="s">
        <v>105</v>
      </c>
    </row>
    <row r="26" spans="1:12" ht="43.5">
      <c r="A26" s="161" t="s">
        <v>626</v>
      </c>
      <c r="B26" s="29"/>
      <c r="C26" s="29"/>
      <c r="D26" s="29"/>
      <c r="E26" s="29"/>
      <c r="F26" s="29"/>
      <c r="G26" s="29"/>
      <c r="H26" s="29">
        <v>2092565.61</v>
      </c>
      <c r="I26" s="29">
        <f>SUM(B26:H26)</f>
        <v>2092565.61</v>
      </c>
      <c r="J26" s="154" t="s">
        <v>185</v>
      </c>
      <c r="K26" s="154" t="s">
        <v>279</v>
      </c>
      <c r="L26" s="283"/>
    </row>
    <row r="27" spans="1:12" ht="21.75">
      <c r="A27" s="446" t="s">
        <v>627</v>
      </c>
      <c r="B27" s="29"/>
      <c r="C27" s="29"/>
      <c r="D27" s="29"/>
      <c r="E27" s="29"/>
      <c r="F27" s="29"/>
      <c r="G27" s="29"/>
      <c r="H27" s="29"/>
      <c r="I27" s="29"/>
      <c r="J27" s="154"/>
      <c r="K27" s="154"/>
      <c r="L27" s="283"/>
    </row>
    <row r="28" spans="1:12" ht="43.5">
      <c r="A28" s="161" t="s">
        <v>645</v>
      </c>
      <c r="B28" s="29"/>
      <c r="C28" s="29"/>
      <c r="D28" s="29"/>
      <c r="E28" s="29"/>
      <c r="F28" s="29"/>
      <c r="G28" s="29"/>
      <c r="H28" s="29">
        <v>580612.48</v>
      </c>
      <c r="I28" s="29">
        <f>SUM(B28:H28)</f>
        <v>580612.48</v>
      </c>
      <c r="J28" s="154" t="s">
        <v>43</v>
      </c>
      <c r="K28" s="154" t="s">
        <v>279</v>
      </c>
      <c r="L28" s="283"/>
    </row>
    <row r="29" spans="1:12" ht="21.75">
      <c r="A29" s="446" t="s">
        <v>303</v>
      </c>
      <c r="B29" s="29"/>
      <c r="C29" s="29"/>
      <c r="D29" s="29"/>
      <c r="E29" s="29"/>
      <c r="F29" s="29"/>
      <c r="G29" s="29"/>
      <c r="H29" s="29"/>
      <c r="I29" s="29"/>
      <c r="J29" s="154"/>
      <c r="K29" s="154"/>
      <c r="L29" s="283"/>
    </row>
    <row r="30" spans="1:12" ht="65.25">
      <c r="A30" s="161" t="s">
        <v>628</v>
      </c>
      <c r="B30" s="29">
        <v>73700</v>
      </c>
      <c r="C30" s="29"/>
      <c r="D30" s="29"/>
      <c r="E30" s="29"/>
      <c r="F30" s="29"/>
      <c r="G30" s="29"/>
      <c r="H30" s="29"/>
      <c r="I30" s="29">
        <f>SUM(B30:H30)</f>
        <v>73700</v>
      </c>
      <c r="J30" s="154" t="s">
        <v>185</v>
      </c>
      <c r="K30" s="154" t="s">
        <v>646</v>
      </c>
      <c r="L30" s="154" t="s">
        <v>647</v>
      </c>
    </row>
    <row r="31" spans="1:12" ht="87" customHeight="1">
      <c r="A31" s="161" t="s">
        <v>648</v>
      </c>
      <c r="B31" s="29"/>
      <c r="C31" s="29"/>
      <c r="D31" s="29"/>
      <c r="E31" s="29">
        <f>9250*3</f>
        <v>27750</v>
      </c>
      <c r="F31" s="29"/>
      <c r="G31" s="29">
        <f>9250*5</f>
        <v>46250</v>
      </c>
      <c r="H31" s="29"/>
      <c r="I31" s="29">
        <f>SUM(B31:H31)</f>
        <v>74000</v>
      </c>
      <c r="J31" s="154" t="s">
        <v>185</v>
      </c>
      <c r="K31" s="154" t="s">
        <v>629</v>
      </c>
      <c r="L31" s="283" t="s">
        <v>456</v>
      </c>
    </row>
    <row r="32" spans="1:12" ht="43.5">
      <c r="A32" s="161" t="s">
        <v>649</v>
      </c>
      <c r="B32" s="29"/>
      <c r="C32" s="29"/>
      <c r="D32" s="29"/>
      <c r="E32" s="29"/>
      <c r="F32" s="29"/>
      <c r="G32" s="29"/>
      <c r="H32" s="29">
        <v>1780989</v>
      </c>
      <c r="I32" s="29">
        <f>SUM(B32:H32)</f>
        <v>1780989</v>
      </c>
      <c r="J32" s="154" t="s">
        <v>185</v>
      </c>
      <c r="K32" s="154" t="s">
        <v>279</v>
      </c>
      <c r="L32" s="283"/>
    </row>
    <row r="33" spans="1:12" ht="49.5" customHeight="1">
      <c r="A33" s="161" t="s">
        <v>631</v>
      </c>
      <c r="B33" s="29"/>
      <c r="C33" s="29"/>
      <c r="D33" s="29"/>
      <c r="E33" s="29"/>
      <c r="F33" s="29"/>
      <c r="G33" s="29"/>
      <c r="H33" s="29">
        <v>1241700</v>
      </c>
      <c r="I33" s="29">
        <f>SUM(B33:H33)</f>
        <v>1241700</v>
      </c>
      <c r="J33" s="154" t="s">
        <v>185</v>
      </c>
      <c r="K33" s="154" t="s">
        <v>630</v>
      </c>
      <c r="L33" s="283"/>
    </row>
    <row r="34" spans="1:12" ht="65.25">
      <c r="A34" s="161" t="s">
        <v>632</v>
      </c>
      <c r="B34" s="29"/>
      <c r="C34" s="29"/>
      <c r="D34" s="29"/>
      <c r="E34" s="29"/>
      <c r="F34" s="29"/>
      <c r="G34" s="29"/>
      <c r="H34" s="29">
        <v>3325492</v>
      </c>
      <c r="I34" s="29">
        <f>SUM(B34:H34)</f>
        <v>3325492</v>
      </c>
      <c r="J34" s="154" t="s">
        <v>185</v>
      </c>
      <c r="K34" s="154" t="s">
        <v>279</v>
      </c>
      <c r="L34" s="283"/>
    </row>
    <row r="35" spans="1:12" ht="21.75">
      <c r="A35" s="446" t="s">
        <v>633</v>
      </c>
      <c r="B35" s="29"/>
      <c r="C35" s="29"/>
      <c r="D35" s="29"/>
      <c r="E35" s="29"/>
      <c r="F35" s="29"/>
      <c r="G35" s="29"/>
      <c r="H35" s="29"/>
      <c r="I35" s="29"/>
      <c r="J35" s="154"/>
      <c r="K35" s="154"/>
      <c r="L35" s="283"/>
    </row>
    <row r="36" spans="1:12" ht="65.25">
      <c r="A36" s="161" t="s">
        <v>650</v>
      </c>
      <c r="B36" s="29"/>
      <c r="C36" s="29"/>
      <c r="D36" s="29"/>
      <c r="E36" s="29"/>
      <c r="F36" s="29"/>
      <c r="G36" s="29">
        <v>71100</v>
      </c>
      <c r="H36" s="29"/>
      <c r="I36" s="29">
        <f>SUM(B36:H36)</f>
        <v>71100</v>
      </c>
      <c r="J36" s="154" t="s">
        <v>185</v>
      </c>
      <c r="K36" s="154" t="s">
        <v>288</v>
      </c>
      <c r="L36" s="283"/>
    </row>
    <row r="37" spans="1:12" ht="21.75">
      <c r="A37" s="161" t="s">
        <v>651</v>
      </c>
      <c r="B37" s="29"/>
      <c r="C37" s="29"/>
      <c r="D37" s="29"/>
      <c r="E37" s="29"/>
      <c r="F37" s="29"/>
      <c r="G37" s="29"/>
      <c r="H37" s="29">
        <v>143085</v>
      </c>
      <c r="I37" s="29">
        <f>SUM(B37:H37)</f>
        <v>143085</v>
      </c>
      <c r="J37" s="154" t="s">
        <v>185</v>
      </c>
      <c r="K37" s="154" t="s">
        <v>279</v>
      </c>
      <c r="L37" s="283"/>
    </row>
    <row r="38" spans="1:12" ht="21.75">
      <c r="A38" s="161"/>
      <c r="B38" s="29"/>
      <c r="C38" s="67"/>
      <c r="D38" s="67"/>
      <c r="E38" s="67"/>
      <c r="F38" s="67"/>
      <c r="G38" s="67"/>
      <c r="H38" s="67"/>
      <c r="I38" s="29">
        <f>SUM(B38:H38)</f>
        <v>0</v>
      </c>
      <c r="J38" s="154" t="s">
        <v>185</v>
      </c>
      <c r="K38" s="154" t="s">
        <v>304</v>
      </c>
      <c r="L38" s="283"/>
    </row>
    <row r="39" spans="1:12" ht="22.5" thickBot="1">
      <c r="A39" s="19" t="s">
        <v>2</v>
      </c>
      <c r="B39" s="61">
        <f aca="true" t="shared" si="1" ref="B39:H39">SUM(B8:B38)</f>
        <v>1532033.33</v>
      </c>
      <c r="C39" s="61">
        <f t="shared" si="1"/>
        <v>1301840.2733333334</v>
      </c>
      <c r="D39" s="61">
        <f t="shared" si="1"/>
        <v>958333.34</v>
      </c>
      <c r="E39" s="61">
        <f t="shared" si="1"/>
        <v>27750</v>
      </c>
      <c r="F39" s="61">
        <f t="shared" si="1"/>
        <v>0</v>
      </c>
      <c r="G39" s="61">
        <f t="shared" si="1"/>
        <v>941050</v>
      </c>
      <c r="H39" s="447">
        <f t="shared" si="1"/>
        <v>166006251.96</v>
      </c>
      <c r="I39" s="61">
        <f>SUM(I6:I38)</f>
        <v>170767258.90333334</v>
      </c>
      <c r="J39" s="21"/>
      <c r="K39" s="21"/>
      <c r="L39" s="21"/>
    </row>
    <row r="40" spans="1:12" ht="22.5" thickTop="1">
      <c r="A40" s="36"/>
      <c r="B40" s="43"/>
      <c r="C40" s="36"/>
      <c r="D40" s="36"/>
      <c r="E40" s="36"/>
      <c r="F40" s="36"/>
      <c r="G40" s="36"/>
      <c r="H40" s="36"/>
      <c r="I40" s="327"/>
      <c r="J40" s="36"/>
      <c r="K40" s="36"/>
      <c r="L40" s="36"/>
    </row>
    <row r="41" spans="1:11" ht="21.75">
      <c r="A41" s="37"/>
      <c r="G41" s="30"/>
      <c r="H41" s="30"/>
      <c r="I41" s="30"/>
      <c r="K41" s="57"/>
    </row>
    <row r="42" spans="7:9" ht="21.75">
      <c r="G42" s="30"/>
      <c r="H42" s="1"/>
      <c r="I42" s="448"/>
    </row>
    <row r="43" spans="8:9" ht="21.75">
      <c r="H43" s="1"/>
      <c r="I43" s="1"/>
    </row>
    <row r="44" ht="21.75">
      <c r="I44" s="30"/>
    </row>
    <row r="45" ht="21.75">
      <c r="H45" s="1"/>
    </row>
    <row r="50" ht="21.75">
      <c r="G50" t="s">
        <v>36</v>
      </c>
    </row>
  </sheetData>
  <sheetProtection/>
  <mergeCells count="9">
    <mergeCell ref="A1:L1"/>
    <mergeCell ref="A2:L2"/>
    <mergeCell ref="A4:A5"/>
    <mergeCell ref="B4:G4"/>
    <mergeCell ref="H4:H5"/>
    <mergeCell ref="I4:I5"/>
    <mergeCell ref="J4:J5"/>
    <mergeCell ref="K4:K5"/>
    <mergeCell ref="L4:L5"/>
  </mergeCells>
  <printOptions horizontalCentered="1"/>
  <pageMargins left="0.433070866141732" right="0" top="0.496062992" bottom="0" header="0.78740157480315" footer="0.15748031496063"/>
  <pageSetup horizontalDpi="600" verticalDpi="600" orientation="landscape" paperSize="9" scale="70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showGridLines="0" zoomScalePageLayoutView="0" workbookViewId="0" topLeftCell="A1">
      <selection activeCell="G16" sqref="G16"/>
    </sheetView>
  </sheetViews>
  <sheetFormatPr defaultColWidth="9.140625" defaultRowHeight="21.75"/>
  <cols>
    <col min="1" max="1" width="39.00390625" style="0" customWidth="1"/>
    <col min="2" max="2" width="12.57421875" style="0" customWidth="1"/>
    <col min="3" max="3" width="12.00390625" style="0" customWidth="1"/>
    <col min="4" max="4" width="12.28125" style="0" customWidth="1"/>
    <col min="5" max="5" width="11.8515625" style="0" customWidth="1"/>
    <col min="6" max="6" width="11.7109375" style="0" customWidth="1"/>
    <col min="7" max="7" width="13.7109375" style="0" customWidth="1"/>
    <col min="8" max="8" width="15.140625" style="0" customWidth="1"/>
    <col min="9" max="9" width="12.8515625" style="0" customWidth="1"/>
    <col min="10" max="10" width="15.140625" style="0" customWidth="1"/>
    <col min="11" max="11" width="17.140625" style="0" customWidth="1"/>
    <col min="12" max="12" width="13.00390625" style="0" customWidth="1"/>
    <col min="14" max="14" width="12.421875" style="0" bestFit="1" customWidth="1"/>
    <col min="15" max="15" width="13.28125" style="0" customWidth="1"/>
  </cols>
  <sheetData>
    <row r="1" spans="1:12" ht="23.2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</row>
    <row r="2" spans="1:12" ht="23.25">
      <c r="A2" s="764" t="s">
        <v>238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</row>
    <row r="3" ht="15.75" customHeight="1"/>
    <row r="4" spans="1:12" ht="21.75">
      <c r="A4" s="765" t="s">
        <v>1</v>
      </c>
      <c r="B4" s="767" t="s">
        <v>13</v>
      </c>
      <c r="C4" s="768"/>
      <c r="D4" s="768"/>
      <c r="E4" s="768"/>
      <c r="F4" s="768"/>
      <c r="G4" s="778"/>
      <c r="H4" s="769" t="s">
        <v>110</v>
      </c>
      <c r="I4" s="769" t="s">
        <v>14</v>
      </c>
      <c r="J4" s="765" t="s">
        <v>6</v>
      </c>
      <c r="K4" s="771" t="s">
        <v>7</v>
      </c>
      <c r="L4" s="771" t="s">
        <v>35</v>
      </c>
    </row>
    <row r="5" spans="1:12" ht="48" customHeight="1">
      <c r="A5" s="766"/>
      <c r="B5" s="23" t="s">
        <v>8</v>
      </c>
      <c r="C5" s="23" t="s">
        <v>9</v>
      </c>
      <c r="D5" s="23" t="s">
        <v>193</v>
      </c>
      <c r="E5" s="23" t="s">
        <v>10</v>
      </c>
      <c r="F5" s="112" t="s">
        <v>23</v>
      </c>
      <c r="G5" s="157" t="s">
        <v>40</v>
      </c>
      <c r="H5" s="781"/>
      <c r="I5" s="781"/>
      <c r="J5" s="766"/>
      <c r="K5" s="782"/>
      <c r="L5" s="782"/>
    </row>
    <row r="6" spans="1:12" ht="21.75">
      <c r="A6" s="7" t="s">
        <v>175</v>
      </c>
      <c r="B6" s="8"/>
      <c r="C6" s="8"/>
      <c r="D6" s="8"/>
      <c r="E6" s="8"/>
      <c r="F6" s="8"/>
      <c r="G6" s="8"/>
      <c r="H6" s="8"/>
      <c r="I6" s="8"/>
      <c r="J6" s="9"/>
      <c r="K6" s="9"/>
      <c r="L6" s="10"/>
    </row>
    <row r="7" spans="1:12" ht="21.75">
      <c r="A7" s="24" t="s">
        <v>751</v>
      </c>
      <c r="B7" s="12"/>
      <c r="C7" s="12"/>
      <c r="D7" s="12"/>
      <c r="E7" s="12"/>
      <c r="F7" s="12"/>
      <c r="G7" s="12"/>
      <c r="H7" s="12"/>
      <c r="I7" s="12"/>
      <c r="J7" s="13"/>
      <c r="K7" s="13"/>
      <c r="L7" s="14"/>
    </row>
    <row r="8" spans="1:14" ht="65.25">
      <c r="A8" s="283" t="s">
        <v>752</v>
      </c>
      <c r="B8" s="40"/>
      <c r="C8" s="40">
        <f>28380</f>
        <v>28380</v>
      </c>
      <c r="D8" s="40">
        <f>30250</f>
        <v>30250</v>
      </c>
      <c r="E8" s="40">
        <f>29819</f>
        <v>29819</v>
      </c>
      <c r="F8" s="40"/>
      <c r="G8" s="40">
        <f>34289+25666+41434</f>
        <v>101389</v>
      </c>
      <c r="H8" s="368"/>
      <c r="I8" s="368">
        <f>SUM(B8:H8)</f>
        <v>189838</v>
      </c>
      <c r="J8" s="387" t="s">
        <v>176</v>
      </c>
      <c r="K8" s="154" t="s">
        <v>753</v>
      </c>
      <c r="L8" s="338"/>
      <c r="N8" s="120"/>
    </row>
    <row r="9" spans="1:12" ht="21.75">
      <c r="A9" s="24" t="s">
        <v>212</v>
      </c>
      <c r="B9" s="12"/>
      <c r="C9" s="12"/>
      <c r="D9" s="12"/>
      <c r="E9" s="12"/>
      <c r="F9" s="12"/>
      <c r="G9" s="12"/>
      <c r="H9" s="291"/>
      <c r="I9" s="12"/>
      <c r="J9" s="13"/>
      <c r="K9" s="13"/>
      <c r="L9" s="14"/>
    </row>
    <row r="10" spans="1:14" ht="43.5">
      <c r="A10" s="171" t="s">
        <v>754</v>
      </c>
      <c r="B10" s="165">
        <v>236264.4</v>
      </c>
      <c r="C10" s="165">
        <v>236264.4</v>
      </c>
      <c r="D10" s="165">
        <v>236264.4</v>
      </c>
      <c r="E10" s="165">
        <v>236264.4</v>
      </c>
      <c r="F10" s="165">
        <v>236264.4</v>
      </c>
      <c r="G10" s="165">
        <f>236264.4*6</f>
        <v>1417586.4</v>
      </c>
      <c r="H10" s="166"/>
      <c r="I10" s="253">
        <f>SUM(B10:H10)</f>
        <v>2598908.4</v>
      </c>
      <c r="J10" s="13" t="s">
        <v>176</v>
      </c>
      <c r="K10" s="201" t="s">
        <v>755</v>
      </c>
      <c r="L10" s="66"/>
      <c r="N10" s="30"/>
    </row>
    <row r="11" spans="1:12" ht="27" customHeight="1">
      <c r="A11" s="171" t="s">
        <v>756</v>
      </c>
      <c r="B11" s="83"/>
      <c r="C11" s="17"/>
      <c r="D11" s="17"/>
      <c r="E11" s="27"/>
      <c r="F11" s="27"/>
      <c r="G11" s="17">
        <v>220779</v>
      </c>
      <c r="H11" s="124"/>
      <c r="I11" s="253">
        <f>SUM(B11:H11)</f>
        <v>220779</v>
      </c>
      <c r="J11" s="387" t="s">
        <v>176</v>
      </c>
      <c r="K11" s="201" t="s">
        <v>757</v>
      </c>
      <c r="L11" s="16"/>
    </row>
    <row r="12" spans="1:12" ht="27" customHeight="1">
      <c r="A12" s="171"/>
      <c r="B12" s="83"/>
      <c r="C12" s="17"/>
      <c r="D12" s="17"/>
      <c r="E12" s="27"/>
      <c r="F12" s="27"/>
      <c r="G12" s="17"/>
      <c r="H12" s="124"/>
      <c r="I12" s="253"/>
      <c r="J12" s="387"/>
      <c r="K12" s="201"/>
      <c r="L12" s="16"/>
    </row>
    <row r="13" spans="1:12" ht="24.75" customHeight="1">
      <c r="A13" s="41"/>
      <c r="B13" s="83"/>
      <c r="C13" s="17"/>
      <c r="D13" s="17"/>
      <c r="E13" s="27"/>
      <c r="F13" s="27"/>
      <c r="G13" s="27"/>
      <c r="H13" s="27"/>
      <c r="I13" s="40"/>
      <c r="J13" s="15"/>
      <c r="K13" s="60"/>
      <c r="L13" s="16"/>
    </row>
    <row r="14" spans="1:12" ht="22.5" thickBot="1">
      <c r="A14" s="19" t="s">
        <v>2</v>
      </c>
      <c r="B14" s="105">
        <f aca="true" t="shared" si="0" ref="B14:I14">SUM(B5:B13)</f>
        <v>236264.4</v>
      </c>
      <c r="C14" s="105">
        <f t="shared" si="0"/>
        <v>264644.4</v>
      </c>
      <c r="D14" s="105">
        <f t="shared" si="0"/>
        <v>266514.4</v>
      </c>
      <c r="E14" s="105">
        <f t="shared" si="0"/>
        <v>266083.4</v>
      </c>
      <c r="F14" s="105">
        <f t="shared" si="0"/>
        <v>236264.4</v>
      </c>
      <c r="G14" s="105">
        <f t="shared" si="0"/>
        <v>1739754.4</v>
      </c>
      <c r="H14" s="105">
        <f t="shared" si="0"/>
        <v>0</v>
      </c>
      <c r="I14" s="105">
        <f t="shared" si="0"/>
        <v>3009525.4</v>
      </c>
      <c r="J14" s="21"/>
      <c r="K14" s="21"/>
      <c r="L14" s="21"/>
    </row>
    <row r="15" ht="22.5" thickTop="1"/>
    <row r="16" ht="21.75">
      <c r="K16" s="22"/>
    </row>
    <row r="17" spans="3:7" ht="21.75">
      <c r="C17" s="2"/>
      <c r="D17" s="1"/>
      <c r="E17" s="1"/>
      <c r="F17" s="1"/>
      <c r="G17" s="1"/>
    </row>
    <row r="18" ht="21.75">
      <c r="C18" s="2"/>
    </row>
    <row r="19" ht="21.75">
      <c r="C19" s="2"/>
    </row>
    <row r="20" ht="21.75">
      <c r="C20" s="2"/>
    </row>
    <row r="21" ht="21.75">
      <c r="C21" s="2"/>
    </row>
    <row r="32" ht="21.75">
      <c r="L32" s="84"/>
    </row>
  </sheetData>
  <sheetProtection/>
  <mergeCells count="9">
    <mergeCell ref="A1:L1"/>
    <mergeCell ref="A2:L2"/>
    <mergeCell ref="A4:A5"/>
    <mergeCell ref="B4:G4"/>
    <mergeCell ref="H4:H5"/>
    <mergeCell ref="I4:I5"/>
    <mergeCell ref="J4:J5"/>
    <mergeCell ref="K4:K5"/>
    <mergeCell ref="L4:L5"/>
  </mergeCells>
  <printOptions horizontalCentered="1" verticalCentered="1"/>
  <pageMargins left="0.301181102" right="0.248031496" top="0.82480315" bottom="0.696850394" header="0.669291338582677" footer="0.15748031496063"/>
  <pageSetup horizontalDpi="600" verticalDpi="600" orientation="landscape" paperSize="9" scale="80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2" sqref="K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4" sqref="M14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2" sqref="L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5"/>
  <sheetViews>
    <sheetView view="pageBreakPreview" zoomScale="60" zoomScalePageLayoutView="0" workbookViewId="0" topLeftCell="A1">
      <pane xSplit="1" ySplit="5" topLeftCell="G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2" sqref="J42"/>
    </sheetView>
  </sheetViews>
  <sheetFormatPr defaultColWidth="9.140625" defaultRowHeight="21.75"/>
  <cols>
    <col min="1" max="1" width="44.421875" style="107" customWidth="1"/>
    <col min="2" max="2" width="15.7109375" style="106" customWidth="1"/>
    <col min="3" max="3" width="16.57421875" style="106" customWidth="1"/>
    <col min="4" max="4" width="15.8515625" style="106" customWidth="1"/>
    <col min="5" max="5" width="14.8515625" style="106" customWidth="1"/>
    <col min="6" max="6" width="14.7109375" style="106" customWidth="1"/>
    <col min="7" max="7" width="16.140625" style="106" customWidth="1"/>
    <col min="8" max="8" width="16.8515625" style="106" customWidth="1"/>
    <col min="9" max="9" width="30.57421875" style="106" customWidth="1"/>
    <col min="10" max="10" width="19.57421875" style="106" customWidth="1"/>
    <col min="11" max="11" width="18.00390625" style="106" customWidth="1"/>
    <col min="12" max="16384" width="9.140625" style="106" customWidth="1"/>
  </cols>
  <sheetData>
    <row r="1" spans="1:9" ht="21">
      <c r="A1" s="740" t="s">
        <v>84</v>
      </c>
      <c r="B1" s="740"/>
      <c r="C1" s="740"/>
      <c r="D1" s="740"/>
      <c r="E1" s="740"/>
      <c r="F1" s="740"/>
      <c r="G1" s="740"/>
      <c r="H1" s="740"/>
      <c r="I1" s="740"/>
    </row>
    <row r="2" spans="1:9" ht="26.25" customHeight="1">
      <c r="A2" s="741" t="s">
        <v>357</v>
      </c>
      <c r="B2" s="741"/>
      <c r="C2" s="741"/>
      <c r="D2" s="741"/>
      <c r="E2" s="741"/>
      <c r="F2" s="741"/>
      <c r="G2" s="741"/>
      <c r="H2" s="741"/>
      <c r="I2" s="741"/>
    </row>
    <row r="3" spans="1:9" ht="26.25" customHeight="1">
      <c r="A3" s="479"/>
      <c r="B3" s="480"/>
      <c r="C3" s="480"/>
      <c r="D3" s="480"/>
      <c r="E3" s="480"/>
      <c r="F3" s="480"/>
      <c r="G3" s="481"/>
      <c r="H3" s="482"/>
      <c r="I3" s="483"/>
    </row>
    <row r="4" spans="1:9" ht="23.25" customHeight="1">
      <c r="A4" s="742" t="s">
        <v>85</v>
      </c>
      <c r="B4" s="744" t="s">
        <v>86</v>
      </c>
      <c r="C4" s="745"/>
      <c r="D4" s="745"/>
      <c r="E4" s="745"/>
      <c r="F4" s="745"/>
      <c r="G4" s="746"/>
      <c r="H4" s="747" t="s">
        <v>351</v>
      </c>
      <c r="I4" s="749" t="s">
        <v>87</v>
      </c>
    </row>
    <row r="5" spans="1:9" ht="21">
      <c r="A5" s="743"/>
      <c r="B5" s="484" t="s">
        <v>88</v>
      </c>
      <c r="C5" s="484" t="s">
        <v>89</v>
      </c>
      <c r="D5" s="485" t="s">
        <v>90</v>
      </c>
      <c r="E5" s="486" t="s">
        <v>91</v>
      </c>
      <c r="F5" s="499" t="s">
        <v>92</v>
      </c>
      <c r="G5" s="499" t="s">
        <v>93</v>
      </c>
      <c r="H5" s="748"/>
      <c r="I5" s="748"/>
    </row>
    <row r="6" spans="1:9" ht="41.25" customHeight="1">
      <c r="A6" s="178" t="s">
        <v>227</v>
      </c>
      <c r="B6" s="221"/>
      <c r="C6" s="219"/>
      <c r="D6" s="219"/>
      <c r="E6" s="219"/>
      <c r="F6" s="219"/>
      <c r="G6" s="227" t="s">
        <v>36</v>
      </c>
      <c r="H6" s="220"/>
      <c r="I6" s="222"/>
    </row>
    <row r="7" spans="1:9" ht="28.5" customHeight="1">
      <c r="A7" s="731" t="s">
        <v>230</v>
      </c>
      <c r="B7" s="230">
        <v>1397550</v>
      </c>
      <c r="C7" s="324">
        <f>12638748.17+38625886.68+507329626.35</f>
        <v>558594261.2</v>
      </c>
      <c r="D7" s="219"/>
      <c r="E7" s="219"/>
      <c r="F7" s="219"/>
      <c r="G7" s="219"/>
      <c r="H7" s="220">
        <f>SUM(B7:G7)</f>
        <v>559991811.2</v>
      </c>
      <c r="I7" s="401" t="s">
        <v>790</v>
      </c>
    </row>
    <row r="8" spans="1:11" ht="22.5" customHeight="1">
      <c r="A8" s="732"/>
      <c r="B8" s="230">
        <v>131299.5</v>
      </c>
      <c r="C8" s="324">
        <f>87533+1695522</f>
        <v>1783055</v>
      </c>
      <c r="D8" s="332">
        <v>131299.5</v>
      </c>
      <c r="E8" s="227">
        <v>131299.5</v>
      </c>
      <c r="F8" s="219"/>
      <c r="G8" s="219">
        <v>175066</v>
      </c>
      <c r="H8" s="220">
        <f>SUM(B8:G8)</f>
        <v>2352019.5</v>
      </c>
      <c r="I8" s="498" t="s">
        <v>236</v>
      </c>
      <c r="K8" s="108"/>
    </row>
    <row r="9" spans="1:11" ht="22.5" customHeight="1">
      <c r="A9" s="515" t="s">
        <v>226</v>
      </c>
      <c r="B9" s="227"/>
      <c r="C9" s="402">
        <v>157803</v>
      </c>
      <c r="D9" s="227">
        <v>157803</v>
      </c>
      <c r="E9" s="219">
        <v>105202</v>
      </c>
      <c r="F9" s="219"/>
      <c r="G9" s="219">
        <v>157803</v>
      </c>
      <c r="H9" s="220">
        <f>SUM(B9:G9)</f>
        <v>578611</v>
      </c>
      <c r="I9" s="498" t="s">
        <v>236</v>
      </c>
      <c r="K9" s="108"/>
    </row>
    <row r="10" spans="1:9" ht="21.75">
      <c r="A10" s="177" t="s">
        <v>63</v>
      </c>
      <c r="B10" s="545"/>
      <c r="C10" s="545"/>
      <c r="D10" s="545"/>
      <c r="E10" s="545"/>
      <c r="F10" s="399"/>
      <c r="G10" s="399"/>
      <c r="H10" s="399"/>
      <c r="I10" s="222"/>
    </row>
    <row r="11" spans="1:9" ht="21.75">
      <c r="A11" s="504" t="s">
        <v>99</v>
      </c>
      <c r="B11" s="219">
        <f>7536951.59-6915800</f>
        <v>621151.5899999999</v>
      </c>
      <c r="C11" s="219">
        <v>459400.62</v>
      </c>
      <c r="D11" s="219">
        <v>387647.39</v>
      </c>
      <c r="E11" s="219">
        <v>262863.6</v>
      </c>
      <c r="F11" s="219"/>
      <c r="G11" s="219">
        <v>6103493.8</v>
      </c>
      <c r="H11" s="220">
        <f>SUM(B11:G11)</f>
        <v>7834557</v>
      </c>
      <c r="I11" s="225" t="s">
        <v>145</v>
      </c>
    </row>
    <row r="12" spans="1:11" ht="21.75">
      <c r="A12" s="510" t="s">
        <v>94</v>
      </c>
      <c r="B12" s="219"/>
      <c r="C12" s="219"/>
      <c r="D12" s="219"/>
      <c r="E12" s="219"/>
      <c r="F12" s="219"/>
      <c r="G12" s="219">
        <f>2614500+8800</f>
        <v>2623300</v>
      </c>
      <c r="H12" s="220">
        <f>SUM(B12:G12)</f>
        <v>2623300</v>
      </c>
      <c r="I12" s="228" t="s">
        <v>102</v>
      </c>
      <c r="K12" s="108"/>
    </row>
    <row r="13" spans="1:11" ht="21.75">
      <c r="A13" s="729" t="s">
        <v>119</v>
      </c>
      <c r="B13" s="646">
        <v>6915800</v>
      </c>
      <c r="C13" s="646"/>
      <c r="D13" s="646"/>
      <c r="E13" s="646"/>
      <c r="F13" s="646"/>
      <c r="G13" s="505"/>
      <c r="H13" s="220">
        <f>SUM(B13:G13)</f>
        <v>6915800</v>
      </c>
      <c r="I13" s="225" t="s">
        <v>145</v>
      </c>
      <c r="K13" s="108"/>
    </row>
    <row r="14" spans="1:10" ht="21.75">
      <c r="A14" s="730"/>
      <c r="B14" s="646"/>
      <c r="C14" s="646"/>
      <c r="D14" s="646"/>
      <c r="E14" s="646"/>
      <c r="F14" s="646"/>
      <c r="G14" s="506">
        <v>2200</v>
      </c>
      <c r="H14" s="220">
        <f>SUM(B14:G14)</f>
        <v>2200</v>
      </c>
      <c r="I14" s="228" t="s">
        <v>102</v>
      </c>
      <c r="J14" s="146"/>
    </row>
    <row r="15" spans="1:10" ht="21.75">
      <c r="A15" s="507" t="s">
        <v>95</v>
      </c>
      <c r="B15" s="226"/>
      <c r="C15" s="226"/>
      <c r="D15" s="508"/>
      <c r="E15" s="508"/>
      <c r="F15" s="509"/>
      <c r="G15" s="226"/>
      <c r="H15" s="220"/>
      <c r="I15" s="222"/>
      <c r="J15" s="146"/>
    </row>
    <row r="16" spans="1:9" ht="21.75">
      <c r="A16" s="268" t="s">
        <v>96</v>
      </c>
      <c r="B16" s="324">
        <f>513000+657360+240000</f>
        <v>1410360</v>
      </c>
      <c r="C16" s="324">
        <v>1266000</v>
      </c>
      <c r="D16" s="324">
        <v>1012800</v>
      </c>
      <c r="E16" s="324">
        <v>1057600</v>
      </c>
      <c r="F16" s="508"/>
      <c r="G16" s="324">
        <v>404160</v>
      </c>
      <c r="H16" s="322">
        <f aca="true" t="shared" si="0" ref="H16:H21">SUM(B16:G16)</f>
        <v>5150920</v>
      </c>
      <c r="I16" s="225" t="s">
        <v>145</v>
      </c>
    </row>
    <row r="17" spans="1:9" ht="21.75">
      <c r="A17" s="510" t="s">
        <v>94</v>
      </c>
      <c r="B17" s="227">
        <v>7777105</v>
      </c>
      <c r="C17" s="219">
        <v>250000</v>
      </c>
      <c r="D17" s="219">
        <v>405800</v>
      </c>
      <c r="E17" s="219">
        <v>225000</v>
      </c>
      <c r="F17" s="219">
        <v>899480</v>
      </c>
      <c r="G17" s="219">
        <v>15477100</v>
      </c>
      <c r="H17" s="220">
        <f t="shared" si="0"/>
        <v>25034485</v>
      </c>
      <c r="I17" s="225" t="s">
        <v>146</v>
      </c>
    </row>
    <row r="18" spans="1:11" ht="21.75">
      <c r="A18" s="621" t="s">
        <v>106</v>
      </c>
      <c r="B18" s="500">
        <v>486175.98</v>
      </c>
      <c r="C18" s="221">
        <v>493503</v>
      </c>
      <c r="D18" s="221">
        <v>348339.62</v>
      </c>
      <c r="E18" s="221">
        <v>0</v>
      </c>
      <c r="F18" s="221">
        <v>100489</v>
      </c>
      <c r="G18" s="219">
        <v>932270.15</v>
      </c>
      <c r="H18" s="322">
        <f t="shared" si="0"/>
        <v>2360777.75</v>
      </c>
      <c r="I18" s="225" t="s">
        <v>147</v>
      </c>
      <c r="J18" s="270"/>
      <c r="K18" s="108"/>
    </row>
    <row r="19" spans="1:11" ht="21.75">
      <c r="A19" s="526" t="s">
        <v>306</v>
      </c>
      <c r="B19" s="181">
        <v>4196840</v>
      </c>
      <c r="C19" s="181">
        <v>512910</v>
      </c>
      <c r="D19" s="181">
        <v>1073507</v>
      </c>
      <c r="E19" s="181">
        <v>3015610</v>
      </c>
      <c r="F19" s="181">
        <v>0</v>
      </c>
      <c r="G19" s="227">
        <v>2878065</v>
      </c>
      <c r="H19" s="322">
        <f t="shared" si="0"/>
        <v>11676932</v>
      </c>
      <c r="I19" s="225" t="s">
        <v>158</v>
      </c>
      <c r="J19" s="270"/>
      <c r="K19" s="108"/>
    </row>
    <row r="20" spans="1:11" ht="21" customHeight="1">
      <c r="A20" s="737" t="s">
        <v>119</v>
      </c>
      <c r="B20" s="407">
        <v>16047565</v>
      </c>
      <c r="C20" s="407">
        <v>5569780</v>
      </c>
      <c r="D20" s="407">
        <f>8645915+1090600</f>
        <v>9736515</v>
      </c>
      <c r="E20" s="407">
        <v>5477370</v>
      </c>
      <c r="F20" s="407">
        <v>6150570</v>
      </c>
      <c r="G20" s="641">
        <f>50450022-1090600</f>
        <v>49359422</v>
      </c>
      <c r="H20" s="322">
        <f t="shared" si="0"/>
        <v>92341222</v>
      </c>
      <c r="I20" s="225" t="s">
        <v>158</v>
      </c>
      <c r="J20" s="108"/>
      <c r="K20" s="108"/>
    </row>
    <row r="21" spans="1:11" ht="21" customHeight="1">
      <c r="A21" s="730"/>
      <c r="B21" s="227"/>
      <c r="C21" s="227"/>
      <c r="D21" s="227"/>
      <c r="E21" s="227"/>
      <c r="F21" s="227"/>
      <c r="G21" s="500">
        <v>763103.5</v>
      </c>
      <c r="H21" s="322">
        <f t="shared" si="0"/>
        <v>763103.5</v>
      </c>
      <c r="I21" s="400" t="s">
        <v>228</v>
      </c>
      <c r="J21" s="108"/>
      <c r="K21" s="108"/>
    </row>
    <row r="22" spans="1:9" ht="20.25" customHeight="1">
      <c r="A22" s="647" t="s">
        <v>277</v>
      </c>
      <c r="B22" s="648"/>
      <c r="C22" s="648"/>
      <c r="D22" s="648"/>
      <c r="E22" s="648"/>
      <c r="F22" s="649"/>
      <c r="G22" s="648"/>
      <c r="H22" s="219"/>
      <c r="I22" s="222"/>
    </row>
    <row r="23" spans="1:11" ht="21.75">
      <c r="A23" s="511" t="s">
        <v>119</v>
      </c>
      <c r="B23" s="222"/>
      <c r="C23" s="219"/>
      <c r="D23" s="219"/>
      <c r="E23" s="219"/>
      <c r="F23" s="638"/>
      <c r="G23" s="638">
        <v>9085722.757599998</v>
      </c>
      <c r="H23" s="219">
        <f>SUM(B23:G23)</f>
        <v>9085722.757599998</v>
      </c>
      <c r="I23" s="400" t="s">
        <v>228</v>
      </c>
      <c r="K23" s="274"/>
    </row>
    <row r="24" spans="1:9" ht="21" customHeight="1">
      <c r="A24" s="229" t="s">
        <v>65</v>
      </c>
      <c r="B24" s="399"/>
      <c r="C24" s="399"/>
      <c r="D24" s="399"/>
      <c r="E24" s="399"/>
      <c r="F24" s="637"/>
      <c r="G24" s="624"/>
      <c r="H24" s="622"/>
      <c r="I24" s="623"/>
    </row>
    <row r="25" spans="1:9" ht="21" customHeight="1">
      <c r="A25" s="511" t="s">
        <v>119</v>
      </c>
      <c r="B25" s="222"/>
      <c r="C25" s="219"/>
      <c r="D25" s="222"/>
      <c r="E25" s="222"/>
      <c r="F25" s="512"/>
      <c r="G25" s="512">
        <v>45644067.349999994</v>
      </c>
      <c r="H25" s="220">
        <f>SUM(B25:G25)</f>
        <v>45644067.349999994</v>
      </c>
      <c r="I25" s="400" t="s">
        <v>228</v>
      </c>
    </row>
    <row r="26" spans="1:11" ht="21.75">
      <c r="A26" s="229" t="s">
        <v>68</v>
      </c>
      <c r="B26" s="222"/>
      <c r="C26" s="222"/>
      <c r="D26" s="222"/>
      <c r="E26" s="222"/>
      <c r="F26" s="222"/>
      <c r="G26" s="503"/>
      <c r="H26" s="220"/>
      <c r="I26" s="400"/>
      <c r="K26" s="108"/>
    </row>
    <row r="27" spans="1:9" ht="21.75">
      <c r="A27" s="231" t="s">
        <v>127</v>
      </c>
      <c r="B27" s="219">
        <v>3516800</v>
      </c>
      <c r="C27" s="219">
        <v>7295100</v>
      </c>
      <c r="D27" s="219">
        <v>11902200</v>
      </c>
      <c r="E27" s="219">
        <v>4097920</v>
      </c>
      <c r="F27" s="219"/>
      <c r="G27" s="222"/>
      <c r="H27" s="220">
        <f>SUM(B27:G27)</f>
        <v>26812020</v>
      </c>
      <c r="I27" s="225" t="s">
        <v>234</v>
      </c>
    </row>
    <row r="28" spans="1:9" ht="21.75">
      <c r="A28" s="511" t="s">
        <v>119</v>
      </c>
      <c r="B28" s="219"/>
      <c r="C28" s="219"/>
      <c r="D28" s="219"/>
      <c r="E28" s="219"/>
      <c r="F28" s="219"/>
      <c r="G28" s="219">
        <v>2695144</v>
      </c>
      <c r="H28" s="220">
        <f>SUM(B28:G28)</f>
        <v>2695144</v>
      </c>
      <c r="I28" s="400" t="s">
        <v>228</v>
      </c>
    </row>
    <row r="29" spans="1:11" ht="21" customHeight="1">
      <c r="A29" s="229" t="s">
        <v>97</v>
      </c>
      <c r="B29" s="222"/>
      <c r="C29" s="222"/>
      <c r="D29" s="222"/>
      <c r="E29" s="222"/>
      <c r="F29" s="222"/>
      <c r="G29" s="219"/>
      <c r="H29" s="220"/>
      <c r="I29" s="225"/>
      <c r="K29" s="108"/>
    </row>
    <row r="30" spans="1:9" ht="21" customHeight="1">
      <c r="A30" s="439" t="s">
        <v>123</v>
      </c>
      <c r="B30" s="219">
        <v>1119128</v>
      </c>
      <c r="C30" s="219"/>
      <c r="D30" s="222"/>
      <c r="E30" s="222"/>
      <c r="F30" s="222"/>
      <c r="G30" s="227"/>
      <c r="H30" s="219">
        <f>SUM(B30:G30)</f>
        <v>1119128</v>
      </c>
      <c r="I30" s="400" t="s">
        <v>198</v>
      </c>
    </row>
    <row r="31" spans="1:11" ht="20.25" customHeight="1">
      <c r="A31" s="738" t="s">
        <v>759</v>
      </c>
      <c r="B31" s="219"/>
      <c r="C31" s="219"/>
      <c r="D31" s="222"/>
      <c r="E31" s="222"/>
      <c r="F31" s="222"/>
      <c r="G31" s="219">
        <v>76200</v>
      </c>
      <c r="H31" s="219">
        <f>SUM(B31:G31)</f>
        <v>76200</v>
      </c>
      <c r="I31" s="225" t="s">
        <v>786</v>
      </c>
      <c r="K31" s="109"/>
    </row>
    <row r="32" spans="1:9" ht="21" customHeight="1">
      <c r="A32" s="739"/>
      <c r="B32" s="219"/>
      <c r="C32" s="219"/>
      <c r="D32" s="222"/>
      <c r="E32" s="222"/>
      <c r="F32" s="222"/>
      <c r="G32" s="219">
        <f>485920.35+10736019.97+787499.65+388692+3975739.14+579626.94</f>
        <v>16953498.05</v>
      </c>
      <c r="H32" s="219">
        <f>SUM(B32:G32)</f>
        <v>16953498.05</v>
      </c>
      <c r="I32" s="400" t="s">
        <v>228</v>
      </c>
    </row>
    <row r="33" spans="1:11" ht="21" customHeight="1">
      <c r="A33" s="439" t="s">
        <v>785</v>
      </c>
      <c r="B33" s="219"/>
      <c r="C33" s="219"/>
      <c r="D33" s="222"/>
      <c r="E33" s="222"/>
      <c r="F33" s="222"/>
      <c r="G33" s="219">
        <f>4122534.52+763920</f>
        <v>4886454.52</v>
      </c>
      <c r="H33" s="219">
        <f>SUM(B33:G33)</f>
        <v>4886454.52</v>
      </c>
      <c r="I33" s="400" t="s">
        <v>228</v>
      </c>
      <c r="K33" s="108"/>
    </row>
    <row r="34" spans="1:11" ht="21" customHeight="1">
      <c r="A34" s="639" t="s">
        <v>159</v>
      </c>
      <c r="B34" s="222"/>
      <c r="C34" s="219"/>
      <c r="D34" s="219"/>
      <c r="E34" s="219"/>
      <c r="F34" s="219"/>
      <c r="G34" s="227">
        <f>1892735.4+1322100+119073.39+2998921.44+31715800</f>
        <v>38048630.230000004</v>
      </c>
      <c r="H34" s="219">
        <f>SUM(B34:G34)</f>
        <v>38048630.230000004</v>
      </c>
      <c r="I34" s="400" t="s">
        <v>228</v>
      </c>
      <c r="K34" s="108"/>
    </row>
    <row r="35" spans="1:9" ht="20.25" customHeight="1">
      <c r="A35" s="229" t="s">
        <v>71</v>
      </c>
      <c r="B35" s="219"/>
      <c r="C35" s="219"/>
      <c r="D35" s="219"/>
      <c r="E35" s="219"/>
      <c r="F35" s="219"/>
      <c r="G35" s="227"/>
      <c r="H35" s="219"/>
      <c r="I35" s="400"/>
    </row>
    <row r="36" spans="1:9" ht="20.25" customHeight="1">
      <c r="A36" s="504" t="s">
        <v>98</v>
      </c>
      <c r="B36" s="219">
        <v>1643762.25</v>
      </c>
      <c r="C36" s="219">
        <v>384938.24</v>
      </c>
      <c r="D36" s="219">
        <v>405635.99</v>
      </c>
      <c r="E36" s="219">
        <v>247283.25</v>
      </c>
      <c r="F36" s="219"/>
      <c r="G36" s="227"/>
      <c r="H36" s="219">
        <f>SUM(B36:G36)</f>
        <v>2681619.73</v>
      </c>
      <c r="I36" s="225" t="s">
        <v>787</v>
      </c>
    </row>
    <row r="37" spans="1:9" ht="21" customHeight="1">
      <c r="A37" s="229" t="s">
        <v>72</v>
      </c>
      <c r="B37" s="219"/>
      <c r="C37" s="219"/>
      <c r="D37" s="219"/>
      <c r="E37" s="219"/>
      <c r="F37" s="222"/>
      <c r="G37" s="331"/>
      <c r="H37" s="220"/>
      <c r="I37" s="400"/>
    </row>
    <row r="38" spans="1:9" ht="19.5" customHeight="1">
      <c r="A38" s="233" t="s">
        <v>99</v>
      </c>
      <c r="B38" s="219">
        <v>3392500</v>
      </c>
      <c r="C38" s="219">
        <v>3392500</v>
      </c>
      <c r="D38" s="219">
        <v>3392500</v>
      </c>
      <c r="E38" s="219">
        <v>3392500</v>
      </c>
      <c r="F38" s="222"/>
      <c r="G38" s="640"/>
      <c r="H38" s="220">
        <f>SUM(B38:G38)</f>
        <v>13570000</v>
      </c>
      <c r="I38" s="514" t="s">
        <v>789</v>
      </c>
    </row>
    <row r="39" spans="1:11" ht="21" customHeight="1">
      <c r="A39" s="511" t="s">
        <v>159</v>
      </c>
      <c r="B39" s="219"/>
      <c r="C39" s="219"/>
      <c r="D39" s="219"/>
      <c r="E39" s="219"/>
      <c r="F39" s="222"/>
      <c r="G39" s="227">
        <v>82483908.605</v>
      </c>
      <c r="H39" s="220">
        <f>SUM(B39:G39)</f>
        <v>82483908.605</v>
      </c>
      <c r="I39" s="400" t="s">
        <v>228</v>
      </c>
      <c r="K39" s="108"/>
    </row>
    <row r="40" spans="1:9" ht="21" customHeight="1">
      <c r="A40" s="513" t="s">
        <v>70</v>
      </c>
      <c r="B40" s="219"/>
      <c r="C40" s="219"/>
      <c r="D40" s="219"/>
      <c r="E40" s="219"/>
      <c r="F40" s="222"/>
      <c r="G40" s="206"/>
      <c r="H40" s="517"/>
      <c r="I40" s="518"/>
    </row>
    <row r="41" spans="1:9" ht="21" customHeight="1">
      <c r="A41" s="515" t="s">
        <v>141</v>
      </c>
      <c r="B41" s="219">
        <v>236264.4</v>
      </c>
      <c r="C41" s="219">
        <v>264644.4</v>
      </c>
      <c r="D41" s="219">
        <v>266514.4</v>
      </c>
      <c r="E41" s="219">
        <v>266083.4</v>
      </c>
      <c r="F41" s="219">
        <v>236264.4</v>
      </c>
      <c r="G41" s="206">
        <v>1739754.4</v>
      </c>
      <c r="H41" s="220">
        <f>SUM(B41:G41)</f>
        <v>3009525.4</v>
      </c>
      <c r="I41" s="225" t="s">
        <v>144</v>
      </c>
    </row>
    <row r="42" spans="1:11" ht="21" customHeight="1">
      <c r="A42" s="513" t="s">
        <v>76</v>
      </c>
      <c r="B42" s="218"/>
      <c r="C42" s="218"/>
      <c r="D42" s="516"/>
      <c r="E42" s="206"/>
      <c r="F42" s="206"/>
      <c r="G42" s="206"/>
      <c r="H42" s="220"/>
      <c r="I42" s="228"/>
      <c r="K42" s="108"/>
    </row>
    <row r="43" spans="1:11" ht="21" customHeight="1">
      <c r="A43" s="223" t="s">
        <v>106</v>
      </c>
      <c r="B43" s="219">
        <v>110804.79000000001</v>
      </c>
      <c r="C43" s="219">
        <v>86334.93</v>
      </c>
      <c r="D43" s="516">
        <v>73869.86</v>
      </c>
      <c r="E43" s="206">
        <v>110804.79000000001</v>
      </c>
      <c r="F43" s="206">
        <v>406284.23</v>
      </c>
      <c r="G43" s="206">
        <v>592579.132</v>
      </c>
      <c r="H43" s="220">
        <f>SUM(B43:G43)</f>
        <v>1380677.7319999998</v>
      </c>
      <c r="I43" s="225" t="s">
        <v>144</v>
      </c>
      <c r="K43" s="108"/>
    </row>
    <row r="44" spans="1:11" ht="21" customHeight="1">
      <c r="A44" s="519" t="s">
        <v>191</v>
      </c>
      <c r="B44" s="219"/>
      <c r="C44" s="219"/>
      <c r="D44" s="516"/>
      <c r="E44" s="206"/>
      <c r="F44" s="206"/>
      <c r="G44" s="206">
        <v>105008589.33</v>
      </c>
      <c r="H44" s="220">
        <f>SUM(B44:G44)</f>
        <v>105008589.33</v>
      </c>
      <c r="I44" s="228" t="s">
        <v>102</v>
      </c>
      <c r="K44" s="108"/>
    </row>
    <row r="45" spans="1:11" ht="21" customHeight="1">
      <c r="A45" s="520" t="s">
        <v>74</v>
      </c>
      <c r="B45" s="219"/>
      <c r="C45" s="219"/>
      <c r="D45" s="516"/>
      <c r="E45" s="206"/>
      <c r="F45" s="206"/>
      <c r="G45" s="521"/>
      <c r="H45" s="220"/>
      <c r="I45" s="522"/>
      <c r="K45" s="108"/>
    </row>
    <row r="46" spans="1:11" ht="21" customHeight="1">
      <c r="A46" s="231" t="s">
        <v>141</v>
      </c>
      <c r="B46" s="219">
        <v>1344000</v>
      </c>
      <c r="C46" s="219">
        <v>5296000</v>
      </c>
      <c r="D46" s="516">
        <v>2760000</v>
      </c>
      <c r="E46" s="206">
        <v>336000</v>
      </c>
      <c r="F46" s="206"/>
      <c r="G46" s="524"/>
      <c r="H46" s="220">
        <f>SUM(B46:G46)</f>
        <v>9736000</v>
      </c>
      <c r="I46" s="225" t="s">
        <v>234</v>
      </c>
      <c r="K46" s="108"/>
    </row>
    <row r="47" spans="1:11" ht="21" customHeight="1">
      <c r="A47" s="519" t="s">
        <v>191</v>
      </c>
      <c r="B47" s="219"/>
      <c r="C47" s="219"/>
      <c r="D47" s="516"/>
      <c r="E47" s="206"/>
      <c r="F47" s="206"/>
      <c r="G47" s="521">
        <v>24204459.94</v>
      </c>
      <c r="H47" s="220">
        <f>SUM(B47:G47)</f>
        <v>24204459.94</v>
      </c>
      <c r="I47" s="522" t="s">
        <v>102</v>
      </c>
      <c r="K47" s="108"/>
    </row>
    <row r="48" spans="1:11" ht="21" customHeight="1">
      <c r="A48" s="523" t="s">
        <v>66</v>
      </c>
      <c r="B48" s="219"/>
      <c r="C48" s="219"/>
      <c r="D48" s="516"/>
      <c r="E48" s="206"/>
      <c r="F48" s="206"/>
      <c r="G48" s="521"/>
      <c r="H48" s="220"/>
      <c r="I48" s="522"/>
      <c r="K48" s="108"/>
    </row>
    <row r="49" spans="1:9" ht="21" customHeight="1">
      <c r="A49" s="231" t="s">
        <v>307</v>
      </c>
      <c r="B49" s="219">
        <v>1500000</v>
      </c>
      <c r="C49" s="219"/>
      <c r="D49" s="516">
        <v>5339256</v>
      </c>
      <c r="E49" s="206"/>
      <c r="F49" s="206"/>
      <c r="G49" s="524"/>
      <c r="H49" s="220">
        <f>SUM(B49:G49)</f>
        <v>6839256</v>
      </c>
      <c r="I49" s="225" t="s">
        <v>234</v>
      </c>
    </row>
    <row r="50" spans="1:11" ht="21.75">
      <c r="A50" s="519" t="s">
        <v>191</v>
      </c>
      <c r="B50" s="219"/>
      <c r="C50" s="219"/>
      <c r="D50" s="516"/>
      <c r="E50" s="206"/>
      <c r="F50" s="206"/>
      <c r="G50" s="407">
        <v>4854258.42</v>
      </c>
      <c r="H50" s="220">
        <f>SUM(B50:G50)</f>
        <v>4854258.42</v>
      </c>
      <c r="I50" s="522" t="s">
        <v>102</v>
      </c>
      <c r="K50" s="108"/>
    </row>
    <row r="51" spans="1:11" ht="23.25">
      <c r="A51" s="525" t="s">
        <v>64</v>
      </c>
      <c r="B51" s="219"/>
      <c r="C51" s="219"/>
      <c r="D51" s="516"/>
      <c r="E51" s="206"/>
      <c r="F51" s="206"/>
      <c r="G51" s="524"/>
      <c r="H51" s="220"/>
      <c r="I51" s="522"/>
      <c r="K51" s="108"/>
    </row>
    <row r="52" spans="1:11" ht="21.75">
      <c r="A52" s="526" t="s">
        <v>306</v>
      </c>
      <c r="B52" s="219">
        <v>925888.5488888889</v>
      </c>
      <c r="C52" s="219">
        <v>685062.66</v>
      </c>
      <c r="D52" s="516">
        <v>516511.7216666667</v>
      </c>
      <c r="E52" s="206">
        <v>1907707.1199999999</v>
      </c>
      <c r="F52" s="206">
        <v>34671.29</v>
      </c>
      <c r="G52" s="524">
        <v>3123933.35</v>
      </c>
      <c r="H52" s="220">
        <f>SUM(B52:G52)</f>
        <v>7193774.690555556</v>
      </c>
      <c r="I52" s="225" t="s">
        <v>758</v>
      </c>
      <c r="K52" s="108"/>
    </row>
    <row r="53" spans="1:11" ht="21.75">
      <c r="A53" s="519" t="s">
        <v>191</v>
      </c>
      <c r="B53" s="219"/>
      <c r="C53" s="219"/>
      <c r="D53" s="516"/>
      <c r="E53" s="206"/>
      <c r="F53" s="206"/>
      <c r="G53" s="524">
        <v>2963880.88</v>
      </c>
      <c r="H53" s="220">
        <f>SUM(B53:G53)</f>
        <v>2963880.88</v>
      </c>
      <c r="I53" s="522" t="s">
        <v>102</v>
      </c>
      <c r="K53" s="108"/>
    </row>
    <row r="54" spans="1:11" ht="23.25">
      <c r="A54" s="527" t="s">
        <v>62</v>
      </c>
      <c r="B54" s="219"/>
      <c r="C54" s="219"/>
      <c r="D54" s="230"/>
      <c r="E54" s="206"/>
      <c r="F54" s="206"/>
      <c r="G54" s="524"/>
      <c r="H54" s="220"/>
      <c r="I54" s="529"/>
      <c r="K54" s="108"/>
    </row>
    <row r="55" spans="1:11" ht="21.75">
      <c r="A55" s="519" t="s">
        <v>230</v>
      </c>
      <c r="B55" s="219">
        <v>171359185</v>
      </c>
      <c r="C55" s="219">
        <v>0</v>
      </c>
      <c r="D55" s="230">
        <v>632356916</v>
      </c>
      <c r="E55" s="218"/>
      <c r="F55" s="218"/>
      <c r="G55" s="206"/>
      <c r="H55" s="220">
        <f>SUM(B55:G55)</f>
        <v>803716101</v>
      </c>
      <c r="I55" s="225" t="s">
        <v>758</v>
      </c>
      <c r="K55" s="108"/>
    </row>
    <row r="56" spans="1:11" ht="23.25">
      <c r="A56" s="527" t="s">
        <v>73</v>
      </c>
      <c r="B56" s="219"/>
      <c r="C56" s="221"/>
      <c r="D56" s="230"/>
      <c r="E56" s="219"/>
      <c r="F56" s="219"/>
      <c r="G56" s="524"/>
      <c r="H56" s="220"/>
      <c r="I56" s="522" t="s">
        <v>102</v>
      </c>
      <c r="K56" s="108"/>
    </row>
    <row r="57" spans="1:11" ht="21.75">
      <c r="A57" s="735" t="s">
        <v>101</v>
      </c>
      <c r="B57" s="219">
        <v>636208.33</v>
      </c>
      <c r="C57" s="219">
        <v>666408.33</v>
      </c>
      <c r="D57" s="516">
        <v>636208.33</v>
      </c>
      <c r="E57" s="206">
        <v>636208.33</v>
      </c>
      <c r="F57" s="206"/>
      <c r="G57" s="524">
        <f>4543366.31</f>
        <v>4543366.31</v>
      </c>
      <c r="H57" s="220">
        <f>SUM(B57:G57)</f>
        <v>7118399.629999999</v>
      </c>
      <c r="I57" s="522"/>
      <c r="K57" s="108"/>
    </row>
    <row r="58" spans="1:11" ht="21.75">
      <c r="A58" s="736"/>
      <c r="B58" s="219"/>
      <c r="C58" s="219"/>
      <c r="D58" s="516"/>
      <c r="E58" s="206"/>
      <c r="F58" s="206"/>
      <c r="G58" s="524">
        <f>6836930.6</f>
        <v>6836930.6</v>
      </c>
      <c r="H58" s="220">
        <f>SUM(B58:G58)</f>
        <v>6836930.6</v>
      </c>
      <c r="I58" s="522" t="s">
        <v>102</v>
      </c>
      <c r="K58" s="108"/>
    </row>
    <row r="59" spans="1:11" ht="23.25">
      <c r="A59" s="527" t="s">
        <v>78</v>
      </c>
      <c r="B59" s="219"/>
      <c r="C59" s="219"/>
      <c r="D59" s="531"/>
      <c r="E59" s="532"/>
      <c r="F59" s="532"/>
      <c r="G59" s="524"/>
      <c r="H59" s="220"/>
      <c r="I59" s="522"/>
      <c r="K59" s="108"/>
    </row>
    <row r="60" spans="1:11" ht="21.75">
      <c r="A60" s="530" t="s">
        <v>101</v>
      </c>
      <c r="B60" s="219"/>
      <c r="C60" s="219"/>
      <c r="D60" s="531"/>
      <c r="E60" s="532"/>
      <c r="F60" s="532"/>
      <c r="G60" s="524">
        <v>327605.28</v>
      </c>
      <c r="H60" s="220">
        <f>SUM(B60:G60)</f>
        <v>327605.28</v>
      </c>
      <c r="I60" s="522" t="s">
        <v>102</v>
      </c>
      <c r="K60" s="108"/>
    </row>
    <row r="61" spans="1:11" ht="23.25">
      <c r="A61" s="527" t="s">
        <v>69</v>
      </c>
      <c r="B61" s="219"/>
      <c r="C61" s="219"/>
      <c r="D61" s="531"/>
      <c r="E61" s="532"/>
      <c r="F61" s="532"/>
      <c r="G61" s="524"/>
      <c r="H61" s="220"/>
      <c r="I61" s="228"/>
      <c r="K61" s="108"/>
    </row>
    <row r="62" spans="1:11" ht="21.75">
      <c r="A62" s="268" t="s">
        <v>96</v>
      </c>
      <c r="B62" s="219">
        <v>1532033.33</v>
      </c>
      <c r="C62" s="219">
        <v>1301840.2733333334</v>
      </c>
      <c r="D62" s="230">
        <v>958333.34</v>
      </c>
      <c r="E62" s="219">
        <v>27750</v>
      </c>
      <c r="F62" s="279">
        <v>0</v>
      </c>
      <c r="G62" s="524">
        <v>941050</v>
      </c>
      <c r="H62" s="220">
        <f>SUM(B62:G62)</f>
        <v>4761006.943333333</v>
      </c>
      <c r="I62" s="225" t="s">
        <v>784</v>
      </c>
      <c r="K62" s="108"/>
    </row>
    <row r="63" spans="1:11" ht="21.75">
      <c r="A63" s="530" t="s">
        <v>101</v>
      </c>
      <c r="B63" s="219"/>
      <c r="C63" s="219"/>
      <c r="D63" s="230"/>
      <c r="E63" s="219"/>
      <c r="F63" s="219"/>
      <c r="G63" s="524">
        <v>166006251.96</v>
      </c>
      <c r="H63" s="220">
        <f>SUM(B63:G63)</f>
        <v>166006251.96</v>
      </c>
      <c r="I63" s="228" t="s">
        <v>102</v>
      </c>
      <c r="K63" s="108"/>
    </row>
    <row r="64" spans="1:9" ht="23.25">
      <c r="A64" s="527" t="s">
        <v>77</v>
      </c>
      <c r="B64" s="219"/>
      <c r="C64" s="219"/>
      <c r="D64" s="230"/>
      <c r="E64" s="219"/>
      <c r="F64" s="219"/>
      <c r="G64" s="524"/>
      <c r="H64" s="220"/>
      <c r="I64" s="228"/>
    </row>
    <row r="65" spans="1:9" ht="21.75">
      <c r="A65" s="733" t="s">
        <v>232</v>
      </c>
      <c r="B65" s="219"/>
      <c r="C65" s="219"/>
      <c r="D65" s="230"/>
      <c r="E65" s="219"/>
      <c r="F65" s="219">
        <v>4994</v>
      </c>
      <c r="G65" s="524">
        <v>13262</v>
      </c>
      <c r="H65" s="220">
        <f>SUM(B65:G65)</f>
        <v>18256</v>
      </c>
      <c r="I65" s="225" t="s">
        <v>190</v>
      </c>
    </row>
    <row r="66" spans="1:9" ht="21.75">
      <c r="A66" s="734"/>
      <c r="B66" s="219"/>
      <c r="C66" s="219"/>
      <c r="D66" s="230"/>
      <c r="E66" s="219"/>
      <c r="F66" s="219"/>
      <c r="G66" s="524">
        <v>10902.5</v>
      </c>
      <c r="H66" s="220">
        <f>SUM(B66:G66)</f>
        <v>10902.5</v>
      </c>
      <c r="I66" s="528" t="s">
        <v>102</v>
      </c>
    </row>
    <row r="67" spans="1:9" ht="21.75">
      <c r="A67" s="733" t="s">
        <v>760</v>
      </c>
      <c r="B67" s="219"/>
      <c r="C67" s="219"/>
      <c r="D67" s="230"/>
      <c r="E67" s="219"/>
      <c r="F67" s="219"/>
      <c r="G67" s="524">
        <f>354460.7</f>
        <v>354460.7</v>
      </c>
      <c r="H67" s="220">
        <f>SUM(B67:G67)</f>
        <v>354460.7</v>
      </c>
      <c r="I67" s="225" t="s">
        <v>190</v>
      </c>
    </row>
    <row r="68" spans="1:10" ht="21" customHeight="1">
      <c r="A68" s="734"/>
      <c r="B68" s="219"/>
      <c r="C68" s="219"/>
      <c r="D68" s="230"/>
      <c r="E68" s="219"/>
      <c r="F68" s="219"/>
      <c r="G68" s="533">
        <f>322050+1695000</f>
        <v>2017050</v>
      </c>
      <c r="H68" s="220">
        <f>SUM(B68:G68)</f>
        <v>2017050</v>
      </c>
      <c r="I68" s="228" t="s">
        <v>102</v>
      </c>
      <c r="J68" s="115"/>
    </row>
    <row r="69" spans="1:10" ht="21" customHeight="1">
      <c r="A69" s="233" t="s">
        <v>101</v>
      </c>
      <c r="B69" s="219"/>
      <c r="C69" s="219"/>
      <c r="D69" s="230"/>
      <c r="E69" s="219"/>
      <c r="F69" s="219"/>
      <c r="G69" s="643">
        <f>5399508.58</f>
        <v>5399508.58</v>
      </c>
      <c r="H69" s="220">
        <f>SUM(B69:G69)</f>
        <v>5399508.58</v>
      </c>
      <c r="I69" s="228" t="s">
        <v>102</v>
      </c>
      <c r="J69" s="115"/>
    </row>
    <row r="70" spans="1:11" ht="46.5">
      <c r="A70" s="613" t="s">
        <v>584</v>
      </c>
      <c r="B70" s="221"/>
      <c r="C70" s="221"/>
      <c r="D70" s="614"/>
      <c r="E70" s="221"/>
      <c r="F70" s="221"/>
      <c r="G70" s="524"/>
      <c r="H70" s="220"/>
      <c r="I70" s="228"/>
      <c r="J70" s="115"/>
      <c r="K70" s="108"/>
    </row>
    <row r="71" spans="1:11" ht="21.75">
      <c r="A71" s="231" t="s">
        <v>141</v>
      </c>
      <c r="B71" s="615">
        <v>63507</v>
      </c>
      <c r="C71" s="615"/>
      <c r="D71" s="615">
        <v>4335.2</v>
      </c>
      <c r="E71" s="615" t="s">
        <v>783</v>
      </c>
      <c r="F71" s="615"/>
      <c r="G71" s="615">
        <v>13005.599999999999</v>
      </c>
      <c r="H71" s="220">
        <f>SUM(B71:G71)</f>
        <v>80847.79999999999</v>
      </c>
      <c r="I71" s="225" t="s">
        <v>190</v>
      </c>
      <c r="J71" s="115"/>
      <c r="K71" s="108"/>
    </row>
    <row r="72" spans="1:11" ht="21.75">
      <c r="A72" s="519" t="s">
        <v>191</v>
      </c>
      <c r="B72" s="218"/>
      <c r="C72" s="279"/>
      <c r="D72" s="403"/>
      <c r="E72" s="218"/>
      <c r="F72" s="218"/>
      <c r="G72" s="218">
        <v>678000</v>
      </c>
      <c r="H72" s="220">
        <f>SUM(B72:G72)</f>
        <v>678000</v>
      </c>
      <c r="I72" s="228" t="s">
        <v>102</v>
      </c>
      <c r="J72" s="115"/>
      <c r="K72" s="108"/>
    </row>
    <row r="73" spans="1:11" ht="23.25">
      <c r="A73" s="527" t="s">
        <v>82</v>
      </c>
      <c r="B73" s="219"/>
      <c r="C73" s="221"/>
      <c r="D73" s="230"/>
      <c r="E73" s="219"/>
      <c r="F73" s="219"/>
      <c r="G73" s="218"/>
      <c r="H73" s="220"/>
      <c r="I73" s="400"/>
      <c r="J73" s="115"/>
      <c r="K73" s="108"/>
    </row>
    <row r="74" spans="1:11" ht="24">
      <c r="A74" s="515" t="s">
        <v>226</v>
      </c>
      <c r="B74" s="219"/>
      <c r="C74" s="221"/>
      <c r="D74" s="222"/>
      <c r="E74" s="219"/>
      <c r="F74" s="219"/>
      <c r="G74" s="218">
        <v>1775167962.5</v>
      </c>
      <c r="H74" s="220">
        <f>SUM(B74:G74)</f>
        <v>1775167962.5</v>
      </c>
      <c r="I74" s="400" t="s">
        <v>198</v>
      </c>
      <c r="J74" s="115"/>
      <c r="K74" s="108"/>
    </row>
    <row r="75" spans="1:11" ht="21.75">
      <c r="A75" s="232" t="s">
        <v>75</v>
      </c>
      <c r="B75" s="219"/>
      <c r="C75" s="221"/>
      <c r="D75" s="222"/>
      <c r="E75" s="219"/>
      <c r="F75" s="218"/>
      <c r="G75" s="279"/>
      <c r="H75" s="322"/>
      <c r="I75" s="225"/>
      <c r="J75" s="115"/>
      <c r="K75" s="108"/>
    </row>
    <row r="76" spans="1:11" ht="21.75">
      <c r="A76" s="268" t="s">
        <v>96</v>
      </c>
      <c r="C76" s="221"/>
      <c r="D76" s="222"/>
      <c r="E76" s="219"/>
      <c r="F76" s="218"/>
      <c r="G76" s="321">
        <f>360810+923533.45+50000</f>
        <v>1334343.45</v>
      </c>
      <c r="H76" s="322">
        <f aca="true" t="shared" si="1" ref="H76:H81">SUM(B76:G76)</f>
        <v>1334343.45</v>
      </c>
      <c r="I76" s="225" t="s">
        <v>144</v>
      </c>
      <c r="J76" s="115"/>
      <c r="K76" s="108"/>
    </row>
    <row r="77" spans="1:11" ht="21.75">
      <c r="A77" s="510" t="s">
        <v>94</v>
      </c>
      <c r="B77" s="219"/>
      <c r="C77" s="221"/>
      <c r="D77" s="278"/>
      <c r="E77" s="279">
        <v>258674.95</v>
      </c>
      <c r="F77" s="218">
        <v>500000</v>
      </c>
      <c r="G77" s="477">
        <f>569968.59+550298+140000+50000</f>
        <v>1310266.5899999999</v>
      </c>
      <c r="H77" s="322">
        <f>SUM(B77:G77)</f>
        <v>2068941.5399999998</v>
      </c>
      <c r="I77" s="225" t="s">
        <v>788</v>
      </c>
      <c r="J77" s="115"/>
      <c r="K77" s="108"/>
    </row>
    <row r="78" spans="1:11" ht="21.75">
      <c r="A78" s="231" t="s">
        <v>141</v>
      </c>
      <c r="B78" s="219"/>
      <c r="C78" s="321">
        <v>299092</v>
      </c>
      <c r="D78" s="219"/>
      <c r="E78" s="219"/>
      <c r="F78" s="218"/>
      <c r="G78" s="477">
        <v>100000</v>
      </c>
      <c r="H78" s="322">
        <f>SUM(B78:G78)</f>
        <v>399092</v>
      </c>
      <c r="I78" s="267" t="s">
        <v>236</v>
      </c>
      <c r="J78" s="115"/>
      <c r="K78" s="108"/>
    </row>
    <row r="79" spans="1:11" ht="24">
      <c r="A79" s="224" t="s">
        <v>192</v>
      </c>
      <c r="B79" s="219"/>
      <c r="C79" s="219"/>
      <c r="D79" s="219"/>
      <c r="E79" s="219"/>
      <c r="F79" s="219"/>
      <c r="G79" s="502">
        <f>149397.6</f>
        <v>149397.6</v>
      </c>
      <c r="H79" s="322">
        <f t="shared" si="1"/>
        <v>149397.6</v>
      </c>
      <c r="I79" s="228" t="s">
        <v>102</v>
      </c>
      <c r="J79" s="115"/>
      <c r="K79" s="108"/>
    </row>
    <row r="80" spans="1:11" ht="43.5">
      <c r="A80" s="223" t="s">
        <v>106</v>
      </c>
      <c r="B80" s="219"/>
      <c r="C80" s="219">
        <f>700000+840260</f>
        <v>1540260</v>
      </c>
      <c r="D80" s="219">
        <v>614171.9</v>
      </c>
      <c r="E80" s="476">
        <v>94997.85</v>
      </c>
      <c r="F80" s="219"/>
      <c r="G80" s="502">
        <f>335379.35+454607.5+658861.7</f>
        <v>1448848.5499999998</v>
      </c>
      <c r="H80" s="220">
        <f t="shared" si="1"/>
        <v>3698278.3</v>
      </c>
      <c r="I80" s="404" t="s">
        <v>229</v>
      </c>
      <c r="J80" s="115"/>
      <c r="K80" s="108"/>
    </row>
    <row r="81" spans="1:11" ht="21.75">
      <c r="A81" s="233" t="s">
        <v>101</v>
      </c>
      <c r="B81" s="227"/>
      <c r="C81" s="227"/>
      <c r="D81" s="227"/>
      <c r="E81" s="284"/>
      <c r="F81" s="642"/>
      <c r="G81" s="322">
        <v>122786680.17</v>
      </c>
      <c r="H81" s="220">
        <f t="shared" si="1"/>
        <v>122786680.17</v>
      </c>
      <c r="I81" s="228" t="s">
        <v>102</v>
      </c>
      <c r="J81" s="115"/>
      <c r="K81" s="108"/>
    </row>
    <row r="82" spans="1:11" ht="21" customHeight="1">
      <c r="A82" s="662" t="s">
        <v>100</v>
      </c>
      <c r="B82" s="663"/>
      <c r="C82" s="664"/>
      <c r="D82" s="664"/>
      <c r="E82" s="665"/>
      <c r="F82" s="664"/>
      <c r="G82" s="666"/>
      <c r="H82" s="666"/>
      <c r="I82" s="667"/>
      <c r="K82" s="215"/>
    </row>
    <row r="83" spans="1:9" ht="21" customHeight="1">
      <c r="A83" s="535" t="s">
        <v>336</v>
      </c>
      <c r="B83" s="534">
        <v>10469500</v>
      </c>
      <c r="C83" s="534">
        <v>7831900</v>
      </c>
      <c r="D83" s="534">
        <v>5740200</v>
      </c>
      <c r="E83" s="534">
        <v>904700</v>
      </c>
      <c r="F83" s="227">
        <v>555700</v>
      </c>
      <c r="G83" s="227">
        <v>30912000</v>
      </c>
      <c r="H83" s="230">
        <f aca="true" t="shared" si="2" ref="H83:H102">SUM(B83:G83)</f>
        <v>56414000</v>
      </c>
      <c r="I83" s="750" t="s">
        <v>334</v>
      </c>
    </row>
    <row r="84" spans="1:9" ht="21" customHeight="1">
      <c r="A84" s="536" t="s">
        <v>335</v>
      </c>
      <c r="B84" s="534">
        <v>2183500</v>
      </c>
      <c r="C84" s="668">
        <v>682100</v>
      </c>
      <c r="D84" s="534">
        <v>999200</v>
      </c>
      <c r="E84" s="534">
        <v>3678900</v>
      </c>
      <c r="F84" s="227"/>
      <c r="G84" s="227">
        <v>1882200</v>
      </c>
      <c r="H84" s="230">
        <f t="shared" si="2"/>
        <v>9425900</v>
      </c>
      <c r="I84" s="751"/>
    </row>
    <row r="85" spans="1:9" ht="21" customHeight="1">
      <c r="A85" s="535" t="s">
        <v>337</v>
      </c>
      <c r="B85" s="227"/>
      <c r="C85" s="227">
        <v>53500</v>
      </c>
      <c r="D85" s="227"/>
      <c r="E85" s="227"/>
      <c r="F85" s="227"/>
      <c r="G85" s="227">
        <v>1769800</v>
      </c>
      <c r="H85" s="230">
        <f t="shared" si="2"/>
        <v>1823300</v>
      </c>
      <c r="I85" s="501" t="s">
        <v>350</v>
      </c>
    </row>
    <row r="86" spans="1:9" ht="21" customHeight="1">
      <c r="A86" s="536" t="s">
        <v>94</v>
      </c>
      <c r="B86" s="227">
        <v>65773100</v>
      </c>
      <c r="C86" s="227">
        <v>25164700</v>
      </c>
      <c r="D86" s="227">
        <v>4951600</v>
      </c>
      <c r="E86" s="227">
        <v>5748100</v>
      </c>
      <c r="F86" s="227"/>
      <c r="G86" s="227">
        <v>25786200</v>
      </c>
      <c r="H86" s="230">
        <f t="shared" si="2"/>
        <v>127423700</v>
      </c>
      <c r="I86" s="501" t="s">
        <v>350</v>
      </c>
    </row>
    <row r="87" spans="1:9" ht="21" customHeight="1">
      <c r="A87" s="536" t="s">
        <v>338</v>
      </c>
      <c r="B87" s="227">
        <v>356500</v>
      </c>
      <c r="C87" s="227">
        <v>277800</v>
      </c>
      <c r="D87" s="227">
        <v>345100</v>
      </c>
      <c r="E87" s="227">
        <v>414500</v>
      </c>
      <c r="F87" s="227"/>
      <c r="G87" s="227">
        <v>2306400</v>
      </c>
      <c r="H87" s="230">
        <f t="shared" si="2"/>
        <v>3700300</v>
      </c>
      <c r="I87" s="501" t="s">
        <v>350</v>
      </c>
    </row>
    <row r="88" spans="1:9" ht="21" customHeight="1">
      <c r="A88" s="536" t="s">
        <v>339</v>
      </c>
      <c r="B88" s="227"/>
      <c r="C88" s="227"/>
      <c r="D88" s="227"/>
      <c r="E88" s="227"/>
      <c r="F88" s="227"/>
      <c r="G88" s="227">
        <v>658700</v>
      </c>
      <c r="H88" s="230">
        <f t="shared" si="2"/>
        <v>658700</v>
      </c>
      <c r="I88" s="501" t="s">
        <v>350</v>
      </c>
    </row>
    <row r="89" spans="1:9" ht="21" customHeight="1">
      <c r="A89" s="536" t="s">
        <v>340</v>
      </c>
      <c r="B89" s="227">
        <v>1008000</v>
      </c>
      <c r="C89" s="227"/>
      <c r="D89" s="227">
        <v>702000</v>
      </c>
      <c r="E89" s="227"/>
      <c r="F89" s="227"/>
      <c r="G89" s="227">
        <v>4191600</v>
      </c>
      <c r="H89" s="230">
        <f t="shared" si="2"/>
        <v>5901600</v>
      </c>
      <c r="I89" s="501" t="s">
        <v>350</v>
      </c>
    </row>
    <row r="90" spans="1:9" ht="21" customHeight="1">
      <c r="A90" s="536" t="s">
        <v>341</v>
      </c>
      <c r="B90" s="227"/>
      <c r="C90" s="227">
        <v>85100</v>
      </c>
      <c r="D90" s="227">
        <v>57500</v>
      </c>
      <c r="E90" s="227"/>
      <c r="F90" s="227"/>
      <c r="G90" s="227">
        <v>655800</v>
      </c>
      <c r="H90" s="230">
        <f t="shared" si="2"/>
        <v>798400</v>
      </c>
      <c r="I90" s="501" t="s">
        <v>350</v>
      </c>
    </row>
    <row r="91" spans="1:9" ht="21" customHeight="1">
      <c r="A91" s="536" t="s">
        <v>127</v>
      </c>
      <c r="B91" s="227"/>
      <c r="C91" s="227">
        <v>497400</v>
      </c>
      <c r="D91" s="227">
        <v>1521400</v>
      </c>
      <c r="E91" s="227"/>
      <c r="F91" s="227"/>
      <c r="G91" s="227">
        <v>1255500</v>
      </c>
      <c r="H91" s="230">
        <f t="shared" si="2"/>
        <v>3274300</v>
      </c>
      <c r="I91" s="501" t="s">
        <v>350</v>
      </c>
    </row>
    <row r="92" spans="1:9" ht="21" customHeight="1">
      <c r="A92" s="536" t="s">
        <v>342</v>
      </c>
      <c r="B92" s="227">
        <v>2659500</v>
      </c>
      <c r="C92" s="227">
        <v>3135600</v>
      </c>
      <c r="D92" s="227">
        <v>3102900</v>
      </c>
      <c r="E92" s="227">
        <v>320800</v>
      </c>
      <c r="F92" s="227"/>
      <c r="G92" s="227">
        <v>1424000</v>
      </c>
      <c r="H92" s="230">
        <f t="shared" si="2"/>
        <v>10642800</v>
      </c>
      <c r="I92" s="501" t="s">
        <v>350</v>
      </c>
    </row>
    <row r="93" spans="1:9" ht="21" customHeight="1">
      <c r="A93" s="536" t="s">
        <v>343</v>
      </c>
      <c r="B93" s="227">
        <v>490000</v>
      </c>
      <c r="C93" s="227">
        <v>1151700</v>
      </c>
      <c r="D93" s="227">
        <v>3389400</v>
      </c>
      <c r="E93" s="227">
        <v>468900</v>
      </c>
      <c r="F93" s="227">
        <v>74200</v>
      </c>
      <c r="G93" s="227">
        <v>26787400</v>
      </c>
      <c r="H93" s="230">
        <f t="shared" si="2"/>
        <v>32361600</v>
      </c>
      <c r="I93" s="501" t="s">
        <v>350</v>
      </c>
    </row>
    <row r="94" spans="1:9" ht="21" customHeight="1">
      <c r="A94" s="536" t="s">
        <v>344</v>
      </c>
      <c r="B94" s="227">
        <v>355700</v>
      </c>
      <c r="C94" s="227">
        <v>3439100</v>
      </c>
      <c r="D94" s="227">
        <v>3953200</v>
      </c>
      <c r="E94" s="227">
        <v>87000</v>
      </c>
      <c r="F94" s="227"/>
      <c r="G94" s="227">
        <v>16730000</v>
      </c>
      <c r="H94" s="230">
        <f t="shared" si="2"/>
        <v>24565000</v>
      </c>
      <c r="I94" s="501" t="s">
        <v>350</v>
      </c>
    </row>
    <row r="95" spans="1:9" ht="21" customHeight="1">
      <c r="A95" s="536" t="s">
        <v>106</v>
      </c>
      <c r="B95" s="227">
        <v>41235400</v>
      </c>
      <c r="C95" s="227">
        <v>16120400</v>
      </c>
      <c r="D95" s="227">
        <v>8168200</v>
      </c>
      <c r="E95" s="227">
        <v>1173900</v>
      </c>
      <c r="F95" s="227">
        <v>145600</v>
      </c>
      <c r="G95" s="227">
        <v>38596800</v>
      </c>
      <c r="H95" s="230">
        <f t="shared" si="2"/>
        <v>105440300</v>
      </c>
      <c r="I95" s="501" t="s">
        <v>350</v>
      </c>
    </row>
    <row r="96" spans="1:9" ht="21" customHeight="1">
      <c r="A96" s="536" t="s">
        <v>345</v>
      </c>
      <c r="B96" s="227"/>
      <c r="C96" s="227">
        <v>1589300</v>
      </c>
      <c r="D96" s="227">
        <v>2017800</v>
      </c>
      <c r="E96" s="227"/>
      <c r="F96" s="227">
        <v>1253900</v>
      </c>
      <c r="G96" s="227">
        <f>12422400</f>
        <v>12422400</v>
      </c>
      <c r="H96" s="230">
        <f t="shared" si="2"/>
        <v>17283400</v>
      </c>
      <c r="I96" s="501" t="s">
        <v>350</v>
      </c>
    </row>
    <row r="97" spans="1:9" ht="21" customHeight="1">
      <c r="A97" s="536" t="s">
        <v>346</v>
      </c>
      <c r="B97" s="227">
        <v>5608500</v>
      </c>
      <c r="C97" s="227">
        <v>337300</v>
      </c>
      <c r="D97" s="227">
        <v>17056500</v>
      </c>
      <c r="E97" s="227">
        <v>189500</v>
      </c>
      <c r="F97" s="227"/>
      <c r="G97" s="227">
        <v>15068600</v>
      </c>
      <c r="H97" s="230">
        <f t="shared" si="2"/>
        <v>38260400</v>
      </c>
      <c r="I97" s="501" t="s">
        <v>350</v>
      </c>
    </row>
    <row r="98" spans="1:9" ht="21" customHeight="1">
      <c r="A98" s="536" t="s">
        <v>794</v>
      </c>
      <c r="B98" s="227">
        <v>304300</v>
      </c>
      <c r="C98" s="227">
        <v>217400</v>
      </c>
      <c r="D98" s="227">
        <v>221100</v>
      </c>
      <c r="E98" s="227">
        <v>359800</v>
      </c>
      <c r="F98" s="227">
        <v>149700</v>
      </c>
      <c r="G98" s="227">
        <v>22584500</v>
      </c>
      <c r="H98" s="230">
        <f t="shared" si="2"/>
        <v>23836800</v>
      </c>
      <c r="I98" s="501"/>
    </row>
    <row r="99" spans="1:9" ht="21" customHeight="1">
      <c r="A99" s="536" t="s">
        <v>347</v>
      </c>
      <c r="B99" s="227">
        <v>143200</v>
      </c>
      <c r="C99" s="227">
        <v>404800</v>
      </c>
      <c r="D99" s="227">
        <v>232900</v>
      </c>
      <c r="E99" s="227">
        <v>144500</v>
      </c>
      <c r="F99" s="227"/>
      <c r="G99" s="227">
        <v>10402800</v>
      </c>
      <c r="H99" s="230">
        <f t="shared" si="2"/>
        <v>11328200</v>
      </c>
      <c r="I99" s="501" t="s">
        <v>350</v>
      </c>
    </row>
    <row r="100" spans="1:9" ht="21" customHeight="1">
      <c r="A100" s="536" t="s">
        <v>348</v>
      </c>
      <c r="B100" s="227">
        <v>1261400</v>
      </c>
      <c r="C100" s="227">
        <v>4687700</v>
      </c>
      <c r="D100" s="227">
        <v>6814900</v>
      </c>
      <c r="E100" s="227">
        <v>323700</v>
      </c>
      <c r="F100" s="227">
        <v>63000</v>
      </c>
      <c r="G100" s="227">
        <v>8730500</v>
      </c>
      <c r="H100" s="230">
        <f t="shared" si="2"/>
        <v>21881200</v>
      </c>
      <c r="I100" s="501" t="s">
        <v>350</v>
      </c>
    </row>
    <row r="101" spans="1:9" ht="21" customHeight="1">
      <c r="A101" s="536" t="s">
        <v>349</v>
      </c>
      <c r="B101" s="227"/>
      <c r="C101" s="227">
        <v>50100</v>
      </c>
      <c r="D101" s="227"/>
      <c r="E101" s="227"/>
      <c r="F101" s="227"/>
      <c r="G101" s="227">
        <v>4032300</v>
      </c>
      <c r="H101" s="230">
        <f t="shared" si="2"/>
        <v>4082400</v>
      </c>
      <c r="I101" s="501" t="s">
        <v>350</v>
      </c>
    </row>
    <row r="102" spans="1:11" ht="21.75">
      <c r="A102" s="236" t="s">
        <v>191</v>
      </c>
      <c r="B102" s="227"/>
      <c r="C102" s="227"/>
      <c r="D102" s="227"/>
      <c r="E102" s="284"/>
      <c r="F102" s="227"/>
      <c r="G102" s="322">
        <v>32873027.32</v>
      </c>
      <c r="H102" s="322">
        <f t="shared" si="2"/>
        <v>32873027.32</v>
      </c>
      <c r="I102" s="528" t="s">
        <v>102</v>
      </c>
      <c r="J102" s="141" t="s">
        <v>36</v>
      </c>
      <c r="K102" s="478"/>
    </row>
    <row r="103" spans="1:11" ht="21.75" thickBot="1">
      <c r="A103" s="234" t="s">
        <v>103</v>
      </c>
      <c r="B103" s="269">
        <f aca="true" t="shared" si="3" ref="B103:H103">SUM(B7:B102)</f>
        <v>358212528.7188889</v>
      </c>
      <c r="C103" s="269">
        <f t="shared" si="3"/>
        <v>656024793.6533333</v>
      </c>
      <c r="D103" s="269">
        <f t="shared" si="3"/>
        <v>731754064.2516668</v>
      </c>
      <c r="E103" s="269">
        <f t="shared" si="3"/>
        <v>35465174.79</v>
      </c>
      <c r="F103" s="269">
        <f t="shared" si="3"/>
        <v>10574852.920000002</v>
      </c>
      <c r="G103" s="269">
        <f t="shared" si="3"/>
        <v>2769746484.1246004</v>
      </c>
      <c r="H103" s="269">
        <f t="shared" si="3"/>
        <v>4561777898.458488</v>
      </c>
      <c r="I103" s="235"/>
      <c r="K103" s="246"/>
    </row>
    <row r="104" ht="24.75" thickTop="1"/>
    <row r="105" ht="24">
      <c r="H105" s="109"/>
    </row>
  </sheetData>
  <sheetProtection/>
  <mergeCells count="14">
    <mergeCell ref="A31:A32"/>
    <mergeCell ref="A57:A58"/>
    <mergeCell ref="A65:A66"/>
    <mergeCell ref="A67:A68"/>
    <mergeCell ref="I83:I84"/>
    <mergeCell ref="A7:A8"/>
    <mergeCell ref="A13:A14"/>
    <mergeCell ref="A20:A21"/>
    <mergeCell ref="A1:I1"/>
    <mergeCell ref="A2:I2"/>
    <mergeCell ref="A4:A5"/>
    <mergeCell ref="B4:G4"/>
    <mergeCell ref="H4:H5"/>
    <mergeCell ref="I4:I5"/>
  </mergeCells>
  <printOptions horizontalCentered="1"/>
  <pageMargins left="0.26" right="0.183070866" top="0.17" bottom="0" header="0.33" footer="0.118110236220472"/>
  <pageSetup horizontalDpi="600" verticalDpi="600" orientation="landscape" paperSize="9" scale="80" r:id="rId1"/>
  <rowBreaks count="3" manualBreakCount="3">
    <brk id="28" max="8" man="1"/>
    <brk id="58" max="8" man="1"/>
    <brk id="81" max="8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" sqref="I1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4" sqref="O14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77"/>
  <sheetViews>
    <sheetView showGridLines="0" zoomScalePageLayoutView="0" workbookViewId="0" topLeftCell="A1">
      <pane xSplit="1" ySplit="5" topLeftCell="B7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H67" sqref="H67"/>
    </sheetView>
  </sheetViews>
  <sheetFormatPr defaultColWidth="9.140625" defaultRowHeight="21.75"/>
  <cols>
    <col min="1" max="1" width="51.00390625" style="670" customWidth="1"/>
    <col min="2" max="2" width="15.8515625" style="670" customWidth="1"/>
    <col min="3" max="3" width="13.57421875" style="670" customWidth="1"/>
    <col min="4" max="5" width="14.00390625" style="670" customWidth="1"/>
    <col min="6" max="6" width="16.140625" style="670" customWidth="1"/>
    <col min="7" max="7" width="16.00390625" style="670" customWidth="1"/>
    <col min="8" max="8" width="18.421875" style="670" customWidth="1"/>
    <col min="9" max="9" width="16.8515625" style="670" customWidth="1"/>
    <col min="10" max="10" width="12.28125" style="670" customWidth="1"/>
    <col min="11" max="11" width="19.00390625" style="670" customWidth="1"/>
    <col min="12" max="12" width="13.28125" style="344" customWidth="1"/>
    <col min="13" max="13" width="15.28125" style="344" bestFit="1" customWidth="1"/>
    <col min="14" max="14" width="16.421875" style="344" customWidth="1"/>
    <col min="15" max="16" width="13.57421875" style="344" bestFit="1" customWidth="1"/>
    <col min="17" max="17" width="16.421875" style="344" customWidth="1"/>
    <col min="18" max="16384" width="9.140625" style="344" customWidth="1"/>
  </cols>
  <sheetData>
    <row r="1" spans="1:12" ht="23.25">
      <c r="A1" s="752" t="s">
        <v>0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</row>
    <row r="2" spans="1:12" ht="23.25">
      <c r="A2" s="753" t="s">
        <v>358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</row>
    <row r="3" ht="21.75" customHeight="1">
      <c r="L3" s="671"/>
    </row>
    <row r="4" spans="1:12" ht="37.5" customHeight="1">
      <c r="A4" s="754" t="s">
        <v>1</v>
      </c>
      <c r="B4" s="756" t="s">
        <v>13</v>
      </c>
      <c r="C4" s="757"/>
      <c r="D4" s="757"/>
      <c r="E4" s="757"/>
      <c r="F4" s="757"/>
      <c r="G4" s="758"/>
      <c r="H4" s="759" t="s">
        <v>81</v>
      </c>
      <c r="I4" s="754" t="s">
        <v>14</v>
      </c>
      <c r="J4" s="754" t="s">
        <v>6</v>
      </c>
      <c r="K4" s="754" t="s">
        <v>7</v>
      </c>
      <c r="L4" s="761" t="s">
        <v>35</v>
      </c>
    </row>
    <row r="5" spans="1:12" ht="27.75" customHeight="1">
      <c r="A5" s="755"/>
      <c r="B5" s="669" t="s">
        <v>8</v>
      </c>
      <c r="C5" s="669" t="s">
        <v>9</v>
      </c>
      <c r="D5" s="669" t="s">
        <v>193</v>
      </c>
      <c r="E5" s="669" t="s">
        <v>10</v>
      </c>
      <c r="F5" s="669" t="s">
        <v>23</v>
      </c>
      <c r="G5" s="672" t="s">
        <v>21</v>
      </c>
      <c r="H5" s="760"/>
      <c r="I5" s="755"/>
      <c r="J5" s="755"/>
      <c r="K5" s="755"/>
      <c r="L5" s="762"/>
    </row>
    <row r="6" spans="1:12" ht="27.75" customHeight="1">
      <c r="A6" s="673" t="s">
        <v>56</v>
      </c>
      <c r="B6" s="673"/>
      <c r="C6" s="73"/>
      <c r="D6" s="73"/>
      <c r="E6" s="73"/>
      <c r="F6" s="73"/>
      <c r="G6" s="73"/>
      <c r="H6" s="73"/>
      <c r="I6" s="73"/>
      <c r="J6" s="674"/>
      <c r="K6" s="674"/>
      <c r="L6" s="347"/>
    </row>
    <row r="7" spans="1:16" ht="27.75" customHeight="1">
      <c r="A7" s="675" t="s">
        <v>164</v>
      </c>
      <c r="B7" s="288"/>
      <c r="C7" s="288"/>
      <c r="D7" s="288"/>
      <c r="E7" s="288"/>
      <c r="F7" s="288"/>
      <c r="G7" s="488"/>
      <c r="H7" s="265"/>
      <c r="I7" s="289"/>
      <c r="J7" s="676"/>
      <c r="K7" s="677"/>
      <c r="L7" s="678"/>
      <c r="P7" s="120"/>
    </row>
    <row r="8" spans="1:16" ht="65.25">
      <c r="A8" s="679" t="s">
        <v>606</v>
      </c>
      <c r="B8" s="542"/>
      <c r="C8" s="542"/>
      <c r="D8" s="390"/>
      <c r="E8" s="390"/>
      <c r="F8" s="390"/>
      <c r="G8" s="543">
        <v>149397.6</v>
      </c>
      <c r="H8" s="390"/>
      <c r="I8" s="415">
        <f>SUM(B8:H8)</f>
        <v>149397.6</v>
      </c>
      <c r="J8" s="680" t="s">
        <v>165</v>
      </c>
      <c r="K8" s="680" t="s">
        <v>276</v>
      </c>
      <c r="L8" s="681"/>
      <c r="N8" s="334"/>
      <c r="P8" s="120"/>
    </row>
    <row r="9" spans="1:16" ht="87">
      <c r="A9" s="679" t="s">
        <v>797</v>
      </c>
      <c r="B9" s="389"/>
      <c r="C9" s="389"/>
      <c r="D9" s="390"/>
      <c r="E9" s="391"/>
      <c r="F9" s="391"/>
      <c r="G9" s="682">
        <v>335379.35</v>
      </c>
      <c r="H9" s="391"/>
      <c r="I9" s="415">
        <f aca="true" t="shared" si="0" ref="I9:I26">SUM(B9:H9)</f>
        <v>335379.35</v>
      </c>
      <c r="J9" s="680" t="s">
        <v>32</v>
      </c>
      <c r="K9" s="680" t="s">
        <v>18</v>
      </c>
      <c r="L9" s="681" t="s">
        <v>275</v>
      </c>
      <c r="N9" s="120"/>
      <c r="P9" s="120"/>
    </row>
    <row r="10" spans="1:16" ht="65.25">
      <c r="A10" s="679" t="s">
        <v>624</v>
      </c>
      <c r="B10" s="389"/>
      <c r="C10" s="389"/>
      <c r="D10" s="389"/>
      <c r="E10" s="389"/>
      <c r="F10" s="389"/>
      <c r="G10" s="443">
        <f>384607.5+70000</f>
        <v>454607.5</v>
      </c>
      <c r="H10" s="391"/>
      <c r="I10" s="415">
        <f t="shared" si="0"/>
        <v>454607.5</v>
      </c>
      <c r="J10" s="680" t="s">
        <v>32</v>
      </c>
      <c r="K10" s="680" t="s">
        <v>18</v>
      </c>
      <c r="L10" s="681"/>
      <c r="N10" s="120"/>
      <c r="P10" s="120"/>
    </row>
    <row r="11" spans="1:16" ht="27.75" customHeight="1">
      <c r="A11" s="679" t="s">
        <v>607</v>
      </c>
      <c r="B11" s="389"/>
      <c r="C11" s="683">
        <v>299092</v>
      </c>
      <c r="D11" s="389"/>
      <c r="E11" s="389"/>
      <c r="F11" s="389"/>
      <c r="G11" s="438"/>
      <c r="H11" s="391"/>
      <c r="I11" s="415">
        <f t="shared" si="0"/>
        <v>299092</v>
      </c>
      <c r="J11" s="680" t="s">
        <v>308</v>
      </c>
      <c r="K11" s="680" t="s">
        <v>18</v>
      </c>
      <c r="L11" s="681"/>
      <c r="N11" s="120"/>
      <c r="P11" s="120"/>
    </row>
    <row r="12" spans="1:16" ht="65.25">
      <c r="A12" s="679" t="s">
        <v>608</v>
      </c>
      <c r="B12" s="389"/>
      <c r="C12" s="683">
        <v>700000</v>
      </c>
      <c r="D12" s="389"/>
      <c r="E12" s="389"/>
      <c r="F12" s="389"/>
      <c r="G12" s="443"/>
      <c r="H12" s="391"/>
      <c r="I12" s="415">
        <f t="shared" si="0"/>
        <v>700000</v>
      </c>
      <c r="J12" s="680" t="s">
        <v>32</v>
      </c>
      <c r="K12" s="680" t="s">
        <v>609</v>
      </c>
      <c r="L12" s="681"/>
      <c r="N12" s="120"/>
      <c r="P12" s="120"/>
    </row>
    <row r="13" spans="1:16" ht="45" customHeight="1">
      <c r="A13" s="679" t="s">
        <v>610</v>
      </c>
      <c r="B13" s="389"/>
      <c r="C13" s="683">
        <v>840260</v>
      </c>
      <c r="D13" s="389"/>
      <c r="E13" s="389"/>
      <c r="F13" s="389"/>
      <c r="G13" s="443"/>
      <c r="H13" s="391"/>
      <c r="I13" s="415">
        <f t="shared" si="0"/>
        <v>840260</v>
      </c>
      <c r="J13" s="680" t="s">
        <v>32</v>
      </c>
      <c r="K13" s="680" t="s">
        <v>18</v>
      </c>
      <c r="L13" s="681"/>
      <c r="N13" s="120"/>
      <c r="P13" s="120"/>
    </row>
    <row r="14" spans="1:16" ht="43.5">
      <c r="A14" s="679" t="s">
        <v>611</v>
      </c>
      <c r="B14" s="389"/>
      <c r="C14" s="389"/>
      <c r="D14" s="389"/>
      <c r="E14" s="683">
        <v>94997.85</v>
      </c>
      <c r="F14" s="389"/>
      <c r="G14" s="443"/>
      <c r="H14" s="391"/>
      <c r="I14" s="415">
        <f t="shared" si="0"/>
        <v>94997.85</v>
      </c>
      <c r="J14" s="680" t="s">
        <v>32</v>
      </c>
      <c r="K14" s="680" t="s">
        <v>18</v>
      </c>
      <c r="L14" s="681"/>
      <c r="N14" s="120"/>
      <c r="P14" s="120"/>
    </row>
    <row r="15" spans="1:16" ht="43.5">
      <c r="A15" s="679" t="s">
        <v>612</v>
      </c>
      <c r="B15" s="389"/>
      <c r="C15" s="389"/>
      <c r="D15" s="389"/>
      <c r="E15" s="391"/>
      <c r="F15" s="390">
        <v>500000</v>
      </c>
      <c r="G15" s="443"/>
      <c r="H15" s="391"/>
      <c r="I15" s="415">
        <f t="shared" si="0"/>
        <v>500000</v>
      </c>
      <c r="J15" s="680" t="s">
        <v>31</v>
      </c>
      <c r="K15" s="680" t="s">
        <v>18</v>
      </c>
      <c r="L15" s="681"/>
      <c r="N15" s="120"/>
      <c r="P15" s="120"/>
    </row>
    <row r="16" spans="1:16" ht="43.5">
      <c r="A16" s="679" t="s">
        <v>613</v>
      </c>
      <c r="B16" s="389"/>
      <c r="C16" s="389"/>
      <c r="D16" s="390">
        <v>614171.9</v>
      </c>
      <c r="E16" s="391"/>
      <c r="F16" s="389"/>
      <c r="G16" s="443"/>
      <c r="H16" s="391"/>
      <c r="I16" s="415">
        <f t="shared" si="0"/>
        <v>614171.9</v>
      </c>
      <c r="J16" s="680" t="s">
        <v>32</v>
      </c>
      <c r="K16" s="680" t="s">
        <v>18</v>
      </c>
      <c r="L16" s="681"/>
      <c r="N16" s="120"/>
      <c r="P16" s="120"/>
    </row>
    <row r="17" spans="1:16" ht="43.5">
      <c r="A17" s="679" t="s">
        <v>614</v>
      </c>
      <c r="B17" s="389"/>
      <c r="C17" s="389"/>
      <c r="D17" s="389"/>
      <c r="E17" s="390">
        <v>258674.95</v>
      </c>
      <c r="F17" s="389"/>
      <c r="G17" s="443"/>
      <c r="H17" s="391"/>
      <c r="I17" s="415">
        <f t="shared" si="0"/>
        <v>258674.95</v>
      </c>
      <c r="J17" s="680" t="s">
        <v>31</v>
      </c>
      <c r="K17" s="680" t="s">
        <v>615</v>
      </c>
      <c r="L17" s="681"/>
      <c r="N17" s="120"/>
      <c r="P17" s="120"/>
    </row>
    <row r="18" spans="1:16" ht="24" customHeight="1">
      <c r="A18" s="679" t="s">
        <v>616</v>
      </c>
      <c r="B18" s="389"/>
      <c r="C18" s="389"/>
      <c r="D18" s="389"/>
      <c r="E18" s="391"/>
      <c r="F18" s="389"/>
      <c r="G18" s="443">
        <v>569968.59</v>
      </c>
      <c r="H18" s="391"/>
      <c r="I18" s="415">
        <f t="shared" si="0"/>
        <v>569968.59</v>
      </c>
      <c r="J18" s="680" t="s">
        <v>31</v>
      </c>
      <c r="K18" s="680" t="s">
        <v>615</v>
      </c>
      <c r="L18" s="681"/>
      <c r="N18" s="120"/>
      <c r="P18" s="120"/>
    </row>
    <row r="19" spans="1:16" ht="43.5">
      <c r="A19" s="679" t="s">
        <v>617</v>
      </c>
      <c r="B19" s="389"/>
      <c r="C19" s="389"/>
      <c r="D19" s="389"/>
      <c r="E19" s="391"/>
      <c r="F19" s="389"/>
      <c r="G19" s="443">
        <v>550298</v>
      </c>
      <c r="H19" s="391"/>
      <c r="I19" s="415">
        <f t="shared" si="0"/>
        <v>550298</v>
      </c>
      <c r="J19" s="680" t="s">
        <v>31</v>
      </c>
      <c r="K19" s="680" t="s">
        <v>615</v>
      </c>
      <c r="L19" s="681"/>
      <c r="N19" s="120"/>
      <c r="P19" s="120"/>
    </row>
    <row r="20" spans="1:16" ht="21.75">
      <c r="A20" s="679" t="s">
        <v>618</v>
      </c>
      <c r="B20" s="389"/>
      <c r="C20" s="389"/>
      <c r="D20" s="389"/>
      <c r="E20" s="391"/>
      <c r="F20" s="389"/>
      <c r="G20" s="443">
        <v>140000</v>
      </c>
      <c r="H20" s="391"/>
      <c r="I20" s="415">
        <f t="shared" si="0"/>
        <v>140000</v>
      </c>
      <c r="J20" s="680" t="s">
        <v>31</v>
      </c>
      <c r="K20" s="680" t="s">
        <v>18</v>
      </c>
      <c r="L20" s="681"/>
      <c r="N20" s="120"/>
      <c r="P20" s="120"/>
    </row>
    <row r="21" spans="1:16" ht="43.5">
      <c r="A21" s="679" t="s">
        <v>619</v>
      </c>
      <c r="B21" s="389"/>
      <c r="C21" s="389"/>
      <c r="D21" s="389"/>
      <c r="E21" s="391"/>
      <c r="F21" s="389"/>
      <c r="G21" s="443">
        <v>360810</v>
      </c>
      <c r="H21" s="391"/>
      <c r="I21" s="415">
        <f t="shared" si="0"/>
        <v>360810</v>
      </c>
      <c r="J21" s="680" t="s">
        <v>185</v>
      </c>
      <c r="K21" s="680" t="s">
        <v>55</v>
      </c>
      <c r="L21" s="681"/>
      <c r="N21" s="120"/>
      <c r="P21" s="120"/>
    </row>
    <row r="22" spans="1:16" ht="43.5">
      <c r="A22" s="679" t="s">
        <v>620</v>
      </c>
      <c r="B22" s="389"/>
      <c r="C22" s="389"/>
      <c r="D22" s="389"/>
      <c r="E22" s="391"/>
      <c r="F22" s="389"/>
      <c r="G22" s="443">
        <v>50000</v>
      </c>
      <c r="H22" s="391"/>
      <c r="I22" s="415">
        <f t="shared" si="0"/>
        <v>50000</v>
      </c>
      <c r="J22" s="680" t="s">
        <v>31</v>
      </c>
      <c r="K22" s="680" t="s">
        <v>615</v>
      </c>
      <c r="L22" s="681"/>
      <c r="N22" s="120"/>
      <c r="P22" s="120"/>
    </row>
    <row r="23" spans="1:16" ht="43.5">
      <c r="A23" s="679" t="s">
        <v>621</v>
      </c>
      <c r="B23" s="389"/>
      <c r="C23" s="389"/>
      <c r="D23" s="389"/>
      <c r="E23" s="391"/>
      <c r="F23" s="389"/>
      <c r="G23" s="443">
        <v>923533.45</v>
      </c>
      <c r="H23" s="391"/>
      <c r="I23" s="415">
        <f t="shared" si="0"/>
        <v>923533.45</v>
      </c>
      <c r="J23" s="680" t="s">
        <v>185</v>
      </c>
      <c r="K23" s="680" t="s">
        <v>55</v>
      </c>
      <c r="L23" s="681"/>
      <c r="N23" s="120"/>
      <c r="P23" s="120"/>
    </row>
    <row r="24" spans="1:16" ht="43.5">
      <c r="A24" s="679" t="s">
        <v>622</v>
      </c>
      <c r="B24" s="389"/>
      <c r="C24" s="389"/>
      <c r="D24" s="389"/>
      <c r="E24" s="391"/>
      <c r="F24" s="389"/>
      <c r="G24" s="443">
        <v>100000</v>
      </c>
      <c r="H24" s="391"/>
      <c r="I24" s="415">
        <f t="shared" si="0"/>
        <v>100000</v>
      </c>
      <c r="J24" s="680" t="s">
        <v>308</v>
      </c>
      <c r="K24" s="680" t="s">
        <v>55</v>
      </c>
      <c r="L24" s="681"/>
      <c r="N24" s="120"/>
      <c r="P24" s="120"/>
    </row>
    <row r="25" spans="1:16" ht="43.5">
      <c r="A25" s="679" t="s">
        <v>623</v>
      </c>
      <c r="B25" s="389"/>
      <c r="C25" s="389"/>
      <c r="D25" s="389"/>
      <c r="E25" s="391"/>
      <c r="F25" s="389"/>
      <c r="G25" s="443">
        <v>658861.7</v>
      </c>
      <c r="H25" s="391"/>
      <c r="I25" s="415">
        <f t="shared" si="0"/>
        <v>658861.7</v>
      </c>
      <c r="J25" s="680" t="s">
        <v>32</v>
      </c>
      <c r="K25" s="680" t="s">
        <v>165</v>
      </c>
      <c r="L25" s="681"/>
      <c r="N25" s="120"/>
      <c r="P25" s="120"/>
    </row>
    <row r="26" spans="1:16" ht="43.5">
      <c r="A26" s="679" t="s">
        <v>665</v>
      </c>
      <c r="B26" s="389"/>
      <c r="C26" s="389"/>
      <c r="D26" s="389"/>
      <c r="E26" s="389"/>
      <c r="F26" s="389"/>
      <c r="G26" s="443">
        <v>50000</v>
      </c>
      <c r="H26" s="390"/>
      <c r="I26" s="415">
        <f t="shared" si="0"/>
        <v>50000</v>
      </c>
      <c r="J26" s="680" t="s">
        <v>185</v>
      </c>
      <c r="K26" s="680" t="s">
        <v>18</v>
      </c>
      <c r="L26" s="681" t="s">
        <v>275</v>
      </c>
      <c r="N26" s="120"/>
      <c r="P26" s="120"/>
    </row>
    <row r="27" spans="1:16" ht="27.75" customHeight="1" thickBot="1">
      <c r="A27" s="684" t="s">
        <v>2</v>
      </c>
      <c r="B27" s="326">
        <f aca="true" t="shared" si="1" ref="B27:I27">SUM(B8:B26)</f>
        <v>0</v>
      </c>
      <c r="C27" s="326">
        <f t="shared" si="1"/>
        <v>1839352</v>
      </c>
      <c r="D27" s="326">
        <f t="shared" si="1"/>
        <v>614171.9</v>
      </c>
      <c r="E27" s="326">
        <f t="shared" si="1"/>
        <v>353672.80000000005</v>
      </c>
      <c r="F27" s="326">
        <f t="shared" si="1"/>
        <v>500000</v>
      </c>
      <c r="G27" s="326">
        <f t="shared" si="1"/>
        <v>4342856.19</v>
      </c>
      <c r="H27" s="326">
        <f t="shared" si="1"/>
        <v>0</v>
      </c>
      <c r="I27" s="326">
        <f t="shared" si="1"/>
        <v>7650052.890000001</v>
      </c>
      <c r="J27" s="685"/>
      <c r="K27" s="685"/>
      <c r="L27" s="361"/>
      <c r="N27" s="120"/>
      <c r="P27" s="120"/>
    </row>
    <row r="28" spans="1:17" ht="27.75" customHeight="1" thickTop="1">
      <c r="A28" s="686" t="s">
        <v>218</v>
      </c>
      <c r="B28" s="288"/>
      <c r="C28" s="288"/>
      <c r="D28" s="288"/>
      <c r="E28" s="288"/>
      <c r="F28" s="288"/>
      <c r="G28" s="288"/>
      <c r="H28" s="288"/>
      <c r="I28" s="288"/>
      <c r="J28" s="676"/>
      <c r="K28" s="676"/>
      <c r="L28" s="678"/>
      <c r="O28" s="120"/>
      <c r="P28" s="120"/>
      <c r="Q28" s="120"/>
    </row>
    <row r="29" spans="1:17" ht="38.25" customHeight="1">
      <c r="A29" s="687" t="s">
        <v>664</v>
      </c>
      <c r="B29" s="389"/>
      <c r="C29" s="389"/>
      <c r="D29" s="389"/>
      <c r="E29" s="389"/>
      <c r="F29" s="389"/>
      <c r="G29" s="389"/>
      <c r="H29" s="390">
        <v>6560000</v>
      </c>
      <c r="I29" s="390">
        <f>SUM(B29:H29)</f>
        <v>6560000</v>
      </c>
      <c r="J29" s="688" t="s">
        <v>43</v>
      </c>
      <c r="K29" s="689" t="s">
        <v>105</v>
      </c>
      <c r="L29" s="690">
        <v>0.18</v>
      </c>
      <c r="O29" s="120"/>
      <c r="P29" s="120"/>
      <c r="Q29" s="120"/>
    </row>
    <row r="30" spans="1:17" ht="43.5">
      <c r="A30" s="691" t="s">
        <v>213</v>
      </c>
      <c r="B30" s="389"/>
      <c r="C30" s="389"/>
      <c r="D30" s="389"/>
      <c r="E30" s="389"/>
      <c r="F30" s="389"/>
      <c r="G30" s="389"/>
      <c r="H30" s="397"/>
      <c r="I30" s="390">
        <f aca="true" t="shared" si="2" ref="I30:I45">SUM(B30:H30)</f>
        <v>0</v>
      </c>
      <c r="J30" s="688" t="s">
        <v>43</v>
      </c>
      <c r="K30" s="689" t="s">
        <v>105</v>
      </c>
      <c r="L30" s="690">
        <v>0.15</v>
      </c>
      <c r="O30" s="120"/>
      <c r="P30" s="120"/>
      <c r="Q30" s="120"/>
    </row>
    <row r="31" spans="1:17" ht="43.5">
      <c r="A31" s="692" t="s">
        <v>219</v>
      </c>
      <c r="B31" s="389"/>
      <c r="C31" s="389"/>
      <c r="D31" s="389"/>
      <c r="E31" s="389"/>
      <c r="F31" s="389"/>
      <c r="G31" s="389"/>
      <c r="H31" s="391"/>
      <c r="I31" s="391">
        <f t="shared" si="2"/>
        <v>0</v>
      </c>
      <c r="J31" s="688" t="s">
        <v>43</v>
      </c>
      <c r="K31" s="689" t="s">
        <v>105</v>
      </c>
      <c r="L31" s="681"/>
      <c r="O31" s="120"/>
      <c r="P31" s="120"/>
      <c r="Q31" s="120"/>
    </row>
    <row r="32" spans="1:17" ht="39.75" customHeight="1">
      <c r="A32" s="693" t="s">
        <v>637</v>
      </c>
      <c r="B32" s="389"/>
      <c r="C32" s="389"/>
      <c r="D32" s="389"/>
      <c r="E32" s="389"/>
      <c r="F32" s="389"/>
      <c r="G32" s="389"/>
      <c r="H32" s="683">
        <v>1640000</v>
      </c>
      <c r="I32" s="683">
        <f t="shared" si="2"/>
        <v>1640000</v>
      </c>
      <c r="J32" s="688"/>
      <c r="K32" s="689"/>
      <c r="L32" s="681"/>
      <c r="O32" s="120"/>
      <c r="P32" s="120"/>
      <c r="Q32" s="120"/>
    </row>
    <row r="33" spans="1:17" ht="65.25">
      <c r="A33" s="693" t="s">
        <v>272</v>
      </c>
      <c r="B33" s="389"/>
      <c r="C33" s="389"/>
      <c r="D33" s="389"/>
      <c r="E33" s="389"/>
      <c r="F33" s="389"/>
      <c r="G33" s="389"/>
      <c r="H33" s="390">
        <v>67800</v>
      </c>
      <c r="I33" s="390">
        <f t="shared" si="2"/>
        <v>67800</v>
      </c>
      <c r="J33" s="688" t="s">
        <v>43</v>
      </c>
      <c r="K33" s="694" t="s">
        <v>180</v>
      </c>
      <c r="L33" s="681"/>
      <c r="O33" s="120"/>
      <c r="P33" s="120"/>
      <c r="Q33" s="120"/>
    </row>
    <row r="34" spans="1:17" ht="27.75" customHeight="1">
      <c r="A34" s="692" t="s">
        <v>332</v>
      </c>
      <c r="B34" s="389"/>
      <c r="C34" s="389"/>
      <c r="D34" s="389"/>
      <c r="E34" s="389"/>
      <c r="F34" s="389"/>
      <c r="G34" s="389"/>
      <c r="H34" s="683">
        <v>29327296.8</v>
      </c>
      <c r="I34" s="683">
        <f t="shared" si="2"/>
        <v>29327296.8</v>
      </c>
      <c r="J34" s="688" t="s">
        <v>43</v>
      </c>
      <c r="K34" s="694" t="s">
        <v>180</v>
      </c>
      <c r="L34" s="681"/>
      <c r="O34" s="120"/>
      <c r="P34" s="120"/>
      <c r="Q34" s="120"/>
    </row>
    <row r="35" spans="1:17" ht="27.75" customHeight="1">
      <c r="A35" s="692" t="s">
        <v>333</v>
      </c>
      <c r="B35" s="389"/>
      <c r="C35" s="389"/>
      <c r="D35" s="389"/>
      <c r="E35" s="389"/>
      <c r="F35" s="389"/>
      <c r="G35" s="389"/>
      <c r="H35" s="683">
        <v>84750</v>
      </c>
      <c r="I35" s="683">
        <f t="shared" si="2"/>
        <v>84750</v>
      </c>
      <c r="J35" s="688" t="s">
        <v>43</v>
      </c>
      <c r="K35" s="694" t="s">
        <v>180</v>
      </c>
      <c r="L35" s="681"/>
      <c r="O35" s="120"/>
      <c r="P35" s="120"/>
      <c r="Q35" s="120"/>
    </row>
    <row r="36" spans="1:17" ht="43.5" customHeight="1">
      <c r="A36" s="692" t="s">
        <v>214</v>
      </c>
      <c r="B36" s="389"/>
      <c r="C36" s="389"/>
      <c r="D36" s="389"/>
      <c r="E36" s="389"/>
      <c r="F36" s="389"/>
      <c r="G36" s="389"/>
      <c r="H36" s="683">
        <v>678000</v>
      </c>
      <c r="I36" s="683">
        <f t="shared" si="2"/>
        <v>678000</v>
      </c>
      <c r="J36" s="688" t="s">
        <v>43</v>
      </c>
      <c r="K36" s="694" t="s">
        <v>180</v>
      </c>
      <c r="L36" s="681"/>
      <c r="O36" s="120"/>
      <c r="P36" s="120"/>
      <c r="Q36" s="120"/>
    </row>
    <row r="37" spans="1:17" ht="33.75" customHeight="1">
      <c r="A37" s="693" t="s">
        <v>215</v>
      </c>
      <c r="B37" s="389"/>
      <c r="C37" s="389"/>
      <c r="D37" s="389"/>
      <c r="E37" s="389"/>
      <c r="F37" s="389"/>
      <c r="G37" s="389"/>
      <c r="H37" s="683">
        <v>2080500</v>
      </c>
      <c r="I37" s="683">
        <f t="shared" si="2"/>
        <v>2080500</v>
      </c>
      <c r="J37" s="688" t="s">
        <v>43</v>
      </c>
      <c r="K37" s="694" t="s">
        <v>180</v>
      </c>
      <c r="L37" s="681"/>
      <c r="O37" s="120"/>
      <c r="P37" s="120"/>
      <c r="Q37" s="120"/>
    </row>
    <row r="38" spans="1:17" ht="43.5">
      <c r="A38" s="692" t="s">
        <v>636</v>
      </c>
      <c r="B38" s="389"/>
      <c r="C38" s="389"/>
      <c r="D38" s="389"/>
      <c r="E38" s="389"/>
      <c r="F38" s="389"/>
      <c r="G38" s="389"/>
      <c r="H38" s="390">
        <v>101700</v>
      </c>
      <c r="I38" s="390">
        <f t="shared" si="2"/>
        <v>101700</v>
      </c>
      <c r="J38" s="695" t="s">
        <v>43</v>
      </c>
      <c r="K38" s="694" t="s">
        <v>180</v>
      </c>
      <c r="L38" s="681"/>
      <c r="O38" s="120"/>
      <c r="P38" s="120"/>
      <c r="Q38" s="120"/>
    </row>
    <row r="39" spans="1:17" ht="44.25" customHeight="1">
      <c r="A39" s="693" t="s">
        <v>216</v>
      </c>
      <c r="B39" s="389"/>
      <c r="C39" s="389"/>
      <c r="D39" s="389"/>
      <c r="E39" s="389"/>
      <c r="F39" s="389"/>
      <c r="G39" s="389"/>
      <c r="H39" s="683">
        <v>33900</v>
      </c>
      <c r="I39" s="683">
        <f t="shared" si="2"/>
        <v>33900</v>
      </c>
      <c r="J39" s="688" t="s">
        <v>43</v>
      </c>
      <c r="K39" s="694" t="s">
        <v>180</v>
      </c>
      <c r="L39" s="681"/>
      <c r="O39" s="120"/>
      <c r="P39" s="120"/>
      <c r="Q39" s="120"/>
    </row>
    <row r="40" spans="1:17" ht="43.5" customHeight="1">
      <c r="A40" s="692" t="s">
        <v>325</v>
      </c>
      <c r="B40" s="389"/>
      <c r="C40" s="389"/>
      <c r="D40" s="389"/>
      <c r="E40" s="389"/>
      <c r="F40" s="389"/>
      <c r="G40" s="389"/>
      <c r="H40" s="390">
        <f>678000*88/100</f>
        <v>596640</v>
      </c>
      <c r="I40" s="390">
        <f t="shared" si="2"/>
        <v>596640</v>
      </c>
      <c r="J40" s="688" t="s">
        <v>43</v>
      </c>
      <c r="K40" s="694" t="s">
        <v>180</v>
      </c>
      <c r="L40" s="690">
        <v>0.88</v>
      </c>
      <c r="O40" s="120"/>
      <c r="P40" s="120"/>
      <c r="Q40" s="120"/>
    </row>
    <row r="41" spans="1:17" ht="43.5">
      <c r="A41" s="693" t="s">
        <v>326</v>
      </c>
      <c r="B41" s="389"/>
      <c r="C41" s="389"/>
      <c r="D41" s="389"/>
      <c r="E41" s="389"/>
      <c r="F41" s="389"/>
      <c r="G41" s="389"/>
      <c r="H41" s="390">
        <v>345918.37</v>
      </c>
      <c r="I41" s="390">
        <f t="shared" si="2"/>
        <v>345918.37</v>
      </c>
      <c r="J41" s="688" t="s">
        <v>43</v>
      </c>
      <c r="K41" s="694" t="s">
        <v>180</v>
      </c>
      <c r="L41" s="681"/>
      <c r="O41" s="120"/>
      <c r="P41" s="120"/>
      <c r="Q41" s="120"/>
    </row>
    <row r="42" spans="1:17" ht="43.5">
      <c r="A42" s="693" t="s">
        <v>217</v>
      </c>
      <c r="B42" s="389"/>
      <c r="C42" s="389"/>
      <c r="D42" s="389"/>
      <c r="E42" s="389"/>
      <c r="F42" s="389"/>
      <c r="G42" s="389"/>
      <c r="H42" s="390">
        <v>1356000</v>
      </c>
      <c r="I42" s="390">
        <f t="shared" si="2"/>
        <v>1356000</v>
      </c>
      <c r="J42" s="695" t="s">
        <v>43</v>
      </c>
      <c r="K42" s="680" t="s">
        <v>180</v>
      </c>
      <c r="L42" s="681"/>
      <c r="O42" s="120"/>
      <c r="P42" s="120"/>
      <c r="Q42" s="120"/>
    </row>
    <row r="43" spans="1:17" ht="27.75" customHeight="1">
      <c r="A43" s="692" t="s">
        <v>331</v>
      </c>
      <c r="B43" s="389"/>
      <c r="C43" s="389"/>
      <c r="D43" s="389"/>
      <c r="E43" s="389"/>
      <c r="F43" s="389"/>
      <c r="G43" s="389"/>
      <c r="H43" s="390">
        <v>169500</v>
      </c>
      <c r="I43" s="390">
        <f t="shared" si="2"/>
        <v>169500</v>
      </c>
      <c r="J43" s="695" t="s">
        <v>43</v>
      </c>
      <c r="K43" s="680" t="s">
        <v>180</v>
      </c>
      <c r="L43" s="681"/>
      <c r="O43" s="120"/>
      <c r="P43" s="120"/>
      <c r="Q43" s="120"/>
    </row>
    <row r="44" spans="1:17" ht="20.25" customHeight="1">
      <c r="A44" s="692" t="s">
        <v>330</v>
      </c>
      <c r="B44" s="696"/>
      <c r="C44" s="388"/>
      <c r="D44" s="696"/>
      <c r="E44" s="388"/>
      <c r="F44" s="388"/>
      <c r="G44" s="388"/>
      <c r="H44" s="413">
        <v>339000</v>
      </c>
      <c r="I44" s="414">
        <f t="shared" si="2"/>
        <v>339000</v>
      </c>
      <c r="J44" s="688" t="s">
        <v>43</v>
      </c>
      <c r="K44" s="677" t="s">
        <v>180</v>
      </c>
      <c r="L44" s="678"/>
      <c r="O44" s="120"/>
      <c r="P44" s="120">
        <f>O44*35.3</f>
        <v>0</v>
      </c>
      <c r="Q44" s="120"/>
    </row>
    <row r="45" spans="1:17" ht="43.5">
      <c r="A45" s="692" t="s">
        <v>639</v>
      </c>
      <c r="B45" s="697"/>
      <c r="C45" s="415"/>
      <c r="D45" s="697"/>
      <c r="E45" s="415"/>
      <c r="F45" s="415"/>
      <c r="G45" s="415"/>
      <c r="H45" s="369">
        <v>678000</v>
      </c>
      <c r="I45" s="414">
        <f t="shared" si="2"/>
        <v>678000</v>
      </c>
      <c r="J45" s="688"/>
      <c r="K45" s="698"/>
      <c r="L45" s="681"/>
      <c r="O45" s="120"/>
      <c r="P45" s="120"/>
      <c r="Q45" s="120"/>
    </row>
    <row r="46" spans="1:17" ht="43.5">
      <c r="A46" s="692" t="s">
        <v>638</v>
      </c>
      <c r="B46" s="697"/>
      <c r="C46" s="415"/>
      <c r="D46" s="697"/>
      <c r="E46" s="415"/>
      <c r="F46" s="415"/>
      <c r="G46" s="415"/>
      <c r="H46" s="369">
        <v>33900</v>
      </c>
      <c r="I46" s="390">
        <f>SUM(B46:H46)</f>
        <v>33900</v>
      </c>
      <c r="J46" s="681" t="s">
        <v>43</v>
      </c>
      <c r="K46" s="680" t="s">
        <v>180</v>
      </c>
      <c r="L46" s="681"/>
      <c r="O46" s="120"/>
      <c r="P46" s="120"/>
      <c r="Q46" s="120"/>
    </row>
    <row r="47" spans="1:17" ht="21.75">
      <c r="A47" s="692" t="s">
        <v>640</v>
      </c>
      <c r="B47" s="697"/>
      <c r="C47" s="415"/>
      <c r="D47" s="697"/>
      <c r="E47" s="415"/>
      <c r="F47" s="415"/>
      <c r="G47" s="415"/>
      <c r="H47" s="369">
        <v>300000</v>
      </c>
      <c r="I47" s="390">
        <f>SUM(B47:H47)</f>
        <v>300000</v>
      </c>
      <c r="J47" s="681"/>
      <c r="K47" s="680"/>
      <c r="L47" s="681"/>
      <c r="O47" s="120"/>
      <c r="P47" s="120"/>
      <c r="Q47" s="120"/>
    </row>
    <row r="48" spans="1:17" ht="21.75">
      <c r="A48" s="692" t="s">
        <v>329</v>
      </c>
      <c r="B48" s="697"/>
      <c r="C48" s="415"/>
      <c r="D48" s="697"/>
      <c r="E48" s="415"/>
      <c r="F48" s="415"/>
      <c r="G48" s="415"/>
      <c r="H48" s="369"/>
      <c r="I48" s="390">
        <f>SUM(B48:H48)</f>
        <v>0</v>
      </c>
      <c r="J48" s="681"/>
      <c r="K48" s="699"/>
      <c r="L48" s="681"/>
      <c r="O48" s="120"/>
      <c r="P48" s="120"/>
      <c r="Q48" s="120"/>
    </row>
    <row r="49" spans="1:17" ht="22.5" thickBot="1">
      <c r="A49" s="684" t="s">
        <v>2</v>
      </c>
      <c r="B49" s="700">
        <f aca="true" t="shared" si="3" ref="B49:I49">SUM(B29:B48)</f>
        <v>0</v>
      </c>
      <c r="C49" s="700">
        <f t="shared" si="3"/>
        <v>0</v>
      </c>
      <c r="D49" s="700">
        <f t="shared" si="3"/>
        <v>0</v>
      </c>
      <c r="E49" s="700">
        <f t="shared" si="3"/>
        <v>0</v>
      </c>
      <c r="F49" s="700">
        <f t="shared" si="3"/>
        <v>0</v>
      </c>
      <c r="G49" s="700">
        <f t="shared" si="3"/>
        <v>0</v>
      </c>
      <c r="H49" s="466">
        <f t="shared" si="3"/>
        <v>44392905.169999994</v>
      </c>
      <c r="I49" s="418">
        <f t="shared" si="3"/>
        <v>44392905.169999994</v>
      </c>
      <c r="J49" s="361"/>
      <c r="K49" s="701"/>
      <c r="L49" s="361"/>
      <c r="O49" s="120"/>
      <c r="P49" s="120"/>
      <c r="Q49" s="120"/>
    </row>
    <row r="50" spans="1:17" ht="22.5" thickTop="1">
      <c r="A50" s="686" t="s">
        <v>243</v>
      </c>
      <c r="B50" s="702"/>
      <c r="C50" s="76"/>
      <c r="D50" s="702"/>
      <c r="E50" s="76"/>
      <c r="F50" s="76"/>
      <c r="G50" s="76"/>
      <c r="H50" s="416"/>
      <c r="I50" s="417"/>
      <c r="J50" s="350"/>
      <c r="K50" s="703"/>
      <c r="L50" s="350"/>
      <c r="O50" s="120"/>
      <c r="P50" s="120"/>
      <c r="Q50" s="120"/>
    </row>
    <row r="51" spans="1:17" ht="65.25">
      <c r="A51" s="704" t="s">
        <v>593</v>
      </c>
      <c r="B51" s="705"/>
      <c r="C51" s="419"/>
      <c r="D51" s="705"/>
      <c r="E51" s="419"/>
      <c r="F51" s="419"/>
      <c r="G51" s="419"/>
      <c r="H51" s="420">
        <v>157275</v>
      </c>
      <c r="I51" s="414">
        <f>SUM(B51:H51)</f>
        <v>157275</v>
      </c>
      <c r="J51" s="688" t="s">
        <v>43</v>
      </c>
      <c r="K51" s="698" t="s">
        <v>105</v>
      </c>
      <c r="L51" s="688"/>
      <c r="O51" s="120"/>
      <c r="P51" s="120"/>
      <c r="Q51" s="120"/>
    </row>
    <row r="52" spans="1:17" ht="22.5" thickBot="1">
      <c r="A52" s="684" t="s">
        <v>2</v>
      </c>
      <c r="B52" s="706"/>
      <c r="C52" s="130"/>
      <c r="D52" s="706"/>
      <c r="E52" s="130"/>
      <c r="F52" s="130"/>
      <c r="G52" s="130"/>
      <c r="H52" s="466">
        <f>SUM(H51)</f>
        <v>157275</v>
      </c>
      <c r="I52" s="418">
        <f>SUM(I51)</f>
        <v>157275</v>
      </c>
      <c r="J52" s="361"/>
      <c r="K52" s="685"/>
      <c r="L52" s="361"/>
      <c r="O52" s="120"/>
      <c r="P52" s="120"/>
      <c r="Q52" s="120"/>
    </row>
    <row r="53" spans="1:17" ht="22.5" thickTop="1">
      <c r="A53" s="686" t="s">
        <v>654</v>
      </c>
      <c r="B53" s="702"/>
      <c r="C53" s="76"/>
      <c r="D53" s="702"/>
      <c r="E53" s="76"/>
      <c r="F53" s="76"/>
      <c r="G53" s="76"/>
      <c r="H53" s="416"/>
      <c r="I53" s="417"/>
      <c r="J53" s="350"/>
      <c r="K53" s="703"/>
      <c r="L53" s="350"/>
      <c r="O53" s="120"/>
      <c r="P53" s="120"/>
      <c r="Q53" s="120"/>
    </row>
    <row r="54" spans="1:17" ht="21.75">
      <c r="A54" s="704" t="s">
        <v>244</v>
      </c>
      <c r="B54" s="705"/>
      <c r="C54" s="419"/>
      <c r="D54" s="705"/>
      <c r="E54" s="419"/>
      <c r="F54" s="419"/>
      <c r="G54" s="419"/>
      <c r="H54" s="420">
        <v>2550000</v>
      </c>
      <c r="I54" s="414">
        <f aca="true" t="shared" si="4" ref="I54:I64">SUM(B54:H54)</f>
        <v>2550000</v>
      </c>
      <c r="J54" s="688" t="s">
        <v>43</v>
      </c>
      <c r="K54" s="677" t="s">
        <v>105</v>
      </c>
      <c r="L54" s="688"/>
      <c r="O54" s="120"/>
      <c r="P54" s="120"/>
      <c r="Q54" s="120"/>
    </row>
    <row r="55" spans="1:17" ht="22.5" thickBot="1">
      <c r="A55" s="684" t="s">
        <v>2</v>
      </c>
      <c r="B55" s="706"/>
      <c r="C55" s="130"/>
      <c r="D55" s="706"/>
      <c r="E55" s="130"/>
      <c r="F55" s="130"/>
      <c r="G55" s="130"/>
      <c r="H55" s="466">
        <f>SUM(H54)</f>
        <v>2550000</v>
      </c>
      <c r="I55" s="466">
        <f>SUM(I54)</f>
        <v>2550000</v>
      </c>
      <c r="J55" s="361"/>
      <c r="K55" s="701"/>
      <c r="L55" s="361"/>
      <c r="O55" s="120"/>
      <c r="P55" s="120"/>
      <c r="Q55" s="120"/>
    </row>
    <row r="56" spans="1:17" ht="22.5" thickTop="1">
      <c r="A56" s="686" t="s">
        <v>245</v>
      </c>
      <c r="B56" s="702"/>
      <c r="C56" s="76"/>
      <c r="D56" s="702"/>
      <c r="E56" s="76"/>
      <c r="F56" s="76"/>
      <c r="G56" s="76"/>
      <c r="H56" s="416"/>
      <c r="I56" s="417"/>
      <c r="J56" s="350"/>
      <c r="K56" s="703"/>
      <c r="L56" s="350"/>
      <c r="O56" s="120"/>
      <c r="P56" s="120"/>
      <c r="Q56" s="120"/>
    </row>
    <row r="57" spans="1:17" ht="21.75">
      <c r="A57" s="693" t="s">
        <v>662</v>
      </c>
      <c r="B57" s="697"/>
      <c r="C57" s="415"/>
      <c r="D57" s="697"/>
      <c r="E57" s="415"/>
      <c r="F57" s="415"/>
      <c r="G57" s="415"/>
      <c r="H57" s="369">
        <v>66031921</v>
      </c>
      <c r="I57" s="390">
        <f t="shared" si="4"/>
        <v>66031921</v>
      </c>
      <c r="J57" s="681" t="s">
        <v>43</v>
      </c>
      <c r="K57" s="699" t="s">
        <v>105</v>
      </c>
      <c r="L57" s="681"/>
      <c r="O57" s="120"/>
      <c r="P57" s="120"/>
      <c r="Q57" s="120"/>
    </row>
    <row r="58" spans="1:17" ht="21.75">
      <c r="A58" s="693" t="s">
        <v>661</v>
      </c>
      <c r="B58" s="697"/>
      <c r="C58" s="415"/>
      <c r="D58" s="697"/>
      <c r="E58" s="415"/>
      <c r="F58" s="415"/>
      <c r="G58" s="415"/>
      <c r="H58" s="369">
        <v>491625</v>
      </c>
      <c r="I58" s="390">
        <f t="shared" si="4"/>
        <v>491625</v>
      </c>
      <c r="J58" s="681" t="s">
        <v>43</v>
      </c>
      <c r="K58" s="699" t="s">
        <v>105</v>
      </c>
      <c r="L58" s="681"/>
      <c r="O58" s="120"/>
      <c r="P58" s="120"/>
      <c r="Q58" s="120"/>
    </row>
    <row r="59" spans="1:17" ht="21.75">
      <c r="A59" s="693" t="s">
        <v>660</v>
      </c>
      <c r="B59" s="697"/>
      <c r="C59" s="415"/>
      <c r="D59" s="697"/>
      <c r="E59" s="415"/>
      <c r="F59" s="415"/>
      <c r="G59" s="415"/>
      <c r="H59" s="369">
        <v>125249</v>
      </c>
      <c r="I59" s="390">
        <f t="shared" si="4"/>
        <v>125249</v>
      </c>
      <c r="J59" s="681" t="s">
        <v>43</v>
      </c>
      <c r="K59" s="699" t="s">
        <v>105</v>
      </c>
      <c r="L59" s="681"/>
      <c r="O59" s="120"/>
      <c r="P59" s="120"/>
      <c r="Q59" s="120"/>
    </row>
    <row r="60" spans="1:17" ht="65.25">
      <c r="A60" s="693" t="s">
        <v>659</v>
      </c>
      <c r="B60" s="697"/>
      <c r="C60" s="415"/>
      <c r="D60" s="697"/>
      <c r="E60" s="415"/>
      <c r="F60" s="415"/>
      <c r="G60" s="415"/>
      <c r="H60" s="369">
        <v>913935</v>
      </c>
      <c r="I60" s="390">
        <f t="shared" si="4"/>
        <v>913935</v>
      </c>
      <c r="J60" s="681" t="s">
        <v>43</v>
      </c>
      <c r="K60" s="680" t="s">
        <v>105</v>
      </c>
      <c r="L60" s="681"/>
      <c r="O60" s="120"/>
      <c r="P60" s="120"/>
      <c r="Q60" s="120"/>
    </row>
    <row r="61" spans="1:17" ht="21.75">
      <c r="A61" s="693" t="s">
        <v>658</v>
      </c>
      <c r="B61" s="697"/>
      <c r="C61" s="415"/>
      <c r="D61" s="697"/>
      <c r="E61" s="415"/>
      <c r="F61" s="415"/>
      <c r="G61" s="415"/>
      <c r="H61" s="369">
        <v>527720</v>
      </c>
      <c r="I61" s="390">
        <f t="shared" si="4"/>
        <v>527720</v>
      </c>
      <c r="J61" s="681" t="s">
        <v>43</v>
      </c>
      <c r="K61" s="699" t="s">
        <v>105</v>
      </c>
      <c r="L61" s="681"/>
      <c r="O61" s="120"/>
      <c r="P61" s="120"/>
      <c r="Q61" s="120"/>
    </row>
    <row r="62" spans="1:17" ht="43.5">
      <c r="A62" s="693" t="s">
        <v>657</v>
      </c>
      <c r="B62" s="705"/>
      <c r="C62" s="419"/>
      <c r="D62" s="705"/>
      <c r="E62" s="419"/>
      <c r="F62" s="419"/>
      <c r="G62" s="419"/>
      <c r="H62" s="420">
        <v>958800</v>
      </c>
      <c r="I62" s="390">
        <f t="shared" si="4"/>
        <v>958800</v>
      </c>
      <c r="J62" s="681" t="s">
        <v>43</v>
      </c>
      <c r="K62" s="680" t="s">
        <v>105</v>
      </c>
      <c r="L62" s="688"/>
      <c r="O62" s="120"/>
      <c r="P62" s="120"/>
      <c r="Q62" s="120"/>
    </row>
    <row r="63" spans="1:17" ht="21.75">
      <c r="A63" s="693" t="s">
        <v>656</v>
      </c>
      <c r="B63" s="697"/>
      <c r="C63" s="415"/>
      <c r="D63" s="697"/>
      <c r="E63" s="415"/>
      <c r="F63" s="415"/>
      <c r="G63" s="415"/>
      <c r="H63" s="181">
        <v>1637250</v>
      </c>
      <c r="I63" s="390">
        <f t="shared" si="4"/>
        <v>1637250</v>
      </c>
      <c r="J63" s="681" t="s">
        <v>43</v>
      </c>
      <c r="K63" s="680" t="s">
        <v>105</v>
      </c>
      <c r="L63" s="688"/>
      <c r="O63" s="120"/>
      <c r="P63" s="120"/>
      <c r="Q63" s="120"/>
    </row>
    <row r="64" spans="1:17" ht="21.75">
      <c r="A64" s="693" t="s">
        <v>655</v>
      </c>
      <c r="B64" s="696"/>
      <c r="C64" s="388"/>
      <c r="D64" s="696"/>
      <c r="E64" s="388"/>
      <c r="F64" s="388"/>
      <c r="G64" s="388"/>
      <c r="H64" s="586">
        <v>5000000</v>
      </c>
      <c r="I64" s="543">
        <f t="shared" si="4"/>
        <v>5000000</v>
      </c>
      <c r="J64" s="681" t="s">
        <v>43</v>
      </c>
      <c r="K64" s="707" t="s">
        <v>167</v>
      </c>
      <c r="L64" s="678"/>
      <c r="O64" s="120"/>
      <c r="P64" s="120"/>
      <c r="Q64" s="120"/>
    </row>
    <row r="65" spans="1:17" ht="22.5" thickBot="1">
      <c r="A65" s="684" t="s">
        <v>2</v>
      </c>
      <c r="B65" s="326">
        <f aca="true" t="shared" si="5" ref="B65:G65">SUM(B51:B63)</f>
        <v>0</v>
      </c>
      <c r="C65" s="326">
        <f t="shared" si="5"/>
        <v>0</v>
      </c>
      <c r="D65" s="326">
        <f t="shared" si="5"/>
        <v>0</v>
      </c>
      <c r="E65" s="326">
        <f t="shared" si="5"/>
        <v>0</v>
      </c>
      <c r="F65" s="326">
        <f t="shared" si="5"/>
        <v>0</v>
      </c>
      <c r="G65" s="326">
        <f t="shared" si="5"/>
        <v>0</v>
      </c>
      <c r="H65" s="326">
        <f>SUM(H57:H64)</f>
        <v>75686500</v>
      </c>
      <c r="I65" s="326">
        <f>SUM(I57:I64)</f>
        <v>75686500</v>
      </c>
      <c r="J65" s="685"/>
      <c r="K65" s="685"/>
      <c r="L65" s="361"/>
      <c r="O65" s="120"/>
      <c r="P65" s="120"/>
      <c r="Q65" s="120"/>
    </row>
    <row r="66" spans="1:17" ht="22.5" thickTop="1">
      <c r="A66" s="708" t="s">
        <v>161</v>
      </c>
      <c r="B66" s="702"/>
      <c r="C66" s="76"/>
      <c r="D66" s="702"/>
      <c r="E66" s="76"/>
      <c r="F66" s="76"/>
      <c r="G66" s="76"/>
      <c r="H66" s="75"/>
      <c r="I66" s="388"/>
      <c r="J66" s="709"/>
      <c r="K66" s="702"/>
      <c r="L66" s="350"/>
      <c r="O66" s="120"/>
      <c r="P66" s="120"/>
      <c r="Q66" s="120"/>
    </row>
    <row r="67" spans="1:17" ht="65.25">
      <c r="A67" s="710" t="s">
        <v>116</v>
      </c>
      <c r="B67" s="143">
        <v>131848600</v>
      </c>
      <c r="C67" s="143">
        <v>65725900</v>
      </c>
      <c r="D67" s="143">
        <v>59273900</v>
      </c>
      <c r="E67" s="143">
        <v>13814300</v>
      </c>
      <c r="F67" s="143">
        <v>2242100</v>
      </c>
      <c r="G67" s="415">
        <v>226197500</v>
      </c>
      <c r="H67" s="583"/>
      <c r="I67" s="419">
        <f aca="true" t="shared" si="6" ref="I67:I74">SUM(B67:H67)</f>
        <v>499102300</v>
      </c>
      <c r="J67" s="688" t="s">
        <v>43</v>
      </c>
      <c r="K67" s="697" t="s">
        <v>118</v>
      </c>
      <c r="L67" s="688"/>
      <c r="O67" s="120"/>
      <c r="P67" s="120"/>
      <c r="Q67" s="120"/>
    </row>
    <row r="68" spans="1:17" ht="21.75">
      <c r="A68" s="711" t="s">
        <v>117</v>
      </c>
      <c r="B68" s="709"/>
      <c r="C68" s="388"/>
      <c r="D68" s="709"/>
      <c r="E68" s="388"/>
      <c r="F68" s="388"/>
      <c r="G68" s="388"/>
      <c r="H68" s="272"/>
      <c r="I68" s="419"/>
      <c r="J68" s="688"/>
      <c r="K68" s="689"/>
      <c r="L68" s="712"/>
      <c r="O68" s="120"/>
      <c r="P68" s="120"/>
      <c r="Q68" s="120"/>
    </row>
    <row r="69" spans="1:17" ht="45.75" customHeight="1">
      <c r="A69" s="692" t="s">
        <v>197</v>
      </c>
      <c r="B69" s="689"/>
      <c r="C69" s="415"/>
      <c r="D69" s="689"/>
      <c r="E69" s="415"/>
      <c r="F69" s="415"/>
      <c r="G69" s="415"/>
      <c r="H69" s="143">
        <v>15000000</v>
      </c>
      <c r="I69" s="419">
        <f t="shared" si="6"/>
        <v>15000000</v>
      </c>
      <c r="J69" s="688" t="s">
        <v>43</v>
      </c>
      <c r="K69" s="689" t="s">
        <v>81</v>
      </c>
      <c r="L69" s="713"/>
      <c r="O69" s="120"/>
      <c r="P69" s="120"/>
      <c r="Q69" s="120"/>
    </row>
    <row r="70" spans="1:17" ht="47.25" customHeight="1">
      <c r="A70" s="692" t="s">
        <v>160</v>
      </c>
      <c r="B70" s="689"/>
      <c r="C70" s="415"/>
      <c r="D70" s="689"/>
      <c r="E70" s="415"/>
      <c r="F70" s="415"/>
      <c r="G70" s="415"/>
      <c r="H70" s="227">
        <v>800000</v>
      </c>
      <c r="I70" s="419">
        <f t="shared" si="6"/>
        <v>800000</v>
      </c>
      <c r="J70" s="688" t="s">
        <v>43</v>
      </c>
      <c r="K70" s="689" t="s">
        <v>81</v>
      </c>
      <c r="L70" s="713"/>
      <c r="O70" s="120"/>
      <c r="P70" s="120"/>
      <c r="Q70" s="120"/>
    </row>
    <row r="71" spans="1:17" ht="46.5" customHeight="1">
      <c r="A71" s="692" t="s">
        <v>196</v>
      </c>
      <c r="B71" s="689"/>
      <c r="C71" s="415"/>
      <c r="D71" s="689"/>
      <c r="E71" s="415"/>
      <c r="F71" s="415"/>
      <c r="G71" s="415"/>
      <c r="H71" s="227">
        <v>50000</v>
      </c>
      <c r="I71" s="419">
        <f t="shared" si="6"/>
        <v>50000</v>
      </c>
      <c r="J71" s="688" t="s">
        <v>43</v>
      </c>
      <c r="K71" s="689" t="s">
        <v>81</v>
      </c>
      <c r="L71" s="713"/>
      <c r="O71" s="120"/>
      <c r="P71" s="120"/>
      <c r="Q71" s="120"/>
    </row>
    <row r="72" spans="1:17" ht="27.75" customHeight="1">
      <c r="A72" s="692" t="s">
        <v>663</v>
      </c>
      <c r="B72" s="689"/>
      <c r="C72" s="415"/>
      <c r="D72" s="689"/>
      <c r="E72" s="415"/>
      <c r="F72" s="415"/>
      <c r="G72" s="415"/>
      <c r="H72" s="227">
        <v>15462000</v>
      </c>
      <c r="I72" s="419">
        <f t="shared" si="6"/>
        <v>15462000</v>
      </c>
      <c r="J72" s="688" t="s">
        <v>43</v>
      </c>
      <c r="K72" s="689" t="s">
        <v>81</v>
      </c>
      <c r="L72" s="713"/>
      <c r="O72" s="120"/>
      <c r="P72" s="120"/>
      <c r="Q72" s="120"/>
    </row>
    <row r="73" spans="1:17" ht="42.75" customHeight="1">
      <c r="A73" s="692" t="s">
        <v>195</v>
      </c>
      <c r="B73" s="689"/>
      <c r="C73" s="415"/>
      <c r="D73" s="689"/>
      <c r="E73" s="415"/>
      <c r="F73" s="415"/>
      <c r="G73" s="415"/>
      <c r="H73" s="227">
        <v>989176.32</v>
      </c>
      <c r="I73" s="419">
        <f t="shared" si="6"/>
        <v>989176.32</v>
      </c>
      <c r="J73" s="688" t="s">
        <v>43</v>
      </c>
      <c r="K73" s="689" t="s">
        <v>81</v>
      </c>
      <c r="L73" s="713"/>
      <c r="O73" s="120"/>
      <c r="P73" s="120"/>
      <c r="Q73" s="120"/>
    </row>
    <row r="74" spans="1:12" ht="48" customHeight="1">
      <c r="A74" s="714" t="s">
        <v>194</v>
      </c>
      <c r="B74" s="709"/>
      <c r="C74" s="388"/>
      <c r="D74" s="709"/>
      <c r="E74" s="388"/>
      <c r="F74" s="388"/>
      <c r="G74" s="388"/>
      <c r="H74" s="372">
        <v>571851</v>
      </c>
      <c r="I74" s="419">
        <f t="shared" si="6"/>
        <v>571851</v>
      </c>
      <c r="J74" s="688" t="s">
        <v>43</v>
      </c>
      <c r="K74" s="715" t="s">
        <v>81</v>
      </c>
      <c r="L74" s="716"/>
    </row>
    <row r="75" spans="1:12" ht="22.5" thickBot="1">
      <c r="A75" s="717" t="s">
        <v>2</v>
      </c>
      <c r="B75" s="130">
        <f aca="true" t="shared" si="7" ref="B75:G75">SUM(B67:B68)</f>
        <v>131848600</v>
      </c>
      <c r="C75" s="130">
        <f t="shared" si="7"/>
        <v>65725900</v>
      </c>
      <c r="D75" s="130">
        <f t="shared" si="7"/>
        <v>59273900</v>
      </c>
      <c r="E75" s="130">
        <f t="shared" si="7"/>
        <v>13814300</v>
      </c>
      <c r="F75" s="130">
        <f t="shared" si="7"/>
        <v>2242100</v>
      </c>
      <c r="G75" s="130">
        <f t="shared" si="7"/>
        <v>226197500</v>
      </c>
      <c r="H75" s="273">
        <f>SUM(H69:H74)</f>
        <v>32873027.32</v>
      </c>
      <c r="I75" s="273">
        <f>SUM(I67:I74)</f>
        <v>531975327.32</v>
      </c>
      <c r="J75" s="718"/>
      <c r="K75" s="719"/>
      <c r="L75" s="361"/>
    </row>
    <row r="76" spans="1:12" ht="23.25" thickBot="1" thickTop="1">
      <c r="A76" s="720" t="s">
        <v>108</v>
      </c>
      <c r="B76" s="132">
        <f aca="true" t="shared" si="8" ref="B76:I76">B75+B65+B55+B52+B49+B27</f>
        <v>131848600</v>
      </c>
      <c r="C76" s="132">
        <f t="shared" si="8"/>
        <v>67565252</v>
      </c>
      <c r="D76" s="132">
        <f t="shared" si="8"/>
        <v>59888071.9</v>
      </c>
      <c r="E76" s="132">
        <f t="shared" si="8"/>
        <v>14167972.8</v>
      </c>
      <c r="F76" s="132">
        <f t="shared" si="8"/>
        <v>2742100</v>
      </c>
      <c r="G76" s="132">
        <f t="shared" si="8"/>
        <v>230540356.19</v>
      </c>
      <c r="H76" s="132">
        <f t="shared" si="8"/>
        <v>155659707.48999998</v>
      </c>
      <c r="I76" s="132">
        <f t="shared" si="8"/>
        <v>662412060.3799999</v>
      </c>
      <c r="J76" s="721"/>
      <c r="K76" s="721"/>
      <c r="L76" s="722"/>
    </row>
    <row r="77" spans="7:9" ht="22.5" thickTop="1">
      <c r="G77" s="723"/>
      <c r="H77" s="723"/>
      <c r="I77" s="724"/>
    </row>
  </sheetData>
  <sheetProtection/>
  <mergeCells count="9">
    <mergeCell ref="A1:L1"/>
    <mergeCell ref="A2:L2"/>
    <mergeCell ref="A4:A5"/>
    <mergeCell ref="B4:G4"/>
    <mergeCell ref="H4:H5"/>
    <mergeCell ref="I4:I5"/>
    <mergeCell ref="J4:J5"/>
    <mergeCell ref="K4:K5"/>
    <mergeCell ref="L4:L5"/>
  </mergeCells>
  <printOptions/>
  <pageMargins left="0.208661417" right="0" top="0.37992126" bottom="0" header="0.236220472440945" footer="0.15748031496063"/>
  <pageSetup horizontalDpi="600" verticalDpi="600" orientation="landscape" paperSize="9" scale="70" r:id="rId3"/>
  <rowBreaks count="3" manualBreakCount="3">
    <brk id="21" max="11" man="1"/>
    <brk id="37" max="11" man="1"/>
    <brk id="59" max="1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showGridLines="0" zoomScalePageLayoutView="0" workbookViewId="0" topLeftCell="A1">
      <selection activeCell="G17" sqref="G17"/>
    </sheetView>
  </sheetViews>
  <sheetFormatPr defaultColWidth="9.140625" defaultRowHeight="21.75"/>
  <cols>
    <col min="1" max="1" width="59.7109375" style="0" customWidth="1"/>
    <col min="2" max="2" width="15.00390625" style="0" customWidth="1"/>
    <col min="3" max="3" width="14.8515625" style="0" customWidth="1"/>
    <col min="4" max="4" width="11.421875" style="0" customWidth="1"/>
    <col min="5" max="5" width="11.7109375" style="0" customWidth="1"/>
    <col min="6" max="6" width="13.421875" style="0" customWidth="1"/>
    <col min="7" max="7" width="15.7109375" style="0" customWidth="1"/>
    <col min="8" max="8" width="16.00390625" style="0" customWidth="1"/>
    <col min="9" max="9" width="19.421875" style="0" customWidth="1"/>
    <col min="10" max="10" width="18.8515625" style="0" customWidth="1"/>
    <col min="11" max="11" width="17.140625" style="0" customWidth="1"/>
  </cols>
  <sheetData>
    <row r="1" spans="1:11" ht="21.75" customHeight="1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11" ht="23.25">
      <c r="A2" s="764" t="s">
        <v>358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</row>
    <row r="3" spans="1:11" ht="23.25">
      <c r="A3" s="119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1.75">
      <c r="A4" s="765" t="s">
        <v>1</v>
      </c>
      <c r="B4" s="767" t="s">
        <v>13</v>
      </c>
      <c r="C4" s="768"/>
      <c r="D4" s="768"/>
      <c r="E4" s="768"/>
      <c r="F4" s="778"/>
      <c r="G4" s="156"/>
      <c r="H4" s="769" t="s">
        <v>19</v>
      </c>
      <c r="I4" s="765" t="s">
        <v>6</v>
      </c>
      <c r="J4" s="765" t="s">
        <v>7</v>
      </c>
      <c r="K4" s="772" t="s">
        <v>35</v>
      </c>
    </row>
    <row r="5" spans="1:11" ht="21.75" customHeight="1">
      <c r="A5" s="777"/>
      <c r="B5" s="774" t="s">
        <v>202</v>
      </c>
      <c r="C5" s="775"/>
      <c r="D5" s="775"/>
      <c r="E5" s="775"/>
      <c r="F5" s="776"/>
      <c r="G5" s="335" t="s">
        <v>199</v>
      </c>
      <c r="H5" s="779"/>
      <c r="I5" s="777"/>
      <c r="J5" s="777"/>
      <c r="K5" s="780"/>
    </row>
    <row r="6" spans="1:11" ht="21.75">
      <c r="A6" s="766"/>
      <c r="B6" s="135" t="s">
        <v>8</v>
      </c>
      <c r="C6" s="725" t="s">
        <v>203</v>
      </c>
      <c r="D6" s="135" t="s">
        <v>193</v>
      </c>
      <c r="E6" s="135" t="s">
        <v>10</v>
      </c>
      <c r="F6" s="135" t="s">
        <v>21</v>
      </c>
      <c r="G6" s="726"/>
      <c r="H6" s="770"/>
      <c r="I6" s="770"/>
      <c r="J6" s="770"/>
      <c r="K6" s="773"/>
    </row>
    <row r="7" spans="1:11" ht="21.75">
      <c r="A7" s="121" t="s">
        <v>20</v>
      </c>
      <c r="B7" s="330"/>
      <c r="C7" s="333"/>
      <c r="D7" s="333"/>
      <c r="E7" s="333"/>
      <c r="F7" s="407"/>
      <c r="G7" s="333"/>
      <c r="H7" s="165"/>
      <c r="I7" s="172"/>
      <c r="J7" s="214"/>
      <c r="K7" s="167"/>
    </row>
    <row r="8" spans="1:11" ht="87">
      <c r="A8" s="562" t="s">
        <v>359</v>
      </c>
      <c r="B8" s="169"/>
      <c r="C8" s="332">
        <v>3791624.46</v>
      </c>
      <c r="D8" s="332"/>
      <c r="E8" s="332"/>
      <c r="F8" s="332"/>
      <c r="G8" s="332">
        <v>8847123.74</v>
      </c>
      <c r="H8" s="165">
        <f aca="true" t="shared" si="0" ref="H8:H14">SUM(B8:G8)</f>
        <v>12638748.2</v>
      </c>
      <c r="I8" s="172" t="s">
        <v>231</v>
      </c>
      <c r="J8" s="214" t="s">
        <v>157</v>
      </c>
      <c r="K8" s="167" t="s">
        <v>314</v>
      </c>
    </row>
    <row r="9" spans="1:11" ht="130.5">
      <c r="A9" s="562" t="s">
        <v>355</v>
      </c>
      <c r="B9" s="169"/>
      <c r="C9" s="332">
        <v>7725177.31</v>
      </c>
      <c r="D9" s="332"/>
      <c r="E9" s="332"/>
      <c r="F9" s="332"/>
      <c r="G9" s="332">
        <v>30900709.34</v>
      </c>
      <c r="H9" s="165">
        <f t="shared" si="0"/>
        <v>38625886.65</v>
      </c>
      <c r="I9" s="172" t="s">
        <v>231</v>
      </c>
      <c r="J9" s="214" t="s">
        <v>157</v>
      </c>
      <c r="K9" s="167" t="s">
        <v>314</v>
      </c>
    </row>
    <row r="10" spans="1:11" ht="87">
      <c r="A10" s="474" t="s">
        <v>360</v>
      </c>
      <c r="B10" s="169"/>
      <c r="C10" s="332"/>
      <c r="D10" s="332"/>
      <c r="E10" s="332"/>
      <c r="F10" s="332"/>
      <c r="G10" s="332">
        <v>1397550</v>
      </c>
      <c r="H10" s="384">
        <f t="shared" si="0"/>
        <v>1397550</v>
      </c>
      <c r="I10" s="172" t="s">
        <v>231</v>
      </c>
      <c r="J10" s="214" t="s">
        <v>199</v>
      </c>
      <c r="K10" s="185" t="s">
        <v>42</v>
      </c>
    </row>
    <row r="11" spans="1:11" ht="152.25">
      <c r="A11" s="185" t="s">
        <v>361</v>
      </c>
      <c r="B11" s="544"/>
      <c r="C11" s="230">
        <v>101465925.27</v>
      </c>
      <c r="D11" s="230"/>
      <c r="E11" s="230"/>
      <c r="F11" s="230"/>
      <c r="G11" s="230">
        <v>405863701.08</v>
      </c>
      <c r="H11" s="230">
        <f t="shared" si="0"/>
        <v>507329626.34999996</v>
      </c>
      <c r="I11" s="172" t="s">
        <v>231</v>
      </c>
      <c r="J11" s="214" t="s">
        <v>157</v>
      </c>
      <c r="K11" s="185" t="s">
        <v>42</v>
      </c>
    </row>
    <row r="12" spans="1:11" ht="87">
      <c r="A12" s="474" t="s">
        <v>362</v>
      </c>
      <c r="B12" s="230"/>
      <c r="C12" s="230">
        <v>1695522</v>
      </c>
      <c r="D12" s="544"/>
      <c r="E12" s="544"/>
      <c r="F12" s="544"/>
      <c r="G12" s="544"/>
      <c r="H12" s="230">
        <f t="shared" si="0"/>
        <v>1695522</v>
      </c>
      <c r="I12" s="172" t="s">
        <v>231</v>
      </c>
      <c r="J12" s="214" t="s">
        <v>18</v>
      </c>
      <c r="K12" s="167" t="s">
        <v>314</v>
      </c>
    </row>
    <row r="13" spans="1:11" ht="72">
      <c r="A13" s="168" t="s">
        <v>363</v>
      </c>
      <c r="B13" s="169"/>
      <c r="C13" s="169">
        <v>157803</v>
      </c>
      <c r="D13" s="169">
        <f>52601*3</f>
        <v>157803</v>
      </c>
      <c r="E13" s="169">
        <f>52601*2</f>
        <v>105202</v>
      </c>
      <c r="F13" s="169">
        <f>52601*3</f>
        <v>157803</v>
      </c>
      <c r="G13" s="545"/>
      <c r="H13" s="230">
        <f t="shared" si="0"/>
        <v>578611</v>
      </c>
      <c r="I13" s="612" t="s">
        <v>226</v>
      </c>
      <c r="J13" s="214" t="s">
        <v>798</v>
      </c>
      <c r="K13" s="436"/>
    </row>
    <row r="14" spans="1:11" ht="43.5">
      <c r="A14" s="168" t="s">
        <v>364</v>
      </c>
      <c r="B14" s="169">
        <v>131299.5</v>
      </c>
      <c r="C14" s="169">
        <f>43766.5*2</f>
        <v>87533</v>
      </c>
      <c r="D14" s="169">
        <f>43766.5*3</f>
        <v>131299.5</v>
      </c>
      <c r="E14" s="169">
        <f>131299.5</f>
        <v>131299.5</v>
      </c>
      <c r="F14" s="169">
        <f>43766.5*4</f>
        <v>175066</v>
      </c>
      <c r="G14" s="544"/>
      <c r="H14" s="230">
        <f t="shared" si="0"/>
        <v>656497.5</v>
      </c>
      <c r="I14" s="172" t="s">
        <v>231</v>
      </c>
      <c r="J14" s="214" t="s">
        <v>799</v>
      </c>
      <c r="K14" s="202"/>
    </row>
    <row r="15" spans="1:11" ht="22.5" thickBot="1">
      <c r="A15" s="549"/>
      <c r="B15" s="546"/>
      <c r="C15" s="546"/>
      <c r="D15" s="546"/>
      <c r="E15" s="546"/>
      <c r="F15" s="546"/>
      <c r="G15" s="546"/>
      <c r="H15" s="546"/>
      <c r="I15" s="547"/>
      <c r="J15" s="547"/>
      <c r="K15" s="547"/>
    </row>
    <row r="16" spans="1:11" ht="23.25" thickBot="1" thickTop="1">
      <c r="A16" s="548" t="s">
        <v>2</v>
      </c>
      <c r="B16" s="174">
        <f>SUM(B8:B15)</f>
        <v>131299.5</v>
      </c>
      <c r="C16" s="174">
        <f aca="true" t="shared" si="1" ref="C16:H16">SUM(C8:C15)</f>
        <v>114923585.03999999</v>
      </c>
      <c r="D16" s="174">
        <f t="shared" si="1"/>
        <v>289102.5</v>
      </c>
      <c r="E16" s="174">
        <f t="shared" si="1"/>
        <v>236501.5</v>
      </c>
      <c r="F16" s="174">
        <f t="shared" si="1"/>
        <v>332869</v>
      </c>
      <c r="G16" s="174">
        <f t="shared" si="1"/>
        <v>447009084.15999997</v>
      </c>
      <c r="H16" s="174">
        <f t="shared" si="1"/>
        <v>562922441.6999999</v>
      </c>
      <c r="I16" s="174"/>
      <c r="J16" s="175"/>
      <c r="K16" s="175"/>
    </row>
    <row r="17" ht="22.5" thickTop="1">
      <c r="G17" s="1"/>
    </row>
    <row r="19" ht="21.75">
      <c r="B19" s="30"/>
    </row>
  </sheetData>
  <sheetProtection/>
  <mergeCells count="9">
    <mergeCell ref="B5:F5"/>
    <mergeCell ref="A1:K1"/>
    <mergeCell ref="A2:K2"/>
    <mergeCell ref="A4:A6"/>
    <mergeCell ref="B4:F4"/>
    <mergeCell ref="H4:H6"/>
    <mergeCell ref="I4:I6"/>
    <mergeCell ref="J4:J6"/>
    <mergeCell ref="K4:K6"/>
  </mergeCells>
  <printOptions horizontalCentered="1" verticalCentered="1"/>
  <pageMargins left="0.104330709" right="0" top="0.169291339" bottom="0" header="0.905511811023622" footer="0.15748031496063"/>
  <pageSetup horizontalDpi="600" verticalDpi="6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L42"/>
  <sheetViews>
    <sheetView showGridLines="0" zoomScalePageLayoutView="0" workbookViewId="0" topLeftCell="A1">
      <selection activeCell="F31" sqref="F31"/>
    </sheetView>
  </sheetViews>
  <sheetFormatPr defaultColWidth="9.140625" defaultRowHeight="21.75"/>
  <cols>
    <col min="1" max="1" width="75.140625" style="0" customWidth="1"/>
    <col min="2" max="2" width="8.00390625" style="0" customWidth="1"/>
    <col min="4" max="4" width="9.57421875" style="0" customWidth="1"/>
    <col min="5" max="5" width="8.7109375" style="0" bestFit="1" customWidth="1"/>
    <col min="6" max="6" width="17.28125" style="0" customWidth="1"/>
    <col min="7" max="7" width="15.28125" style="0" customWidth="1"/>
    <col min="8" max="8" width="11.28125" style="0" customWidth="1"/>
    <col min="9" max="9" width="15.00390625" style="0" customWidth="1"/>
    <col min="10" max="10" width="14.57421875" style="0" customWidth="1"/>
    <col min="12" max="12" width="11.00390625" style="0" bestFit="1" customWidth="1"/>
  </cols>
  <sheetData>
    <row r="1" spans="1:10" ht="23.2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</row>
    <row r="2" spans="1:10" ht="23.25">
      <c r="A2" s="764" t="s">
        <v>358</v>
      </c>
      <c r="B2" s="763"/>
      <c r="C2" s="763"/>
      <c r="D2" s="763"/>
      <c r="E2" s="763"/>
      <c r="F2" s="763"/>
      <c r="G2" s="763"/>
      <c r="H2" s="763"/>
      <c r="I2" s="763"/>
      <c r="J2" s="763"/>
    </row>
    <row r="3" ht="21.75" customHeight="1"/>
    <row r="4" spans="1:10" ht="21.75">
      <c r="A4" s="765" t="s">
        <v>1</v>
      </c>
      <c r="B4" s="767" t="s">
        <v>13</v>
      </c>
      <c r="C4" s="783"/>
      <c r="D4" s="783"/>
      <c r="E4" s="784"/>
      <c r="F4" s="769" t="s">
        <v>81</v>
      </c>
      <c r="G4" s="769" t="s">
        <v>14</v>
      </c>
      <c r="H4" s="765" t="s">
        <v>6</v>
      </c>
      <c r="I4" s="771" t="s">
        <v>7</v>
      </c>
      <c r="J4" s="765" t="s">
        <v>5</v>
      </c>
    </row>
    <row r="5" spans="1:12" ht="45" customHeight="1">
      <c r="A5" s="766"/>
      <c r="B5" s="23" t="s">
        <v>8</v>
      </c>
      <c r="C5" s="23" t="s">
        <v>9</v>
      </c>
      <c r="D5" s="23" t="s">
        <v>193</v>
      </c>
      <c r="E5" s="23" t="s">
        <v>10</v>
      </c>
      <c r="F5" s="781"/>
      <c r="G5" s="781"/>
      <c r="H5" s="766"/>
      <c r="I5" s="782"/>
      <c r="J5" s="766"/>
      <c r="L5" s="120"/>
    </row>
    <row r="6" spans="1:10" ht="21.75">
      <c r="A6" s="7" t="s">
        <v>290</v>
      </c>
      <c r="B6" s="8"/>
      <c r="C6" s="8"/>
      <c r="D6" s="8"/>
      <c r="E6" s="8"/>
      <c r="F6" s="8"/>
      <c r="G6" s="8"/>
      <c r="H6" s="9"/>
      <c r="I6" s="9"/>
      <c r="J6" s="10"/>
    </row>
    <row r="7" spans="1:10" ht="24.75" customHeight="1">
      <c r="A7" s="11" t="s">
        <v>291</v>
      </c>
      <c r="B7" s="12"/>
      <c r="C7" s="12"/>
      <c r="D7" s="12"/>
      <c r="E7" s="12"/>
      <c r="F7" s="12"/>
      <c r="G7" s="12"/>
      <c r="H7" s="13"/>
      <c r="I7" s="13"/>
      <c r="J7" s="14"/>
    </row>
    <row r="8" spans="1:10" ht="21.75">
      <c r="A8" s="137" t="s">
        <v>16</v>
      </c>
      <c r="B8" s="26"/>
      <c r="C8" s="17"/>
      <c r="D8" s="17"/>
      <c r="E8" s="27"/>
      <c r="F8" s="607">
        <f>1389856*18%</f>
        <v>250174.08</v>
      </c>
      <c r="G8" s="206">
        <f aca="true" t="shared" si="0" ref="G8:G16">SUM(B8:F8)</f>
        <v>250174.08</v>
      </c>
      <c r="H8" s="202" t="s">
        <v>17</v>
      </c>
      <c r="I8" s="452" t="s">
        <v>11</v>
      </c>
      <c r="J8" s="453">
        <v>0.18</v>
      </c>
    </row>
    <row r="9" spans="1:10" ht="21.75">
      <c r="A9" s="137" t="s">
        <v>407</v>
      </c>
      <c r="B9" s="26"/>
      <c r="C9" s="17"/>
      <c r="D9" s="17"/>
      <c r="E9" s="27"/>
      <c r="F9" s="206">
        <v>3298200</v>
      </c>
      <c r="G9" s="206">
        <f>SUM(B9:F9)</f>
        <v>3298200</v>
      </c>
      <c r="H9" s="202" t="s">
        <v>17</v>
      </c>
      <c r="I9" s="452" t="s">
        <v>11</v>
      </c>
      <c r="J9" s="453"/>
    </row>
    <row r="10" spans="1:10" ht="43.5">
      <c r="A10" s="196" t="s">
        <v>737</v>
      </c>
      <c r="B10" s="26"/>
      <c r="C10" s="17"/>
      <c r="D10" s="17"/>
      <c r="E10" s="27"/>
      <c r="F10" s="206">
        <v>511200</v>
      </c>
      <c r="G10" s="206">
        <f>SUM(B10:F10)</f>
        <v>511200</v>
      </c>
      <c r="H10" s="202" t="s">
        <v>17</v>
      </c>
      <c r="I10" s="452" t="s">
        <v>11</v>
      </c>
      <c r="J10" s="453"/>
    </row>
    <row r="11" spans="1:12" ht="23.25" customHeight="1">
      <c r="A11" s="196" t="s">
        <v>739</v>
      </c>
      <c r="B11" s="15"/>
      <c r="C11" s="15"/>
      <c r="D11" s="15"/>
      <c r="E11" s="15"/>
      <c r="F11" s="227">
        <f>2000000*16%</f>
        <v>320000</v>
      </c>
      <c r="G11" s="170">
        <f t="shared" si="0"/>
        <v>320000</v>
      </c>
      <c r="H11" s="202" t="s">
        <v>43</v>
      </c>
      <c r="I11" s="452" t="s">
        <v>11</v>
      </c>
      <c r="J11" s="453">
        <v>0.16</v>
      </c>
      <c r="L11" s="251"/>
    </row>
    <row r="12" spans="1:12" ht="21.75">
      <c r="A12" s="87" t="s">
        <v>189</v>
      </c>
      <c r="B12" s="26"/>
      <c r="C12" s="17"/>
      <c r="D12" s="17"/>
      <c r="E12" s="27"/>
      <c r="F12" s="206">
        <f>4572390.3*16%</f>
        <v>731582.448</v>
      </c>
      <c r="G12" s="206">
        <f>SUM(B12:F12)</f>
        <v>731582.448</v>
      </c>
      <c r="H12" s="202" t="s">
        <v>43</v>
      </c>
      <c r="I12" s="452" t="s">
        <v>11</v>
      </c>
      <c r="J12" s="453">
        <v>0.16</v>
      </c>
      <c r="L12" s="251"/>
    </row>
    <row r="13" spans="1:12" ht="21.75">
      <c r="A13" s="196" t="s">
        <v>738</v>
      </c>
      <c r="B13" s="15"/>
      <c r="C13" s="15"/>
      <c r="D13" s="15"/>
      <c r="E13" s="15"/>
      <c r="F13" s="170">
        <f>176302.91*16%</f>
        <v>28208.4656</v>
      </c>
      <c r="G13" s="170">
        <f>SUM(B13:F13)</f>
        <v>28208.4656</v>
      </c>
      <c r="H13" s="202" t="s">
        <v>43</v>
      </c>
      <c r="I13" s="452" t="s">
        <v>11</v>
      </c>
      <c r="J13" s="453">
        <v>0.16</v>
      </c>
      <c r="L13" s="251"/>
    </row>
    <row r="14" spans="1:12" ht="21.75">
      <c r="A14" s="11" t="s">
        <v>740</v>
      </c>
      <c r="B14" s="15"/>
      <c r="C14" s="15"/>
      <c r="D14" s="15"/>
      <c r="E14" s="15"/>
      <c r="F14" s="227"/>
      <c r="G14" s="170"/>
      <c r="H14" s="202"/>
      <c r="I14" s="452"/>
      <c r="J14" s="453"/>
      <c r="L14" s="251"/>
    </row>
    <row r="15" spans="1:10" ht="45" customHeight="1">
      <c r="A15" s="87" t="s">
        <v>155</v>
      </c>
      <c r="B15" s="15"/>
      <c r="C15" s="15"/>
      <c r="D15" s="15"/>
      <c r="E15" s="15"/>
      <c r="F15" s="170">
        <f>13069858.9*16%</f>
        <v>2091177.424</v>
      </c>
      <c r="G15" s="170">
        <f t="shared" si="0"/>
        <v>2091177.424</v>
      </c>
      <c r="H15" s="202" t="s">
        <v>43</v>
      </c>
      <c r="I15" s="452" t="s">
        <v>11</v>
      </c>
      <c r="J15" s="453">
        <v>0.16</v>
      </c>
    </row>
    <row r="16" spans="1:10" ht="33" customHeight="1" hidden="1">
      <c r="A16" s="87" t="s">
        <v>138</v>
      </c>
      <c r="B16" s="27"/>
      <c r="C16" s="17"/>
      <c r="D16" s="17"/>
      <c r="E16" s="27"/>
      <c r="F16" s="206"/>
      <c r="G16" s="206">
        <f t="shared" si="0"/>
        <v>0</v>
      </c>
      <c r="H16" s="202" t="s">
        <v>43</v>
      </c>
      <c r="I16" s="452" t="s">
        <v>11</v>
      </c>
      <c r="J16" s="453">
        <v>0.18</v>
      </c>
    </row>
    <row r="17" spans="1:10" ht="21.75" customHeight="1">
      <c r="A17" s="136" t="s">
        <v>47</v>
      </c>
      <c r="B17" s="18"/>
      <c r="C17" s="18"/>
      <c r="D17" s="18"/>
      <c r="E17" s="18"/>
      <c r="F17" s="455"/>
      <c r="G17" s="455"/>
      <c r="H17" s="456"/>
      <c r="I17" s="457"/>
      <c r="J17" s="458"/>
    </row>
    <row r="18" spans="1:10" ht="21.75" hidden="1">
      <c r="A18" s="87" t="s">
        <v>48</v>
      </c>
      <c r="B18" s="18"/>
      <c r="C18" s="18"/>
      <c r="D18" s="18"/>
      <c r="E18" s="18"/>
      <c r="F18" s="455"/>
      <c r="G18" s="455">
        <f>SUM(B18:F18)</f>
        <v>0</v>
      </c>
      <c r="H18" s="202" t="s">
        <v>17</v>
      </c>
      <c r="I18" s="452" t="s">
        <v>11</v>
      </c>
      <c r="J18" s="454"/>
    </row>
    <row r="19" spans="1:10" ht="21.75" hidden="1">
      <c r="A19" s="87" t="s">
        <v>49</v>
      </c>
      <c r="B19" s="18"/>
      <c r="C19" s="18"/>
      <c r="D19" s="18"/>
      <c r="E19" s="18"/>
      <c r="F19" s="455"/>
      <c r="G19" s="455">
        <f>SUM(B19:F19)</f>
        <v>0</v>
      </c>
      <c r="H19" s="202" t="s">
        <v>43</v>
      </c>
      <c r="I19" s="452" t="s">
        <v>11</v>
      </c>
      <c r="J19" s="453">
        <v>0.04</v>
      </c>
    </row>
    <row r="20" spans="1:10" ht="43.5" hidden="1">
      <c r="A20" s="87" t="s">
        <v>50</v>
      </c>
      <c r="B20" s="18"/>
      <c r="C20" s="18"/>
      <c r="D20" s="18"/>
      <c r="E20" s="18"/>
      <c r="F20" s="455"/>
      <c r="G20" s="455">
        <f>SUM(B20:F20)</f>
        <v>0</v>
      </c>
      <c r="H20" s="202" t="s">
        <v>43</v>
      </c>
      <c r="I20" s="452" t="s">
        <v>11</v>
      </c>
      <c r="J20" s="453">
        <v>0.04</v>
      </c>
    </row>
    <row r="21" spans="1:10" ht="54.75" customHeight="1">
      <c r="A21" s="196" t="s">
        <v>741</v>
      </c>
      <c r="B21" s="18"/>
      <c r="C21" s="18"/>
      <c r="D21" s="18"/>
      <c r="E21" s="18"/>
      <c r="F21" s="272">
        <f>483450*4%</f>
        <v>19338</v>
      </c>
      <c r="G21" s="455">
        <f>SUM(B21:F21)</f>
        <v>19338</v>
      </c>
      <c r="H21" s="202" t="s">
        <v>43</v>
      </c>
      <c r="I21" s="452" t="s">
        <v>11</v>
      </c>
      <c r="J21" s="453">
        <v>0.04</v>
      </c>
    </row>
    <row r="22" spans="1:10" ht="24" customHeight="1">
      <c r="A22" s="87" t="s">
        <v>51</v>
      </c>
      <c r="B22" s="18"/>
      <c r="C22" s="18"/>
      <c r="D22" s="18"/>
      <c r="E22" s="147"/>
      <c r="F22" s="455">
        <f>639188.49*4%</f>
        <v>25567.5396</v>
      </c>
      <c r="G22" s="455">
        <f>SUM(B22:F22)</f>
        <v>25567.5396</v>
      </c>
      <c r="H22" s="202" t="s">
        <v>43</v>
      </c>
      <c r="I22" s="452" t="s">
        <v>11</v>
      </c>
      <c r="J22" s="453">
        <v>0.04</v>
      </c>
    </row>
    <row r="23" spans="1:10" ht="24" customHeight="1">
      <c r="A23" s="580" t="s">
        <v>742</v>
      </c>
      <c r="B23" s="18"/>
      <c r="C23" s="18"/>
      <c r="D23" s="18"/>
      <c r="E23" s="147"/>
      <c r="F23" s="455"/>
      <c r="G23" s="455"/>
      <c r="H23" s="202"/>
      <c r="I23" s="452"/>
      <c r="J23" s="453"/>
    </row>
    <row r="24" spans="1:10" ht="24" customHeight="1">
      <c r="A24" s="137" t="s">
        <v>16</v>
      </c>
      <c r="B24" s="26"/>
      <c r="C24" s="17"/>
      <c r="D24" s="17"/>
      <c r="E24" s="27"/>
      <c r="F24" s="607">
        <f>162167*18%</f>
        <v>29190.059999999998</v>
      </c>
      <c r="G24" s="206">
        <f>SUM(B24:F24)</f>
        <v>29190.059999999998</v>
      </c>
      <c r="H24" s="202" t="s">
        <v>17</v>
      </c>
      <c r="I24" s="452" t="s">
        <v>11</v>
      </c>
      <c r="J24" s="453">
        <v>0.18</v>
      </c>
    </row>
    <row r="25" spans="1:10" ht="24" customHeight="1">
      <c r="A25" s="87"/>
      <c r="B25" s="18"/>
      <c r="C25" s="18"/>
      <c r="D25" s="18"/>
      <c r="E25" s="147"/>
      <c r="F25" s="455"/>
      <c r="G25" s="455"/>
      <c r="H25" s="202"/>
      <c r="I25" s="452"/>
      <c r="J25" s="453"/>
    </row>
    <row r="26" spans="1:10" ht="21.75">
      <c r="A26" s="580" t="s">
        <v>408</v>
      </c>
      <c r="B26" s="18"/>
      <c r="C26" s="18"/>
      <c r="D26" s="18"/>
      <c r="E26" s="147"/>
      <c r="F26" s="455"/>
      <c r="G26" s="455"/>
      <c r="H26" s="202"/>
      <c r="I26" s="452"/>
      <c r="J26" s="453"/>
    </row>
    <row r="27" spans="1:10" ht="30.75" customHeight="1">
      <c r="A27" s="87" t="s">
        <v>409</v>
      </c>
      <c r="B27" s="18"/>
      <c r="C27" s="18"/>
      <c r="D27" s="18"/>
      <c r="E27" s="147"/>
      <c r="F27" s="455">
        <v>156848.16</v>
      </c>
      <c r="G27" s="455">
        <f aca="true" t="shared" si="1" ref="G27:G33">SUM(B27:F27)</f>
        <v>156848.16</v>
      </c>
      <c r="H27" s="202" t="s">
        <v>43</v>
      </c>
      <c r="I27" s="452" t="s">
        <v>11</v>
      </c>
      <c r="J27" s="453"/>
    </row>
    <row r="28" spans="1:10" ht="30.75" customHeight="1">
      <c r="A28" s="87" t="s">
        <v>410</v>
      </c>
      <c r="B28" s="18"/>
      <c r="C28" s="18"/>
      <c r="D28" s="18"/>
      <c r="E28" s="147"/>
      <c r="F28" s="455">
        <v>49015.05</v>
      </c>
      <c r="G28" s="455">
        <f t="shared" si="1"/>
        <v>49015.05</v>
      </c>
      <c r="H28" s="202" t="s">
        <v>43</v>
      </c>
      <c r="I28" s="452" t="s">
        <v>180</v>
      </c>
      <c r="J28" s="453"/>
    </row>
    <row r="29" spans="1:10" ht="30.75" customHeight="1">
      <c r="A29" s="87" t="s">
        <v>412</v>
      </c>
      <c r="B29" s="18"/>
      <c r="C29" s="18"/>
      <c r="D29" s="18"/>
      <c r="E29" s="147"/>
      <c r="F29" s="455">
        <f>166925*16%</f>
        <v>26708</v>
      </c>
      <c r="G29" s="455">
        <f t="shared" si="1"/>
        <v>26708</v>
      </c>
      <c r="H29" s="202" t="s">
        <v>43</v>
      </c>
      <c r="I29" s="452" t="s">
        <v>11</v>
      </c>
      <c r="J29" s="453"/>
    </row>
    <row r="30" spans="1:10" ht="30.75" customHeight="1">
      <c r="A30" s="87" t="s">
        <v>411</v>
      </c>
      <c r="B30" s="18"/>
      <c r="C30" s="18"/>
      <c r="D30" s="18"/>
      <c r="E30" s="147"/>
      <c r="F30" s="455">
        <f>1262331.94*16%</f>
        <v>201973.1104</v>
      </c>
      <c r="G30" s="455">
        <f t="shared" si="1"/>
        <v>201973.1104</v>
      </c>
      <c r="H30" s="202" t="s">
        <v>43</v>
      </c>
      <c r="I30" s="452" t="s">
        <v>11</v>
      </c>
      <c r="J30" s="453"/>
    </row>
    <row r="31" spans="1:10" ht="45.75" customHeight="1">
      <c r="A31" s="87" t="s">
        <v>413</v>
      </c>
      <c r="B31" s="18"/>
      <c r="C31" s="18"/>
      <c r="D31" s="18"/>
      <c r="E31" s="147"/>
      <c r="F31" s="455">
        <v>26129.88</v>
      </c>
      <c r="G31" s="455">
        <f t="shared" si="1"/>
        <v>26129.88</v>
      </c>
      <c r="H31" s="202" t="s">
        <v>43</v>
      </c>
      <c r="I31" s="452" t="s">
        <v>11</v>
      </c>
      <c r="J31" s="453"/>
    </row>
    <row r="32" spans="1:10" ht="30.75" customHeight="1">
      <c r="A32" s="87" t="s">
        <v>414</v>
      </c>
      <c r="B32" s="18"/>
      <c r="C32" s="18"/>
      <c r="D32" s="18"/>
      <c r="E32" s="147"/>
      <c r="F32" s="455">
        <v>392128.61</v>
      </c>
      <c r="G32" s="455">
        <f t="shared" si="1"/>
        <v>392128.61</v>
      </c>
      <c r="H32" s="202" t="s">
        <v>43</v>
      </c>
      <c r="I32" s="452" t="s">
        <v>11</v>
      </c>
      <c r="J32" s="453"/>
    </row>
    <row r="33" spans="1:10" ht="30.75" customHeight="1">
      <c r="A33" s="87" t="s">
        <v>415</v>
      </c>
      <c r="B33" s="18"/>
      <c r="C33" s="18"/>
      <c r="D33" s="18"/>
      <c r="E33" s="147"/>
      <c r="F33" s="455">
        <v>167981.25</v>
      </c>
      <c r="G33" s="455">
        <f t="shared" si="1"/>
        <v>167981.25</v>
      </c>
      <c r="H33" s="202" t="s">
        <v>43</v>
      </c>
      <c r="I33" s="452" t="s">
        <v>11</v>
      </c>
      <c r="J33" s="453"/>
    </row>
    <row r="34" spans="1:10" ht="21.75">
      <c r="A34" s="136" t="s">
        <v>52</v>
      </c>
      <c r="B34" s="18"/>
      <c r="C34" s="18"/>
      <c r="D34" s="18"/>
      <c r="E34" s="18"/>
      <c r="F34" s="455"/>
      <c r="G34" s="455"/>
      <c r="H34" s="202"/>
      <c r="I34" s="452"/>
      <c r="J34" s="454"/>
    </row>
    <row r="35" spans="1:10" ht="21.75">
      <c r="A35" s="87" t="s">
        <v>53</v>
      </c>
      <c r="B35" s="18"/>
      <c r="C35" s="18"/>
      <c r="D35" s="18"/>
      <c r="E35" s="18"/>
      <c r="F35" s="455">
        <v>31660.68</v>
      </c>
      <c r="G35" s="455">
        <f>SUM(B35:F35)</f>
        <v>31660.68</v>
      </c>
      <c r="H35" s="202" t="s">
        <v>43</v>
      </c>
      <c r="I35" s="452" t="s">
        <v>11</v>
      </c>
      <c r="J35" s="459"/>
    </row>
    <row r="36" spans="1:10" ht="21.75">
      <c r="A36" s="86" t="s">
        <v>54</v>
      </c>
      <c r="B36" s="15"/>
      <c r="C36" s="15"/>
      <c r="D36" s="15"/>
      <c r="E36" s="15"/>
      <c r="F36" s="455">
        <v>728640</v>
      </c>
      <c r="G36" s="170">
        <f>SUM(B36:F36)</f>
        <v>728640</v>
      </c>
      <c r="H36" s="202" t="s">
        <v>43</v>
      </c>
      <c r="I36" s="452" t="s">
        <v>11</v>
      </c>
      <c r="J36" s="459"/>
    </row>
    <row r="37" spans="1:10" ht="22.5" thickBot="1">
      <c r="A37" s="123" t="s">
        <v>2</v>
      </c>
      <c r="B37" s="21"/>
      <c r="C37" s="21"/>
      <c r="D37" s="21"/>
      <c r="E37" s="21"/>
      <c r="F37" s="460">
        <f>SUM(F8:F36)</f>
        <v>9085722.757599998</v>
      </c>
      <c r="G37" s="460">
        <f>SUM(G8:G36)</f>
        <v>9085722.757599998</v>
      </c>
      <c r="H37" s="175"/>
      <c r="I37" s="175"/>
      <c r="J37" s="461"/>
    </row>
    <row r="38" ht="22.5" thickTop="1"/>
    <row r="39" spans="6:9" ht="21.75">
      <c r="F39" s="1"/>
      <c r="I39" s="22"/>
    </row>
    <row r="40" ht="21.75">
      <c r="F40" s="1"/>
    </row>
    <row r="41" ht="21.75">
      <c r="F41" s="1"/>
    </row>
    <row r="42" ht="21.75">
      <c r="F42" s="1"/>
    </row>
  </sheetData>
  <sheetProtection/>
  <mergeCells count="9">
    <mergeCell ref="A1:J1"/>
    <mergeCell ref="G4:G5"/>
    <mergeCell ref="H4:H5"/>
    <mergeCell ref="I4:I5"/>
    <mergeCell ref="J4:J5"/>
    <mergeCell ref="A4:A5"/>
    <mergeCell ref="F4:F5"/>
    <mergeCell ref="B4:E4"/>
    <mergeCell ref="A2:J2"/>
  </mergeCells>
  <printOptions horizontalCentered="1" verticalCentered="1"/>
  <pageMargins left="0.31496062992126" right="0.354330708661417" top="0.81496063" bottom="0.696850394" header="0.669291338582677" footer="0.1574803149606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Q30"/>
  <sheetViews>
    <sheetView showGridLines="0" zoomScalePageLayoutView="0" workbookViewId="0" topLeftCell="A1">
      <selection activeCell="B36" sqref="B36"/>
    </sheetView>
  </sheetViews>
  <sheetFormatPr defaultColWidth="9.140625" defaultRowHeight="21.75"/>
  <cols>
    <col min="1" max="1" width="52.57421875" style="0" customWidth="1"/>
    <col min="2" max="2" width="14.57421875" style="0" bestFit="1" customWidth="1"/>
    <col min="3" max="3" width="12.7109375" style="0" customWidth="1"/>
    <col min="4" max="4" width="13.140625" style="0" customWidth="1"/>
    <col min="5" max="5" width="12.421875" style="0" customWidth="1"/>
    <col min="6" max="6" width="13.57421875" style="0" customWidth="1"/>
    <col min="7" max="7" width="15.140625" style="0" customWidth="1"/>
    <col min="8" max="8" width="14.140625" style="0" customWidth="1"/>
    <col min="9" max="9" width="11.57421875" style="51" customWidth="1"/>
    <col min="10" max="10" width="15.28125" style="0" customWidth="1"/>
    <col min="11" max="11" width="11.28125" style="0" customWidth="1"/>
    <col min="12" max="12" width="10.00390625" style="0" bestFit="1" customWidth="1"/>
    <col min="13" max="13" width="12.421875" style="0" bestFit="1" customWidth="1"/>
    <col min="14" max="14" width="13.7109375" style="0" customWidth="1"/>
    <col min="15" max="15" width="12.421875" style="0" bestFit="1" customWidth="1"/>
    <col min="16" max="16" width="10.00390625" style="0" bestFit="1" customWidth="1"/>
    <col min="17" max="17" width="11.00390625" style="0" bestFit="1" customWidth="1"/>
  </cols>
  <sheetData>
    <row r="1" spans="1:11" ht="23.2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11" ht="23.25">
      <c r="A2" s="764" t="s">
        <v>358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</row>
    <row r="3" spans="1:2" ht="23.25" customHeight="1">
      <c r="A3" s="49"/>
      <c r="B3" s="50"/>
    </row>
    <row r="4" spans="1:11" ht="21.75" customHeight="1">
      <c r="A4" s="765" t="s">
        <v>1</v>
      </c>
      <c r="B4" s="767" t="s">
        <v>13</v>
      </c>
      <c r="C4" s="768"/>
      <c r="D4" s="768"/>
      <c r="E4" s="768"/>
      <c r="F4" s="778"/>
      <c r="G4" s="769" t="s">
        <v>81</v>
      </c>
      <c r="H4" s="769" t="s">
        <v>154</v>
      </c>
      <c r="I4" s="769" t="s">
        <v>6</v>
      </c>
      <c r="J4" s="771" t="s">
        <v>7</v>
      </c>
      <c r="K4" s="771" t="s">
        <v>35</v>
      </c>
    </row>
    <row r="5" spans="1:17" ht="42.75" customHeight="1">
      <c r="A5" s="766"/>
      <c r="B5" s="23" t="s">
        <v>8</v>
      </c>
      <c r="C5" s="23" t="s">
        <v>9</v>
      </c>
      <c r="D5" s="23" t="s">
        <v>193</v>
      </c>
      <c r="E5" s="23" t="s">
        <v>10</v>
      </c>
      <c r="F5" s="118" t="s">
        <v>40</v>
      </c>
      <c r="G5" s="781"/>
      <c r="H5" s="781"/>
      <c r="I5" s="781"/>
      <c r="J5" s="782"/>
      <c r="K5" s="782"/>
      <c r="N5" s="120"/>
      <c r="O5" s="120"/>
      <c r="P5" s="120"/>
      <c r="Q5" s="120"/>
    </row>
    <row r="6" spans="1:17" ht="21.75">
      <c r="A6" s="7" t="s">
        <v>30</v>
      </c>
      <c r="B6" s="8"/>
      <c r="C6" s="8"/>
      <c r="D6" s="8"/>
      <c r="E6" s="8"/>
      <c r="F6" s="8"/>
      <c r="G6" s="266"/>
      <c r="H6" s="266"/>
      <c r="I6" s="366"/>
      <c r="J6" s="367"/>
      <c r="K6" s="10"/>
      <c r="N6" s="120"/>
      <c r="O6" s="120"/>
      <c r="P6" s="120"/>
      <c r="Q6" s="120"/>
    </row>
    <row r="7" spans="1:17" ht="21.75">
      <c r="A7" s="149" t="s">
        <v>220</v>
      </c>
      <c r="B7" s="12"/>
      <c r="C7" s="12"/>
      <c r="D7" s="12"/>
      <c r="E7" s="12"/>
      <c r="F7" s="12"/>
      <c r="G7" s="164"/>
      <c r="H7" s="164"/>
      <c r="I7" s="160"/>
      <c r="J7" s="150"/>
      <c r="K7" s="91"/>
      <c r="N7" s="120"/>
      <c r="O7" s="120"/>
      <c r="P7" s="120"/>
      <c r="Q7" s="120"/>
    </row>
    <row r="8" spans="1:17" ht="64.5" customHeight="1">
      <c r="A8" s="395" t="s">
        <v>682</v>
      </c>
      <c r="B8" s="165"/>
      <c r="C8" s="165"/>
      <c r="D8" s="165"/>
      <c r="E8" s="165"/>
      <c r="F8" s="165"/>
      <c r="G8" s="165">
        <v>8800</v>
      </c>
      <c r="H8" s="165">
        <f aca="true" t="shared" si="0" ref="H8:H24">SUM(B8:G8)</f>
        <v>8800</v>
      </c>
      <c r="I8" s="320" t="s">
        <v>31</v>
      </c>
      <c r="J8" s="201" t="s">
        <v>143</v>
      </c>
      <c r="K8" s="202"/>
      <c r="N8" s="120"/>
      <c r="O8" s="120"/>
      <c r="P8" s="120"/>
      <c r="Q8" s="120"/>
    </row>
    <row r="9" spans="1:17" ht="65.25">
      <c r="A9" s="395" t="s">
        <v>681</v>
      </c>
      <c r="B9" s="165"/>
      <c r="C9" s="165"/>
      <c r="D9" s="165"/>
      <c r="E9" s="165"/>
      <c r="F9" s="165"/>
      <c r="G9" s="165">
        <v>2200</v>
      </c>
      <c r="H9" s="165">
        <f t="shared" si="0"/>
        <v>2200</v>
      </c>
      <c r="I9" s="160" t="s">
        <v>43</v>
      </c>
      <c r="J9" s="201" t="s">
        <v>143</v>
      </c>
      <c r="K9" s="428"/>
      <c r="N9" s="120"/>
      <c r="O9" s="120"/>
      <c r="P9" s="120"/>
      <c r="Q9" s="120"/>
    </row>
    <row r="10" spans="1:17" ht="20.25" customHeight="1">
      <c r="A10" s="149" t="s">
        <v>152</v>
      </c>
      <c r="B10" s="40"/>
      <c r="C10" s="368"/>
      <c r="D10" s="40"/>
      <c r="E10" s="40"/>
      <c r="F10" s="40"/>
      <c r="G10" s="166"/>
      <c r="H10" s="165">
        <f t="shared" si="0"/>
        <v>0</v>
      </c>
      <c r="I10" s="160"/>
      <c r="J10" s="154"/>
      <c r="K10" s="14"/>
      <c r="N10" s="120"/>
      <c r="O10" s="120"/>
      <c r="P10" s="120"/>
      <c r="Q10" s="120"/>
    </row>
    <row r="11" spans="1:17" ht="63" customHeight="1">
      <c r="A11" s="427" t="s">
        <v>680</v>
      </c>
      <c r="B11" s="40">
        <v>6915800</v>
      </c>
      <c r="C11" s="368"/>
      <c r="D11" s="40"/>
      <c r="E11" s="40"/>
      <c r="F11" s="40"/>
      <c r="G11" s="166"/>
      <c r="H11" s="165">
        <f t="shared" si="0"/>
        <v>6915800</v>
      </c>
      <c r="I11" s="160" t="s">
        <v>43</v>
      </c>
      <c r="J11" s="154" t="s">
        <v>250</v>
      </c>
      <c r="K11" s="14"/>
      <c r="N11" s="120"/>
      <c r="O11" s="120"/>
      <c r="P11" s="120"/>
      <c r="Q11" s="120"/>
    </row>
    <row r="12" spans="1:17" ht="65.25">
      <c r="A12" s="427" t="s">
        <v>423</v>
      </c>
      <c r="B12" s="40"/>
      <c r="C12" s="368"/>
      <c r="D12" s="40"/>
      <c r="E12" s="40"/>
      <c r="F12" s="40"/>
      <c r="G12" s="166">
        <v>2614500</v>
      </c>
      <c r="H12" s="165">
        <f t="shared" si="0"/>
        <v>2614500</v>
      </c>
      <c r="I12" s="320" t="s">
        <v>31</v>
      </c>
      <c r="J12" s="201" t="s">
        <v>143</v>
      </c>
      <c r="K12" s="14"/>
      <c r="N12" s="120"/>
      <c r="O12" s="120"/>
      <c r="P12" s="120"/>
      <c r="Q12" s="120"/>
    </row>
    <row r="13" spans="1:11" ht="20.25" customHeight="1">
      <c r="A13" s="149" t="s">
        <v>153</v>
      </c>
      <c r="B13" s="40"/>
      <c r="C13" s="368"/>
      <c r="D13" s="40"/>
      <c r="E13" s="40"/>
      <c r="F13" s="40"/>
      <c r="G13" s="166"/>
      <c r="H13" s="165">
        <f t="shared" si="0"/>
        <v>0</v>
      </c>
      <c r="I13" s="171"/>
      <c r="J13" s="150"/>
      <c r="K13" s="14"/>
    </row>
    <row r="14" spans="1:11" ht="108.75">
      <c r="A14" s="283" t="s">
        <v>683</v>
      </c>
      <c r="B14" s="40">
        <v>55278</v>
      </c>
      <c r="C14" s="40">
        <v>55278</v>
      </c>
      <c r="D14" s="40">
        <v>55278</v>
      </c>
      <c r="E14" s="40">
        <v>55278</v>
      </c>
      <c r="F14" s="429">
        <v>663346</v>
      </c>
      <c r="G14" s="166"/>
      <c r="H14" s="165">
        <f t="shared" si="0"/>
        <v>884458</v>
      </c>
      <c r="I14" s="171" t="s">
        <v>136</v>
      </c>
      <c r="J14" s="160" t="s">
        <v>684</v>
      </c>
      <c r="K14" s="25"/>
    </row>
    <row r="15" spans="1:11" ht="113.25" customHeight="1">
      <c r="A15" s="283" t="s">
        <v>689</v>
      </c>
      <c r="B15" s="40"/>
      <c r="C15" s="40">
        <v>12307.7</v>
      </c>
      <c r="D15" s="40">
        <v>24615.4</v>
      </c>
      <c r="E15" s="40"/>
      <c r="F15" s="258">
        <v>123076.9</v>
      </c>
      <c r="G15" s="166"/>
      <c r="H15" s="165">
        <f t="shared" si="0"/>
        <v>160000</v>
      </c>
      <c r="I15" s="171" t="s">
        <v>136</v>
      </c>
      <c r="J15" s="160" t="s">
        <v>685</v>
      </c>
      <c r="K15" s="14"/>
    </row>
    <row r="16" spans="1:11" ht="72" customHeight="1">
      <c r="A16" s="427" t="s">
        <v>690</v>
      </c>
      <c r="B16" s="569">
        <v>85879</v>
      </c>
      <c r="C16" s="40"/>
      <c r="D16" s="40"/>
      <c r="E16" s="40">
        <f>1129.98*100</f>
        <v>112998</v>
      </c>
      <c r="F16" s="258"/>
      <c r="G16" s="166"/>
      <c r="H16" s="165">
        <f t="shared" si="0"/>
        <v>198877</v>
      </c>
      <c r="I16" s="171" t="s">
        <v>136</v>
      </c>
      <c r="J16" s="160" t="s">
        <v>437</v>
      </c>
      <c r="K16" s="14"/>
    </row>
    <row r="17" spans="1:15" ht="108.75">
      <c r="A17" s="570" t="s">
        <v>686</v>
      </c>
      <c r="B17" s="40">
        <v>79149.5</v>
      </c>
      <c r="C17" s="40">
        <f>79149.5</f>
        <v>79149.5</v>
      </c>
      <c r="D17" s="40">
        <f>79149.5</f>
        <v>79149.5</v>
      </c>
      <c r="E17" s="40">
        <f>79149.5</f>
        <v>79149.5</v>
      </c>
      <c r="F17" s="258">
        <v>1108093</v>
      </c>
      <c r="G17" s="166"/>
      <c r="H17" s="165">
        <f t="shared" si="0"/>
        <v>1424691</v>
      </c>
      <c r="I17" s="171" t="s">
        <v>136</v>
      </c>
      <c r="J17" s="160" t="s">
        <v>296</v>
      </c>
      <c r="K17" s="25" t="s">
        <v>687</v>
      </c>
      <c r="M17" s="120"/>
      <c r="N17" s="30"/>
      <c r="O17" s="30"/>
    </row>
    <row r="18" spans="1:15" ht="87">
      <c r="A18" s="283" t="s">
        <v>688</v>
      </c>
      <c r="B18" s="40">
        <v>85506.21</v>
      </c>
      <c r="C18" s="40">
        <v>85506.21</v>
      </c>
      <c r="D18" s="40">
        <v>85506.21</v>
      </c>
      <c r="E18" s="40"/>
      <c r="F18" s="258">
        <v>1368099.37</v>
      </c>
      <c r="G18" s="166"/>
      <c r="H18" s="165">
        <f t="shared" si="0"/>
        <v>1624618</v>
      </c>
      <c r="I18" s="171" t="s">
        <v>136</v>
      </c>
      <c r="J18" s="160" t="s">
        <v>438</v>
      </c>
      <c r="K18" s="25" t="s">
        <v>687</v>
      </c>
      <c r="M18" s="120"/>
      <c r="N18" s="30"/>
      <c r="O18" s="30"/>
    </row>
    <row r="19" spans="1:11" ht="93" customHeight="1">
      <c r="A19" s="283" t="s">
        <v>691</v>
      </c>
      <c r="B19" s="40">
        <f>290.62*85</f>
        <v>24702.7</v>
      </c>
      <c r="C19" s="40">
        <f>290.62*85</f>
        <v>24702.7</v>
      </c>
      <c r="D19" s="40">
        <f>290.62*85</f>
        <v>24702.7</v>
      </c>
      <c r="E19" s="40"/>
      <c r="F19" s="258">
        <v>24991.9</v>
      </c>
      <c r="G19" s="166"/>
      <c r="H19" s="165">
        <f t="shared" si="0"/>
        <v>99100</v>
      </c>
      <c r="I19" s="171" t="s">
        <v>136</v>
      </c>
      <c r="J19" s="160" t="s">
        <v>692</v>
      </c>
      <c r="K19" s="14"/>
    </row>
    <row r="20" spans="1:11" ht="152.25">
      <c r="A20" s="283" t="s">
        <v>693</v>
      </c>
      <c r="B20" s="40"/>
      <c r="C20" s="40"/>
      <c r="D20" s="40">
        <f>17177.7*2</f>
        <v>34355.4</v>
      </c>
      <c r="E20" s="40"/>
      <c r="F20" s="258">
        <v>188954.6</v>
      </c>
      <c r="G20" s="166"/>
      <c r="H20" s="165">
        <f t="shared" si="0"/>
        <v>223310</v>
      </c>
      <c r="I20" s="171" t="s">
        <v>136</v>
      </c>
      <c r="J20" s="160" t="s">
        <v>439</v>
      </c>
      <c r="K20" s="14"/>
    </row>
    <row r="21" spans="1:11" ht="69" customHeight="1">
      <c r="A21" s="283" t="s">
        <v>695</v>
      </c>
      <c r="B21" s="40">
        <v>198877</v>
      </c>
      <c r="C21" s="40"/>
      <c r="D21" s="40"/>
      <c r="E21" s="40"/>
      <c r="F21" s="258"/>
      <c r="G21" s="166"/>
      <c r="H21" s="165">
        <f t="shared" si="0"/>
        <v>198877</v>
      </c>
      <c r="I21" s="171" t="s">
        <v>136</v>
      </c>
      <c r="J21" s="160" t="s">
        <v>694</v>
      </c>
      <c r="K21" s="14"/>
    </row>
    <row r="22" spans="1:11" ht="51.75" customHeight="1">
      <c r="A22" s="283" t="s">
        <v>696</v>
      </c>
      <c r="B22" s="40">
        <v>7719</v>
      </c>
      <c r="C22" s="40">
        <f>7719.05*2</f>
        <v>15438.1</v>
      </c>
      <c r="D22" s="40"/>
      <c r="E22" s="40">
        <v>15438.1</v>
      </c>
      <c r="F22" s="165">
        <f>7719.05*16</f>
        <v>123504.8</v>
      </c>
      <c r="G22" s="165"/>
      <c r="H22" s="165">
        <f t="shared" si="0"/>
        <v>162100</v>
      </c>
      <c r="I22" s="171" t="s">
        <v>136</v>
      </c>
      <c r="J22" s="160" t="s">
        <v>697</v>
      </c>
      <c r="K22" s="14"/>
    </row>
    <row r="23" spans="1:11" ht="65.25">
      <c r="A23" s="283" t="s">
        <v>440</v>
      </c>
      <c r="B23" s="40">
        <v>84040.18</v>
      </c>
      <c r="C23" s="40">
        <v>168080.36</v>
      </c>
      <c r="D23" s="40">
        <v>84040.18</v>
      </c>
      <c r="E23" s="40"/>
      <c r="F23" s="258">
        <v>1764843.28</v>
      </c>
      <c r="G23" s="166"/>
      <c r="H23" s="165">
        <f t="shared" si="0"/>
        <v>2101004</v>
      </c>
      <c r="I23" s="171" t="s">
        <v>136</v>
      </c>
      <c r="J23" s="160" t="s">
        <v>698</v>
      </c>
      <c r="K23" s="14"/>
    </row>
    <row r="24" spans="1:11" ht="108.75">
      <c r="A24" s="283" t="s">
        <v>441</v>
      </c>
      <c r="B24" s="296"/>
      <c r="C24" s="296">
        <v>18938.05</v>
      </c>
      <c r="D24" s="296"/>
      <c r="E24" s="296"/>
      <c r="F24" s="30">
        <v>738583.95</v>
      </c>
      <c r="G24" s="171"/>
      <c r="H24" s="165">
        <f t="shared" si="0"/>
        <v>757522</v>
      </c>
      <c r="I24" s="171" t="s">
        <v>136</v>
      </c>
      <c r="J24" s="160" t="s">
        <v>315</v>
      </c>
      <c r="K24" s="25"/>
    </row>
    <row r="25" spans="1:11" ht="21.75">
      <c r="A25" s="283"/>
      <c r="B25" s="296"/>
      <c r="C25" s="296"/>
      <c r="D25" s="296"/>
      <c r="E25" s="296"/>
      <c r="F25" s="296"/>
      <c r="G25" s="171"/>
      <c r="H25" s="165"/>
      <c r="I25" s="171"/>
      <c r="J25" s="160"/>
      <c r="K25" s="25"/>
    </row>
    <row r="26" spans="1:11" ht="22.5" thickBot="1">
      <c r="A26" s="19" t="s">
        <v>33</v>
      </c>
      <c r="B26" s="20">
        <f aca="true" t="shared" si="1" ref="B26:H26">SUM(B8:B25)</f>
        <v>7536951.59</v>
      </c>
      <c r="C26" s="20">
        <f t="shared" si="1"/>
        <v>459400.62</v>
      </c>
      <c r="D26" s="20">
        <f t="shared" si="1"/>
        <v>387647.39</v>
      </c>
      <c r="E26" s="20">
        <f t="shared" si="1"/>
        <v>262863.6</v>
      </c>
      <c r="F26" s="20">
        <f t="shared" si="1"/>
        <v>6103493.8</v>
      </c>
      <c r="G26" s="20">
        <f t="shared" si="1"/>
        <v>2625500</v>
      </c>
      <c r="H26" s="20">
        <f t="shared" si="1"/>
        <v>17375857</v>
      </c>
      <c r="I26" s="54"/>
      <c r="J26" s="21"/>
      <c r="K26" s="21"/>
    </row>
    <row r="27" spans="1:11" ht="22.5" thickTop="1">
      <c r="A27" s="370"/>
      <c r="B27" s="43"/>
      <c r="C27" s="36"/>
      <c r="D27" s="36"/>
      <c r="E27" s="36"/>
      <c r="F27" s="36"/>
      <c r="G27" s="36"/>
      <c r="H27" s="55"/>
      <c r="I27" s="56"/>
      <c r="J27" s="36"/>
      <c r="K27" s="36"/>
    </row>
    <row r="28" spans="6:8" ht="21.75">
      <c r="F28" s="1"/>
      <c r="G28" s="30"/>
      <c r="H28" s="1"/>
    </row>
    <row r="29" spans="3:7" ht="21.75">
      <c r="C29" s="1"/>
      <c r="G29" s="30"/>
    </row>
    <row r="30" ht="21.75">
      <c r="A30" t="s">
        <v>796</v>
      </c>
    </row>
    <row r="31" ht="21.75"/>
  </sheetData>
  <sheetProtection/>
  <mergeCells count="9">
    <mergeCell ref="A1:K1"/>
    <mergeCell ref="A2:K2"/>
    <mergeCell ref="A4:A5"/>
    <mergeCell ref="B4:F4"/>
    <mergeCell ref="G4:G5"/>
    <mergeCell ref="H4:H5"/>
    <mergeCell ref="I4:I5"/>
    <mergeCell ref="J4:J5"/>
    <mergeCell ref="K4:K5"/>
  </mergeCells>
  <printOptions/>
  <pageMargins left="0.511811024" right="0.56496063" top="0.917322835" bottom="0" header="1.06299212598425" footer="0.15748031496063"/>
  <pageSetup fitToHeight="3"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4:J35"/>
  <sheetViews>
    <sheetView showGridLines="0" zoomScalePageLayoutView="0" workbookViewId="0" topLeftCell="A1">
      <selection activeCell="M26" sqref="M26"/>
    </sheetView>
  </sheetViews>
  <sheetFormatPr defaultColWidth="9.140625" defaultRowHeight="21.75"/>
  <cols>
    <col min="1" max="1" width="44.28125" style="0" customWidth="1"/>
    <col min="2" max="2" width="13.28125" style="0" customWidth="1"/>
    <col min="3" max="3" width="12.8515625" style="0" customWidth="1"/>
    <col min="4" max="4" width="12.57421875" style="0" customWidth="1"/>
    <col min="5" max="5" width="13.421875" style="0" customWidth="1"/>
    <col min="6" max="6" width="15.00390625" style="0" customWidth="1"/>
    <col min="7" max="7" width="16.140625" style="0" customWidth="1"/>
    <col min="8" max="9" width="17.421875" style="0" customWidth="1"/>
    <col min="10" max="10" width="14.57421875" style="0" customWidth="1"/>
    <col min="13" max="13" width="13.28125" style="0" customWidth="1"/>
  </cols>
  <sheetData>
    <row r="4" spans="1:10" ht="23.25">
      <c r="A4" s="763" t="s">
        <v>0</v>
      </c>
      <c r="B4" s="763"/>
      <c r="C4" s="763"/>
      <c r="D4" s="763"/>
      <c r="E4" s="763"/>
      <c r="F4" s="763"/>
      <c r="G4" s="763"/>
      <c r="H4" s="763"/>
      <c r="I4" s="763"/>
      <c r="J4" s="763"/>
    </row>
    <row r="5" spans="1:10" ht="23.25">
      <c r="A5" s="764" t="s">
        <v>358</v>
      </c>
      <c r="B5" s="763"/>
      <c r="C5" s="763"/>
      <c r="D5" s="763"/>
      <c r="E5" s="763"/>
      <c r="F5" s="763"/>
      <c r="G5" s="763"/>
      <c r="H5" s="763"/>
      <c r="I5" s="763"/>
      <c r="J5" s="763"/>
    </row>
    <row r="6" spans="1:10" ht="21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21.75">
      <c r="A7" s="765" t="s">
        <v>1</v>
      </c>
      <c r="B7" s="767" t="s">
        <v>13</v>
      </c>
      <c r="C7" s="768"/>
      <c r="D7" s="768"/>
      <c r="E7" s="768"/>
      <c r="F7" s="769" t="s">
        <v>110</v>
      </c>
      <c r="G7" s="769" t="s">
        <v>14</v>
      </c>
      <c r="H7" s="765" t="s">
        <v>6</v>
      </c>
      <c r="I7" s="771" t="s">
        <v>7</v>
      </c>
      <c r="J7" s="771" t="s">
        <v>26</v>
      </c>
    </row>
    <row r="8" spans="1:10" ht="40.5" customHeight="1">
      <c r="A8" s="766"/>
      <c r="B8" s="23" t="s">
        <v>8</v>
      </c>
      <c r="C8" s="23" t="s">
        <v>9</v>
      </c>
      <c r="D8" s="23" t="s">
        <v>193</v>
      </c>
      <c r="E8" s="23" t="s">
        <v>10</v>
      </c>
      <c r="F8" s="781"/>
      <c r="G8" s="781"/>
      <c r="H8" s="766"/>
      <c r="I8" s="782"/>
      <c r="J8" s="782"/>
    </row>
    <row r="9" spans="1:10" ht="24">
      <c r="A9" s="7" t="s">
        <v>27</v>
      </c>
      <c r="B9" s="32"/>
      <c r="C9" s="32"/>
      <c r="D9" s="32"/>
      <c r="E9" s="32"/>
      <c r="F9" s="32"/>
      <c r="G9" s="32"/>
      <c r="H9" s="33"/>
      <c r="I9" s="33"/>
      <c r="J9" s="34"/>
    </row>
    <row r="10" spans="1:10" ht="24">
      <c r="A10" s="252" t="s">
        <v>390</v>
      </c>
      <c r="B10" s="67"/>
      <c r="C10" s="142"/>
      <c r="D10" s="142"/>
      <c r="E10" s="247"/>
      <c r="F10" s="247"/>
      <c r="G10" s="40"/>
      <c r="H10" s="134"/>
      <c r="I10" s="144"/>
      <c r="J10" s="48"/>
    </row>
    <row r="11" spans="1:10" ht="24">
      <c r="A11" s="180" t="s">
        <v>391</v>
      </c>
      <c r="B11" s="587"/>
      <c r="C11" s="587"/>
      <c r="D11" s="587"/>
      <c r="E11" s="587"/>
      <c r="F11" s="253">
        <v>79596500</v>
      </c>
      <c r="G11" s="165">
        <f>SUM(B11:F11)</f>
        <v>79596500</v>
      </c>
      <c r="H11" s="185" t="s">
        <v>28</v>
      </c>
      <c r="I11" s="214" t="s">
        <v>143</v>
      </c>
      <c r="J11" s="464"/>
    </row>
    <row r="12" spans="1:10" ht="24">
      <c r="A12" s="252" t="s">
        <v>240</v>
      </c>
      <c r="B12" s="67"/>
      <c r="C12" s="67"/>
      <c r="D12" s="67"/>
      <c r="E12" s="67"/>
      <c r="F12" s="569"/>
      <c r="G12" s="165"/>
      <c r="H12" s="185"/>
      <c r="I12" s="214"/>
      <c r="J12" s="464"/>
    </row>
    <row r="13" spans="1:10" ht="24">
      <c r="A13" s="550" t="s">
        <v>241</v>
      </c>
      <c r="B13" s="588"/>
      <c r="C13" s="588"/>
      <c r="D13" s="588"/>
      <c r="E13" s="588"/>
      <c r="F13" s="409">
        <f>379453.5*3%</f>
        <v>11383.605</v>
      </c>
      <c r="G13" s="375">
        <f>SUM(B13:F13)</f>
        <v>11383.605</v>
      </c>
      <c r="H13" s="551" t="s">
        <v>28</v>
      </c>
      <c r="I13" s="570" t="s">
        <v>143</v>
      </c>
      <c r="J13" s="93"/>
    </row>
    <row r="14" spans="1:10" ht="24">
      <c r="A14" s="252" t="s">
        <v>392</v>
      </c>
      <c r="B14" s="67"/>
      <c r="C14" s="67"/>
      <c r="D14" s="67"/>
      <c r="E14" s="67"/>
      <c r="F14" s="277"/>
      <c r="G14" s="384"/>
      <c r="H14" s="185"/>
      <c r="I14" s="161"/>
      <c r="J14" s="48"/>
    </row>
    <row r="15" spans="1:10" ht="65.25">
      <c r="A15" s="180" t="s">
        <v>721</v>
      </c>
      <c r="B15" s="589"/>
      <c r="C15" s="589"/>
      <c r="D15" s="589"/>
      <c r="E15" s="589"/>
      <c r="F15" s="277">
        <v>444000</v>
      </c>
      <c r="G15" s="375">
        <f aca="true" t="shared" si="0" ref="G15:G21">SUM(B15:F15)</f>
        <v>444000</v>
      </c>
      <c r="H15" s="551" t="s">
        <v>28</v>
      </c>
      <c r="I15" s="570" t="s">
        <v>722</v>
      </c>
      <c r="J15" s="48"/>
    </row>
    <row r="16" spans="1:10" ht="43.5">
      <c r="A16" s="550" t="s">
        <v>393</v>
      </c>
      <c r="B16" s="589"/>
      <c r="C16" s="589"/>
      <c r="D16" s="589"/>
      <c r="E16" s="589"/>
      <c r="F16" s="277">
        <v>1500315</v>
      </c>
      <c r="G16" s="384">
        <f t="shared" si="0"/>
        <v>1500315</v>
      </c>
      <c r="H16" s="551" t="s">
        <v>28</v>
      </c>
      <c r="I16" s="570" t="s">
        <v>722</v>
      </c>
      <c r="J16" s="48"/>
    </row>
    <row r="17" spans="1:10" ht="46.5" customHeight="1">
      <c r="A17" s="337" t="s">
        <v>723</v>
      </c>
      <c r="B17" s="589"/>
      <c r="C17" s="589"/>
      <c r="D17" s="589"/>
      <c r="E17" s="589"/>
      <c r="F17" s="277">
        <v>931710</v>
      </c>
      <c r="G17" s="384">
        <f t="shared" si="0"/>
        <v>931710</v>
      </c>
      <c r="H17" s="551" t="s">
        <v>28</v>
      </c>
      <c r="I17" s="570" t="s">
        <v>143</v>
      </c>
      <c r="J17" s="48"/>
    </row>
    <row r="18" spans="1:10" ht="43.5">
      <c r="A18" s="180" t="s">
        <v>394</v>
      </c>
      <c r="B18" s="277">
        <f>552000/4</f>
        <v>138000</v>
      </c>
      <c r="C18" s="277">
        <f>552000/4</f>
        <v>138000</v>
      </c>
      <c r="D18" s="277">
        <f>552000/4</f>
        <v>138000</v>
      </c>
      <c r="E18" s="277">
        <f>552000/4</f>
        <v>138000</v>
      </c>
      <c r="F18" s="277"/>
      <c r="G18" s="384">
        <f>SUM(B18:F18)</f>
        <v>552000</v>
      </c>
      <c r="H18" s="551" t="s">
        <v>28</v>
      </c>
      <c r="I18" s="552" t="s">
        <v>724</v>
      </c>
      <c r="J18" s="48"/>
    </row>
    <row r="19" spans="1:10" ht="44.25">
      <c r="A19" s="185" t="s">
        <v>395</v>
      </c>
      <c r="B19" s="277">
        <f>1062100/4</f>
        <v>265525</v>
      </c>
      <c r="C19" s="277">
        <f>1062100/4</f>
        <v>265525</v>
      </c>
      <c r="D19" s="277">
        <f>1062100/4</f>
        <v>265525</v>
      </c>
      <c r="E19" s="277">
        <f>1062100/4</f>
        <v>265525</v>
      </c>
      <c r="F19" s="277"/>
      <c r="G19" s="384">
        <f>SUM(B19:F19)</f>
        <v>1062100</v>
      </c>
      <c r="H19" s="551" t="s">
        <v>28</v>
      </c>
      <c r="I19" s="570" t="s">
        <v>724</v>
      </c>
      <c r="J19" s="48"/>
    </row>
    <row r="20" spans="1:10" ht="44.25">
      <c r="A20" s="185" t="s">
        <v>396</v>
      </c>
      <c r="B20" s="277">
        <f>1090050/4</f>
        <v>272512.5</v>
      </c>
      <c r="C20" s="277">
        <f>1090050/4</f>
        <v>272512.5</v>
      </c>
      <c r="D20" s="277">
        <f>1090050/4</f>
        <v>272512.5</v>
      </c>
      <c r="E20" s="277">
        <f>1090050/4</f>
        <v>272512.5</v>
      </c>
      <c r="F20" s="277"/>
      <c r="G20" s="384">
        <f t="shared" si="0"/>
        <v>1090050</v>
      </c>
      <c r="H20" s="551" t="s">
        <v>28</v>
      </c>
      <c r="I20" s="570" t="s">
        <v>724</v>
      </c>
      <c r="J20" s="48"/>
    </row>
    <row r="21" spans="1:10" ht="65.25">
      <c r="A21" s="180" t="s">
        <v>397</v>
      </c>
      <c r="B21" s="277">
        <f>10865850/4</f>
        <v>2716462.5</v>
      </c>
      <c r="C21" s="277">
        <f>10865850/4</f>
        <v>2716462.5</v>
      </c>
      <c r="D21" s="277">
        <f>10865850/4</f>
        <v>2716462.5</v>
      </c>
      <c r="E21" s="277">
        <f>10865850/4</f>
        <v>2716462.5</v>
      </c>
      <c r="F21" s="277"/>
      <c r="G21" s="384">
        <f t="shared" si="0"/>
        <v>10865850</v>
      </c>
      <c r="H21" s="551" t="s">
        <v>28</v>
      </c>
      <c r="I21" s="570" t="s">
        <v>724</v>
      </c>
      <c r="J21" s="48"/>
    </row>
    <row r="22" spans="1:10" ht="24.75" thickBot="1">
      <c r="A22" s="19" t="s">
        <v>2</v>
      </c>
      <c r="B22" s="104">
        <f>SUM(B10:B21)</f>
        <v>3392500</v>
      </c>
      <c r="C22" s="104">
        <f>SUM(C10:C21)</f>
        <v>3392500</v>
      </c>
      <c r="D22" s="104">
        <f>SUM(D10:D21)</f>
        <v>3392500</v>
      </c>
      <c r="E22" s="104">
        <f>SUM(E10:E21)</f>
        <v>3392500</v>
      </c>
      <c r="F22" s="104">
        <f>SUM(F11:F21)</f>
        <v>82483908.605</v>
      </c>
      <c r="G22" s="104">
        <f>SUM(G11:G21)</f>
        <v>96053908.605</v>
      </c>
      <c r="H22" s="248"/>
      <c r="I22" s="248"/>
      <c r="J22" s="35"/>
    </row>
    <row r="23" spans="1:10" ht="24.75" thickTop="1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5:9" ht="21.75">
      <c r="E24" s="30"/>
      <c r="F24" s="30"/>
      <c r="G24" s="1"/>
      <c r="I24" s="22"/>
    </row>
    <row r="25" spans="3:7" ht="21.75">
      <c r="C25" s="2"/>
      <c r="D25" s="1"/>
      <c r="F25" s="1"/>
      <c r="G25" s="1"/>
    </row>
    <row r="26" ht="21.75">
      <c r="C26" s="2"/>
    </row>
    <row r="27" ht="21.75">
      <c r="C27" s="2"/>
    </row>
    <row r="28" ht="21.75">
      <c r="C28" s="2"/>
    </row>
    <row r="29" spans="3:8" ht="21.75">
      <c r="C29" s="2"/>
      <c r="G29" s="251"/>
      <c r="H29" s="553"/>
    </row>
    <row r="35" ht="21.75">
      <c r="G35" s="120"/>
    </row>
  </sheetData>
  <sheetProtection/>
  <mergeCells count="9">
    <mergeCell ref="A4:J4"/>
    <mergeCell ref="A5:J5"/>
    <mergeCell ref="A7:A8"/>
    <mergeCell ref="B7:E7"/>
    <mergeCell ref="G7:G8"/>
    <mergeCell ref="H7:H8"/>
    <mergeCell ref="I7:I8"/>
    <mergeCell ref="J7:J8"/>
    <mergeCell ref="F7:F8"/>
  </mergeCells>
  <printOptions/>
  <pageMargins left="0.53" right="0.498031496" top="0.13" bottom="0" header="1.11" footer="0.16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P45"/>
  <sheetViews>
    <sheetView showGridLines="0" zoomScalePageLayoutView="0" workbookViewId="0" topLeftCell="A1">
      <pane xSplit="1" ySplit="5" topLeftCell="C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E45" sqref="E45"/>
    </sheetView>
  </sheetViews>
  <sheetFormatPr defaultColWidth="9.140625" defaultRowHeight="21.75"/>
  <cols>
    <col min="1" max="1" width="50.00390625" style="0" customWidth="1"/>
    <col min="2" max="2" width="13.140625" style="0" customWidth="1"/>
    <col min="3" max="3" width="13.57421875" style="0" bestFit="1" customWidth="1"/>
    <col min="4" max="4" width="12.8515625" style="0" customWidth="1"/>
    <col min="5" max="5" width="13.8515625" style="0" customWidth="1"/>
    <col min="6" max="6" width="11.7109375" style="0" customWidth="1"/>
    <col min="7" max="7" width="13.8515625" style="0" customWidth="1"/>
    <col min="8" max="8" width="14.140625" style="0" customWidth="1"/>
    <col min="9" max="9" width="14.421875" style="0" customWidth="1"/>
    <col min="10" max="10" width="17.8515625" style="0" customWidth="1"/>
    <col min="11" max="11" width="15.28125" style="0" customWidth="1"/>
    <col min="12" max="12" width="13.8515625" style="0" customWidth="1"/>
  </cols>
  <sheetData>
    <row r="1" spans="1:12" ht="23.2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</row>
    <row r="2" spans="1:16" ht="24">
      <c r="A2" s="764" t="s">
        <v>358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64"/>
      <c r="N2" s="64"/>
      <c r="O2" s="64"/>
      <c r="P2" s="64"/>
    </row>
    <row r="3" spans="2:12" ht="21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21.75" customHeight="1">
      <c r="A4" s="765" t="s">
        <v>1</v>
      </c>
      <c r="B4" s="767" t="s">
        <v>13</v>
      </c>
      <c r="C4" s="768"/>
      <c r="D4" s="768"/>
      <c r="E4" s="768"/>
      <c r="F4" s="116"/>
      <c r="G4" s="328"/>
      <c r="H4" s="769" t="s">
        <v>110</v>
      </c>
      <c r="I4" s="769" t="s">
        <v>14</v>
      </c>
      <c r="J4" s="765" t="s">
        <v>6</v>
      </c>
      <c r="K4" s="771" t="s">
        <v>7</v>
      </c>
      <c r="L4" s="771" t="s">
        <v>35</v>
      </c>
    </row>
    <row r="5" spans="1:12" ht="42" customHeight="1">
      <c r="A5" s="766"/>
      <c r="B5" s="23" t="s">
        <v>8</v>
      </c>
      <c r="C5" s="23" t="s">
        <v>9</v>
      </c>
      <c r="D5" s="23" t="s">
        <v>211</v>
      </c>
      <c r="E5" s="23" t="s">
        <v>10</v>
      </c>
      <c r="F5" s="23" t="s">
        <v>23</v>
      </c>
      <c r="G5" s="118" t="s">
        <v>40</v>
      </c>
      <c r="H5" s="781"/>
      <c r="I5" s="781"/>
      <c r="J5" s="766"/>
      <c r="K5" s="782"/>
      <c r="L5" s="782"/>
    </row>
    <row r="6" spans="1:12" ht="21.75">
      <c r="A6" s="7" t="s">
        <v>271</v>
      </c>
      <c r="B6" s="58"/>
      <c r="C6" s="58"/>
      <c r="D6" s="58"/>
      <c r="E6" s="58"/>
      <c r="F6" s="58"/>
      <c r="G6" s="58"/>
      <c r="H6" s="58"/>
      <c r="I6" s="58"/>
      <c r="J6" s="9"/>
      <c r="K6" s="9"/>
      <c r="L6" s="10"/>
    </row>
    <row r="7" spans="1:12" ht="21.75">
      <c r="A7" s="149" t="s">
        <v>404</v>
      </c>
      <c r="B7" s="59"/>
      <c r="C7" s="59"/>
      <c r="D7" s="59"/>
      <c r="E7" s="59"/>
      <c r="F7" s="59"/>
      <c r="G7" s="59"/>
      <c r="H7" s="59"/>
      <c r="I7" s="59"/>
      <c r="J7" s="13"/>
      <c r="K7" s="13"/>
      <c r="L7" s="14"/>
    </row>
    <row r="8" spans="1:12" ht="165.75" customHeight="1">
      <c r="A8" s="185" t="s">
        <v>699</v>
      </c>
      <c r="B8" s="40">
        <v>160862</v>
      </c>
      <c r="C8" s="59"/>
      <c r="D8" s="59"/>
      <c r="E8" s="59"/>
      <c r="F8" s="59"/>
      <c r="G8" s="59"/>
      <c r="H8" s="59"/>
      <c r="I8" s="40">
        <f>SUM(B8:H8)</f>
        <v>160862</v>
      </c>
      <c r="J8" s="154" t="s">
        <v>264</v>
      </c>
      <c r="K8" s="387" t="s">
        <v>55</v>
      </c>
      <c r="L8" s="14"/>
    </row>
    <row r="9" spans="1:12" ht="130.5">
      <c r="A9" s="554" t="s">
        <v>403</v>
      </c>
      <c r="B9" s="40">
        <v>54075</v>
      </c>
      <c r="C9" s="59"/>
      <c r="D9" s="59"/>
      <c r="E9" s="59"/>
      <c r="F9" s="59"/>
      <c r="G9" s="59"/>
      <c r="H9" s="59"/>
      <c r="I9" s="40">
        <f aca="true" t="shared" si="0" ref="I9:I23">SUM(B9:H9)</f>
        <v>54075</v>
      </c>
      <c r="J9" s="154" t="s">
        <v>264</v>
      </c>
      <c r="K9" s="387" t="s">
        <v>55</v>
      </c>
      <c r="L9" s="14"/>
    </row>
    <row r="10" spans="1:12" ht="21.75">
      <c r="A10" s="149" t="s">
        <v>405</v>
      </c>
      <c r="B10" s="59"/>
      <c r="C10" s="59"/>
      <c r="D10" s="59"/>
      <c r="E10" s="59"/>
      <c r="F10" s="59"/>
      <c r="G10" s="59"/>
      <c r="H10" s="59"/>
      <c r="I10" s="59"/>
      <c r="J10" s="13"/>
      <c r="K10" s="13"/>
      <c r="L10" s="14"/>
    </row>
    <row r="11" spans="1:12" ht="87">
      <c r="A11" s="185" t="s">
        <v>406</v>
      </c>
      <c r="B11" s="40">
        <v>6866.66</v>
      </c>
      <c r="C11" s="40">
        <v>6866.66</v>
      </c>
      <c r="D11" s="40">
        <v>6866.66</v>
      </c>
      <c r="E11" s="40">
        <v>6866.67</v>
      </c>
      <c r="F11" s="40"/>
      <c r="G11" s="40">
        <f>6866.67*5</f>
        <v>34333.35</v>
      </c>
      <c r="H11" s="40"/>
      <c r="I11" s="40">
        <f t="shared" si="0"/>
        <v>61800</v>
      </c>
      <c r="J11" s="154" t="s">
        <v>264</v>
      </c>
      <c r="K11" s="154" t="s">
        <v>296</v>
      </c>
      <c r="L11" s="14"/>
    </row>
    <row r="12" spans="1:12" ht="21.75">
      <c r="A12" s="149" t="s">
        <v>323</v>
      </c>
      <c r="B12" s="59"/>
      <c r="C12" s="59"/>
      <c r="D12" s="59"/>
      <c r="E12" s="59"/>
      <c r="F12" s="59"/>
      <c r="G12" s="59"/>
      <c r="H12" s="59"/>
      <c r="I12" s="59"/>
      <c r="J12" s="13"/>
      <c r="K12" s="13"/>
      <c r="L12" s="14"/>
    </row>
    <row r="13" spans="1:12" ht="43.5">
      <c r="A13" s="571" t="s">
        <v>443</v>
      </c>
      <c r="B13" s="59"/>
      <c r="C13" s="59"/>
      <c r="D13" s="59"/>
      <c r="E13" s="59"/>
      <c r="F13" s="59"/>
      <c r="G13" s="59">
        <v>19800</v>
      </c>
      <c r="H13" s="59"/>
      <c r="I13" s="59">
        <f t="shared" si="0"/>
        <v>19800</v>
      </c>
      <c r="J13" s="150" t="s">
        <v>264</v>
      </c>
      <c r="K13" s="150" t="s">
        <v>444</v>
      </c>
      <c r="L13" s="14"/>
    </row>
    <row r="14" spans="1:12" ht="43.5">
      <c r="A14" s="571" t="s">
        <v>446</v>
      </c>
      <c r="B14" s="59"/>
      <c r="C14" s="59"/>
      <c r="D14" s="59"/>
      <c r="E14" s="59"/>
      <c r="F14" s="59"/>
      <c r="G14" s="59">
        <v>21000</v>
      </c>
      <c r="H14" s="59"/>
      <c r="I14" s="59">
        <f t="shared" si="0"/>
        <v>21000</v>
      </c>
      <c r="J14" s="150" t="s">
        <v>264</v>
      </c>
      <c r="K14" s="150" t="s">
        <v>445</v>
      </c>
      <c r="L14" s="14"/>
    </row>
    <row r="15" spans="1:12" ht="43.5">
      <c r="A15" s="571" t="s">
        <v>447</v>
      </c>
      <c r="B15" s="59"/>
      <c r="C15" s="59"/>
      <c r="D15" s="59"/>
      <c r="E15" s="59"/>
      <c r="F15" s="59"/>
      <c r="G15" s="59">
        <v>8000</v>
      </c>
      <c r="H15" s="59"/>
      <c r="I15" s="59">
        <f t="shared" si="0"/>
        <v>8000</v>
      </c>
      <c r="J15" s="150" t="s">
        <v>264</v>
      </c>
      <c r="K15" s="150" t="s">
        <v>445</v>
      </c>
      <c r="L15" s="14"/>
    </row>
    <row r="16" spans="1:12" ht="21.75">
      <c r="A16" s="571" t="s">
        <v>448</v>
      </c>
      <c r="B16" s="59">
        <v>8196</v>
      </c>
      <c r="C16" s="59">
        <v>8196</v>
      </c>
      <c r="D16" s="59">
        <v>8196</v>
      </c>
      <c r="E16" s="59">
        <v>8196</v>
      </c>
      <c r="F16" s="59"/>
      <c r="G16" s="59">
        <f>8196*5</f>
        <v>40980</v>
      </c>
      <c r="H16" s="59"/>
      <c r="I16" s="59">
        <f t="shared" si="0"/>
        <v>73764</v>
      </c>
      <c r="J16" s="150" t="s">
        <v>264</v>
      </c>
      <c r="K16" s="150" t="s">
        <v>698</v>
      </c>
      <c r="L16" s="14"/>
    </row>
    <row r="17" spans="1:12" ht="43.5">
      <c r="A17" s="571" t="s">
        <v>449</v>
      </c>
      <c r="B17" s="59"/>
      <c r="C17" s="59"/>
      <c r="D17" s="59"/>
      <c r="E17" s="59"/>
      <c r="F17" s="59"/>
      <c r="G17" s="59"/>
      <c r="H17" s="59">
        <v>190740</v>
      </c>
      <c r="I17" s="59">
        <f>SUM(B17:H17)</f>
        <v>190740</v>
      </c>
      <c r="J17" s="150" t="s">
        <v>264</v>
      </c>
      <c r="K17" s="16" t="s">
        <v>12</v>
      </c>
      <c r="L17" s="14"/>
    </row>
    <row r="18" spans="1:12" ht="43.5">
      <c r="A18" s="571" t="s">
        <v>450</v>
      </c>
      <c r="B18" s="59"/>
      <c r="C18" s="59"/>
      <c r="D18" s="59"/>
      <c r="E18" s="59"/>
      <c r="F18" s="59"/>
      <c r="G18" s="59"/>
      <c r="H18" s="59">
        <v>2229399.1</v>
      </c>
      <c r="I18" s="59">
        <f>SUM(B18:H18)</f>
        <v>2229399.1</v>
      </c>
      <c r="J18" s="150" t="s">
        <v>264</v>
      </c>
      <c r="K18" s="16" t="s">
        <v>12</v>
      </c>
      <c r="L18" s="14"/>
    </row>
    <row r="19" spans="1:12" ht="43.5">
      <c r="A19" s="571" t="s">
        <v>451</v>
      </c>
      <c r="B19" s="59"/>
      <c r="C19" s="59"/>
      <c r="D19" s="59"/>
      <c r="E19" s="59"/>
      <c r="F19" s="59"/>
      <c r="G19" s="59"/>
      <c r="H19" s="59">
        <v>36712.38</v>
      </c>
      <c r="I19" s="59">
        <f>SUM(B19:H19)</f>
        <v>36712.38</v>
      </c>
      <c r="J19" s="150" t="s">
        <v>264</v>
      </c>
      <c r="K19" s="16" t="s">
        <v>12</v>
      </c>
      <c r="L19" s="14"/>
    </row>
    <row r="20" spans="1:12" ht="21.75">
      <c r="A20" s="149" t="s">
        <v>452</v>
      </c>
      <c r="B20" s="59"/>
      <c r="C20" s="59"/>
      <c r="D20" s="59"/>
      <c r="E20" s="59"/>
      <c r="F20" s="59"/>
      <c r="G20" s="59"/>
      <c r="H20" s="59"/>
      <c r="I20" s="59"/>
      <c r="J20" s="150"/>
      <c r="K20" s="66"/>
      <c r="L20" s="14"/>
    </row>
    <row r="21" spans="1:12" ht="87">
      <c r="A21" s="571" t="s">
        <v>453</v>
      </c>
      <c r="B21" s="59"/>
      <c r="C21" s="40">
        <v>50000</v>
      </c>
      <c r="D21" s="59"/>
      <c r="E21" s="59"/>
      <c r="F21" s="59"/>
      <c r="G21" s="59"/>
      <c r="H21" s="59"/>
      <c r="I21" s="40">
        <f>SUM(B21:H21)</f>
        <v>50000</v>
      </c>
      <c r="J21" s="154" t="s">
        <v>264</v>
      </c>
      <c r="K21" s="152" t="s">
        <v>700</v>
      </c>
      <c r="L21" s="14"/>
    </row>
    <row r="22" spans="1:12" ht="21.75">
      <c r="A22" s="149" t="s">
        <v>324</v>
      </c>
      <c r="B22" s="59"/>
      <c r="C22" s="59"/>
      <c r="D22" s="59"/>
      <c r="E22" s="59"/>
      <c r="F22" s="59"/>
      <c r="G22" s="59"/>
      <c r="H22" s="59"/>
      <c r="I22" s="59"/>
      <c r="J22" s="13"/>
      <c r="K22" s="13"/>
      <c r="L22" s="14"/>
    </row>
    <row r="23" spans="1:12" ht="43.5">
      <c r="A23" s="185" t="s">
        <v>703</v>
      </c>
      <c r="B23" s="440"/>
      <c r="C23" s="440"/>
      <c r="D23" s="440"/>
      <c r="E23" s="440"/>
      <c r="F23" s="440"/>
      <c r="G23" s="440"/>
      <c r="H23" s="165">
        <v>185000</v>
      </c>
      <c r="I23" s="40">
        <f t="shared" si="0"/>
        <v>185000</v>
      </c>
      <c r="J23" s="441" t="s">
        <v>43</v>
      </c>
      <c r="K23" s="154" t="s">
        <v>167</v>
      </c>
      <c r="L23" s="14"/>
    </row>
    <row r="24" spans="1:12" ht="21.75">
      <c r="A24" s="149" t="s">
        <v>458</v>
      </c>
      <c r="B24" s="440"/>
      <c r="C24" s="165"/>
      <c r="D24" s="440"/>
      <c r="E24" s="440"/>
      <c r="F24" s="440"/>
      <c r="G24" s="440"/>
      <c r="H24" s="440"/>
      <c r="I24" s="165"/>
      <c r="J24" s="441"/>
      <c r="K24" s="13"/>
      <c r="L24" s="14"/>
    </row>
    <row r="25" spans="1:12" ht="43.5">
      <c r="A25" s="185" t="s">
        <v>704</v>
      </c>
      <c r="B25" s="440"/>
      <c r="C25" s="165"/>
      <c r="D25" s="440"/>
      <c r="E25" s="440"/>
      <c r="F25" s="440"/>
      <c r="G25" s="207"/>
      <c r="H25" s="165">
        <v>114757.72</v>
      </c>
      <c r="I25" s="165">
        <f aca="true" t="shared" si="1" ref="I25:I39">SUM(B25:H25)</f>
        <v>114757.72</v>
      </c>
      <c r="J25" s="441" t="s">
        <v>43</v>
      </c>
      <c r="K25" s="387" t="s">
        <v>459</v>
      </c>
      <c r="L25" s="14"/>
    </row>
    <row r="26" spans="1:12" ht="43.5">
      <c r="A26" s="185" t="s">
        <v>705</v>
      </c>
      <c r="B26" s="440"/>
      <c r="C26" s="165"/>
      <c r="D26" s="440"/>
      <c r="E26" s="440"/>
      <c r="F26" s="440"/>
      <c r="G26" s="199"/>
      <c r="H26" s="165">
        <v>57271.68</v>
      </c>
      <c r="I26" s="165">
        <f>SUM(B26:H26)</f>
        <v>57271.68</v>
      </c>
      <c r="J26" s="441" t="s">
        <v>43</v>
      </c>
      <c r="K26" s="387" t="s">
        <v>459</v>
      </c>
      <c r="L26" s="14"/>
    </row>
    <row r="27" spans="1:12" ht="87">
      <c r="A27" s="185" t="s">
        <v>460</v>
      </c>
      <c r="B27" s="440"/>
      <c r="C27" s="165"/>
      <c r="D27" s="165">
        <f>208027.69/6</f>
        <v>34671.28166666667</v>
      </c>
      <c r="E27" s="165"/>
      <c r="F27" s="165">
        <v>34671.29</v>
      </c>
      <c r="G27" s="165">
        <f>34671.28*4</f>
        <v>138685.12</v>
      </c>
      <c r="H27" s="440"/>
      <c r="I27" s="165">
        <f t="shared" si="1"/>
        <v>208027.69166666665</v>
      </c>
      <c r="J27" s="154" t="s">
        <v>264</v>
      </c>
      <c r="K27" s="387" t="s">
        <v>55</v>
      </c>
      <c r="L27" s="14"/>
    </row>
    <row r="28" spans="1:12" ht="43.5">
      <c r="A28" s="185" t="s">
        <v>461</v>
      </c>
      <c r="B28" s="440"/>
      <c r="C28" s="165"/>
      <c r="D28" s="440"/>
      <c r="E28" s="440"/>
      <c r="F28" s="440"/>
      <c r="G28" s="440">
        <v>922590</v>
      </c>
      <c r="H28" s="440"/>
      <c r="I28" s="165">
        <f>SUM(B28:H28)</f>
        <v>922590</v>
      </c>
      <c r="J28" s="150" t="s">
        <v>264</v>
      </c>
      <c r="K28" s="13" t="s">
        <v>462</v>
      </c>
      <c r="L28" s="14"/>
    </row>
    <row r="29" spans="1:12" ht="21.75">
      <c r="A29" s="149" t="s">
        <v>718</v>
      </c>
      <c r="B29" s="440"/>
      <c r="C29" s="165"/>
      <c r="D29" s="440"/>
      <c r="E29" s="440"/>
      <c r="F29" s="440"/>
      <c r="G29" s="440"/>
      <c r="H29" s="440"/>
      <c r="I29" s="165"/>
      <c r="J29" s="150"/>
      <c r="K29" s="13"/>
      <c r="L29" s="14"/>
    </row>
    <row r="30" spans="1:12" ht="65.25">
      <c r="A30" s="185" t="s">
        <v>463</v>
      </c>
      <c r="B30" s="40">
        <v>500000</v>
      </c>
      <c r="C30" s="59"/>
      <c r="D30" s="59"/>
      <c r="E30" s="59"/>
      <c r="F30" s="59"/>
      <c r="G30" s="59"/>
      <c r="H30" s="59"/>
      <c r="I30" s="165">
        <f t="shared" si="1"/>
        <v>500000</v>
      </c>
      <c r="J30" s="154" t="s">
        <v>264</v>
      </c>
      <c r="K30" s="387" t="s">
        <v>55</v>
      </c>
      <c r="L30" s="14"/>
    </row>
    <row r="31" spans="1:12" ht="43.5">
      <c r="A31" s="185" t="s">
        <v>464</v>
      </c>
      <c r="B31" s="59"/>
      <c r="C31" s="59"/>
      <c r="D31" s="59"/>
      <c r="E31" s="59"/>
      <c r="F31" s="59"/>
      <c r="G31" s="59">
        <f>200000+529656</f>
        <v>729656</v>
      </c>
      <c r="H31" s="59"/>
      <c r="I31" s="165">
        <f t="shared" si="1"/>
        <v>729656</v>
      </c>
      <c r="J31" s="154" t="s">
        <v>264</v>
      </c>
      <c r="K31" s="387" t="s">
        <v>55</v>
      </c>
      <c r="L31" s="14"/>
    </row>
    <row r="32" spans="1:12" ht="65.25">
      <c r="A32" s="185" t="s">
        <v>465</v>
      </c>
      <c r="B32" s="59"/>
      <c r="C32" s="59"/>
      <c r="D32" s="59"/>
      <c r="E32" s="40">
        <v>1413200</v>
      </c>
      <c r="F32" s="59"/>
      <c r="G32" s="59"/>
      <c r="H32" s="59"/>
      <c r="I32" s="165">
        <f t="shared" si="1"/>
        <v>1413200</v>
      </c>
      <c r="J32" s="154" t="s">
        <v>264</v>
      </c>
      <c r="K32" s="387" t="s">
        <v>55</v>
      </c>
      <c r="L32" s="14" t="s">
        <v>466</v>
      </c>
    </row>
    <row r="33" spans="1:12" ht="43.5">
      <c r="A33" s="185" t="s">
        <v>467</v>
      </c>
      <c r="B33" s="59"/>
      <c r="C33" s="59"/>
      <c r="D33" s="59"/>
      <c r="E33" s="59"/>
      <c r="F33" s="59"/>
      <c r="G33" s="59"/>
      <c r="H33" s="59">
        <v>150000</v>
      </c>
      <c r="I33" s="165">
        <f t="shared" si="1"/>
        <v>150000</v>
      </c>
      <c r="J33" s="154" t="s">
        <v>264</v>
      </c>
      <c r="K33" s="387" t="s">
        <v>468</v>
      </c>
      <c r="L33" s="14"/>
    </row>
    <row r="34" spans="1:12" ht="21.75">
      <c r="A34" s="149" t="s">
        <v>701</v>
      </c>
      <c r="B34" s="59"/>
      <c r="C34" s="59"/>
      <c r="D34" s="59"/>
      <c r="E34" s="59"/>
      <c r="F34" s="59"/>
      <c r="G34" s="59"/>
      <c r="H34" s="59"/>
      <c r="I34" s="165"/>
      <c r="J34" s="154"/>
      <c r="K34" s="387"/>
      <c r="L34" s="14"/>
    </row>
    <row r="35" spans="1:12" ht="43.5">
      <c r="A35" s="185" t="s">
        <v>454</v>
      </c>
      <c r="B35" s="40">
        <f>1276000/18</f>
        <v>70888.88888888889</v>
      </c>
      <c r="C35" s="40"/>
      <c r="D35" s="40">
        <f>70888.89*2</f>
        <v>141777.78</v>
      </c>
      <c r="E35" s="40">
        <f>70888.89*5</f>
        <v>354444.45</v>
      </c>
      <c r="F35" s="40"/>
      <c r="G35" s="40">
        <f>1276000-567111.12</f>
        <v>708888.88</v>
      </c>
      <c r="H35" s="59"/>
      <c r="I35" s="165">
        <f t="shared" si="1"/>
        <v>1275999.9988888889</v>
      </c>
      <c r="J35" s="154" t="s">
        <v>264</v>
      </c>
      <c r="K35" s="154" t="s">
        <v>457</v>
      </c>
      <c r="L35" s="14"/>
    </row>
    <row r="36" spans="1:12" ht="65.25">
      <c r="A36" s="185" t="s">
        <v>455</v>
      </c>
      <c r="B36" s="40">
        <f>1000000/8</f>
        <v>125000</v>
      </c>
      <c r="C36" s="40">
        <v>125000</v>
      </c>
      <c r="D36" s="40">
        <v>125000</v>
      </c>
      <c r="E36" s="40">
        <v>125000</v>
      </c>
      <c r="F36" s="40"/>
      <c r="G36" s="40">
        <v>500000</v>
      </c>
      <c r="H36" s="59"/>
      <c r="I36" s="165">
        <f>SUM(B36:H36)</f>
        <v>1000000</v>
      </c>
      <c r="J36" s="154" t="s">
        <v>264</v>
      </c>
      <c r="K36" s="154" t="s">
        <v>55</v>
      </c>
      <c r="L36" s="197" t="s">
        <v>456</v>
      </c>
    </row>
    <row r="37" spans="1:12" ht="65.25">
      <c r="A37" s="185" t="s">
        <v>702</v>
      </c>
      <c r="B37" s="40"/>
      <c r="C37" s="40">
        <v>200000</v>
      </c>
      <c r="D37" s="40">
        <v>200000</v>
      </c>
      <c r="E37" s="40"/>
      <c r="F37" s="40"/>
      <c r="G37" s="40"/>
      <c r="H37" s="59"/>
      <c r="I37" s="165">
        <f>SUM(B37:H37)</f>
        <v>400000</v>
      </c>
      <c r="J37" s="154" t="s">
        <v>264</v>
      </c>
      <c r="K37" s="154" t="s">
        <v>55</v>
      </c>
      <c r="L37" s="197" t="s">
        <v>456</v>
      </c>
    </row>
    <row r="38" spans="1:12" ht="21.75">
      <c r="A38" s="149" t="s">
        <v>717</v>
      </c>
      <c r="B38" s="40"/>
      <c r="C38" s="40"/>
      <c r="D38" s="40"/>
      <c r="E38" s="40"/>
      <c r="F38" s="40"/>
      <c r="G38" s="40"/>
      <c r="H38" s="59"/>
      <c r="I38" s="165"/>
      <c r="J38" s="150"/>
      <c r="K38" s="150"/>
      <c r="L38" s="14"/>
    </row>
    <row r="39" spans="1:12" ht="48.75" customHeight="1">
      <c r="A39" s="337" t="s">
        <v>469</v>
      </c>
      <c r="B39" s="65"/>
      <c r="C39" s="65">
        <v>295000</v>
      </c>
      <c r="D39" s="65"/>
      <c r="E39" s="65"/>
      <c r="F39" s="65"/>
      <c r="G39" s="65"/>
      <c r="H39" s="65"/>
      <c r="I39" s="165">
        <f t="shared" si="1"/>
        <v>295000</v>
      </c>
      <c r="J39" s="154" t="s">
        <v>264</v>
      </c>
      <c r="K39" s="160" t="s">
        <v>470</v>
      </c>
      <c r="L39" s="171"/>
    </row>
    <row r="40" spans="1:12" ht="21.75">
      <c r="A40" s="161"/>
      <c r="B40" s="430"/>
      <c r="C40" s="431"/>
      <c r="D40" s="431"/>
      <c r="E40" s="431"/>
      <c r="F40" s="431"/>
      <c r="G40" s="431"/>
      <c r="H40" s="431"/>
      <c r="I40" s="435"/>
      <c r="J40" s="412"/>
      <c r="K40" s="432"/>
      <c r="L40" s="433"/>
    </row>
    <row r="41" spans="1:12" ht="22.5" thickBot="1">
      <c r="A41" s="19" t="s">
        <v>2</v>
      </c>
      <c r="B41" s="61">
        <f aca="true" t="shared" si="2" ref="B41:I41">SUM(B8:B40)</f>
        <v>925888.5488888889</v>
      </c>
      <c r="C41" s="61">
        <f t="shared" si="2"/>
        <v>685062.66</v>
      </c>
      <c r="D41" s="61">
        <f t="shared" si="2"/>
        <v>516511.7216666667</v>
      </c>
      <c r="E41" s="61">
        <f t="shared" si="2"/>
        <v>1907707.1199999999</v>
      </c>
      <c r="F41" s="61">
        <f t="shared" si="2"/>
        <v>34671.29</v>
      </c>
      <c r="G41" s="61">
        <f t="shared" si="2"/>
        <v>3123933.35</v>
      </c>
      <c r="H41" s="61">
        <f t="shared" si="2"/>
        <v>2963880.8800000004</v>
      </c>
      <c r="I41" s="61">
        <f t="shared" si="2"/>
        <v>10157655.570555557</v>
      </c>
      <c r="J41" s="21"/>
      <c r="K41" s="21"/>
      <c r="L41" s="21"/>
    </row>
    <row r="42" spans="1:12" ht="22.5" thickTop="1">
      <c r="A42" s="36"/>
      <c r="B42" s="43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1" ht="21.75">
      <c r="A43" s="37"/>
      <c r="G43" s="1"/>
      <c r="I43" s="30"/>
      <c r="K43" s="57"/>
    </row>
    <row r="44" ht="21.75">
      <c r="I44" s="1"/>
    </row>
    <row r="45" ht="21.75">
      <c r="H45" s="1"/>
    </row>
  </sheetData>
  <sheetProtection/>
  <mergeCells count="9">
    <mergeCell ref="A1:L1"/>
    <mergeCell ref="A2:L2"/>
    <mergeCell ref="A4:A5"/>
    <mergeCell ref="B4:E4"/>
    <mergeCell ref="H4:H5"/>
    <mergeCell ref="I4:I5"/>
    <mergeCell ref="J4:J5"/>
    <mergeCell ref="K4:K5"/>
    <mergeCell ref="L4:L5"/>
  </mergeCells>
  <printOptions/>
  <pageMargins left="0.433070866141732" right="0" top="0.496062992" bottom="0" header="0.78740157480315" footer="0.15748031496063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DELL</cp:lastModifiedBy>
  <cp:lastPrinted>2019-12-09T02:38:48Z</cp:lastPrinted>
  <dcterms:created xsi:type="dcterms:W3CDTF">2005-01-26T04:21:05Z</dcterms:created>
  <dcterms:modified xsi:type="dcterms:W3CDTF">2019-12-19T09:39:18Z</dcterms:modified>
  <cp:category/>
  <cp:version/>
  <cp:contentType/>
  <cp:contentStatus/>
</cp:coreProperties>
</file>