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630" activeTab="0"/>
  </bookViews>
  <sheets>
    <sheet name="Type2010" sheetId="1" r:id="rId1"/>
    <sheet name="sector2010แยกกต-สพร " sheetId="2" r:id="rId2"/>
    <sheet name="Sheet2" sheetId="3" r:id="rId3"/>
    <sheet name="Sheet1" sheetId="4" r:id="rId4"/>
  </sheets>
  <definedNames>
    <definedName name="_xlnm.Print_Area" localSheetId="0">'Type2010'!$A$1:$F$31</definedName>
    <definedName name="_xlnm.Print_Titles" localSheetId="1">'sector2010แยกกต-สพร '!$1:$5</definedName>
  </definedNames>
  <calcPr fullCalcOnLoad="1"/>
</workbook>
</file>

<file path=xl/sharedStrings.xml><?xml version="1.0" encoding="utf-8"?>
<sst xmlns="http://schemas.openxmlformats.org/spreadsheetml/2006/main" count="201" uniqueCount="116">
  <si>
    <t>Ministries</t>
  </si>
  <si>
    <t>Grant/Technical Cooperation</t>
  </si>
  <si>
    <t>Contributions to International Org.</t>
  </si>
  <si>
    <t>Loans</t>
  </si>
  <si>
    <t>Total (Thai Baht)</t>
  </si>
  <si>
    <t>Ministry of Transport</t>
  </si>
  <si>
    <t xml:space="preserve">NEDA </t>
  </si>
  <si>
    <t>Ministry of Education</t>
  </si>
  <si>
    <t>Commission on Higher Education</t>
  </si>
  <si>
    <t>Ministry of Science and Technology</t>
  </si>
  <si>
    <t>Ministry of Industry</t>
  </si>
  <si>
    <t>Ministry of Energy</t>
  </si>
  <si>
    <t>Ministry of Information and Communication Technology</t>
  </si>
  <si>
    <t>Ministry of Natural Resources and Environment</t>
  </si>
  <si>
    <t>Ministry of Justice</t>
  </si>
  <si>
    <t>Ministry of Agriculture and Cooperatives</t>
  </si>
  <si>
    <t>Ministry of Tourism and Sports</t>
  </si>
  <si>
    <t>Ministry of Defence</t>
  </si>
  <si>
    <t>Bank of Thailand</t>
  </si>
  <si>
    <t>Ministry of Social Development and Human Security</t>
  </si>
  <si>
    <t>Ministry of Commerce</t>
  </si>
  <si>
    <t>Office of the Prime Minister</t>
  </si>
  <si>
    <t>Ministry of Labour</t>
  </si>
  <si>
    <t>Ministry of Foreign Affairs (excl. TICA)</t>
  </si>
  <si>
    <t>Ministry of Public Health</t>
  </si>
  <si>
    <t>Ministry of Interior</t>
  </si>
  <si>
    <t>Ministry of Culture</t>
  </si>
  <si>
    <t xml:space="preserve">    - TICA</t>
  </si>
  <si>
    <t>n/a</t>
  </si>
  <si>
    <t>Ministry of Finance</t>
  </si>
  <si>
    <t xml:space="preserve">Total </t>
  </si>
  <si>
    <t xml:space="preserve">Thailand Official Development Assistance </t>
  </si>
  <si>
    <t>Ministry/ Sector</t>
  </si>
  <si>
    <t>Recipient</t>
  </si>
  <si>
    <t>Value (Bath)</t>
  </si>
  <si>
    <t>Type of Cooperation</t>
  </si>
  <si>
    <t>Cambodia</t>
  </si>
  <si>
    <t>Lao PDR</t>
  </si>
  <si>
    <t>Myanmar</t>
  </si>
  <si>
    <t xml:space="preserve"> Vietnam</t>
  </si>
  <si>
    <t>China</t>
  </si>
  <si>
    <t>others</t>
  </si>
  <si>
    <t>Neighbouring Countries Economic Development Cooperation Agency (Public Organization)</t>
  </si>
  <si>
    <t>- Other Social Infrastructure and Services</t>
  </si>
  <si>
    <t>concessionary loan/Grant</t>
  </si>
  <si>
    <t>- Education</t>
  </si>
  <si>
    <t>training, contribution</t>
  </si>
  <si>
    <t>contribution</t>
  </si>
  <si>
    <t xml:space="preserve">Commission on Higher Education </t>
  </si>
  <si>
    <t>fellowship,research, training</t>
  </si>
  <si>
    <t>- Agriculture</t>
  </si>
  <si>
    <t>- Health</t>
  </si>
  <si>
    <t>fellowship, training</t>
  </si>
  <si>
    <t>- Tourism</t>
  </si>
  <si>
    <t>- Energy Generation and Supply</t>
  </si>
  <si>
    <t>fellowship</t>
  </si>
  <si>
    <t>training (GMS)</t>
  </si>
  <si>
    <t>projects &amp; training, equipment</t>
  </si>
  <si>
    <t>- Economic Infrastructure and Services</t>
  </si>
  <si>
    <t>training</t>
  </si>
  <si>
    <t>- Communication</t>
  </si>
  <si>
    <t>- Government and Civil Society, General</t>
  </si>
  <si>
    <t>study visit, training, contribution</t>
  </si>
  <si>
    <t>Ministry of Tourism &amp; Sports</t>
  </si>
  <si>
    <t>Fllowship,Equipment</t>
  </si>
  <si>
    <t xml:space="preserve">Ministry of Agriculture &amp; Cooperation </t>
  </si>
  <si>
    <t>experts, training, Equipment programme under ACMECS</t>
  </si>
  <si>
    <t>- Science and Technology</t>
  </si>
  <si>
    <t xml:space="preserve">training, study visit, experts, </t>
  </si>
  <si>
    <t>researcher</t>
  </si>
  <si>
    <t>Ministry of Natural Resources &amp; Environment</t>
  </si>
  <si>
    <t>- Mining</t>
  </si>
  <si>
    <t>- Banking and Financial Services</t>
  </si>
  <si>
    <t xml:space="preserve">training, study visit, experts </t>
  </si>
  <si>
    <t>Ministry of Social Development &amp; Human Security</t>
  </si>
  <si>
    <t>- Business and Other Services</t>
  </si>
  <si>
    <t>training, study visit, fellowship</t>
  </si>
  <si>
    <t>- Culture</t>
  </si>
  <si>
    <t xml:space="preserve">  Department of Information</t>
  </si>
  <si>
    <t xml:space="preserve">- Culture   </t>
  </si>
  <si>
    <t xml:space="preserve">  Department of International Economic Affairs </t>
  </si>
  <si>
    <t xml:space="preserve">- Industry   </t>
  </si>
  <si>
    <t>- Humanitarian Aid</t>
  </si>
  <si>
    <t xml:space="preserve">- Health   </t>
  </si>
  <si>
    <t xml:space="preserve">- Education </t>
  </si>
  <si>
    <t xml:space="preserve">  TICA*</t>
  </si>
  <si>
    <t xml:space="preserve">- Multisector/Cross-Cutting </t>
  </si>
  <si>
    <t>contributions to International Org.</t>
  </si>
  <si>
    <t>Total</t>
  </si>
  <si>
    <r>
      <t>-</t>
    </r>
    <r>
      <rPr>
        <sz val="16"/>
        <rFont val="Cordia New"/>
        <family val="2"/>
      </rPr>
      <t xml:space="preserve"> Multisector/Cross-Cutting</t>
    </r>
  </si>
  <si>
    <t xml:space="preserve">  Department of International Organization </t>
  </si>
  <si>
    <t>training, Equipment</t>
  </si>
  <si>
    <t>contribution,treatment</t>
  </si>
  <si>
    <t>Thailand Official Development Assistance in January - December 2010</t>
  </si>
  <si>
    <t xml:space="preserve"> January - December 2010</t>
  </si>
  <si>
    <t>- Economic</t>
  </si>
  <si>
    <t>- Energy</t>
  </si>
  <si>
    <t>- Industry</t>
  </si>
  <si>
    <t>- Information Technology</t>
  </si>
  <si>
    <t>- Infrastructure &amp; Public Utilities</t>
  </si>
  <si>
    <t>- Justice</t>
  </si>
  <si>
    <t>- Labour &amp; Employment</t>
  </si>
  <si>
    <t>- Natural Resources and Environment</t>
  </si>
  <si>
    <t>- Public Administration</t>
  </si>
  <si>
    <t>- Public Health</t>
  </si>
  <si>
    <t>- Science &amp; Technology</t>
  </si>
  <si>
    <t>- Social Development Welfare</t>
  </si>
  <si>
    <t>- Trade,Services &amp; Investment</t>
  </si>
  <si>
    <t>- Transport</t>
  </si>
  <si>
    <t xml:space="preserve">projects, equipment </t>
  </si>
  <si>
    <t>"</t>
  </si>
  <si>
    <t xml:space="preserve"> Ministry of Finance</t>
  </si>
  <si>
    <t xml:space="preserve">  Department of South Asian,Middle East and African Affairs</t>
  </si>
  <si>
    <t xml:space="preserve">  Department East Asian Affairs</t>
  </si>
  <si>
    <r>
      <t xml:space="preserve"> Exim Bank **</t>
    </r>
    <r>
      <rPr>
        <sz val="10"/>
        <rFont val="Arial"/>
        <family val="2"/>
      </rPr>
      <t xml:space="preserve">  การคืนเงินกู้ (โครงการให้กู้เงินในการซื้อเครื่องจักรและพัฒนาประเทศแก่รัฐบาลเมียนมาร์ ปี 2547 จำนวน 4,000 ล้านบาท ยอดเบิกถอน 3,946 ล้านบาท)</t>
    </r>
  </si>
  <si>
    <t>%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</si>
</sst>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\t&quot;£&quot;#,##0_);\(\t&quot;£&quot;#,##0\)"/>
    <numFmt numFmtId="200" formatCode="\t&quot;£&quot;#,##0_);[Red]\(\t&quot;£&quot;#,##0\)"/>
    <numFmt numFmtId="201" formatCode="\t&quot;£&quot;#,##0.00_);\(\t&quot;£&quot;#,##0.00\)"/>
    <numFmt numFmtId="202" formatCode="\t&quot;£&quot;#,##0.00_);[Red]\(\t&quot;£&quot;#,##0.00\)"/>
    <numFmt numFmtId="203" formatCode="&quot;฿&quot;#,##0;\-&quot;฿&quot;#,##0"/>
    <numFmt numFmtId="204" formatCode="&quot;฿&quot;#,##0;[Red]\-&quot;฿&quot;#,##0"/>
    <numFmt numFmtId="205" formatCode="&quot;฿&quot;#,##0.00;\-&quot;฿&quot;#,##0.00"/>
    <numFmt numFmtId="206" formatCode="&quot;฿&quot;#,##0.00;[Red]\-&quot;฿&quot;#,##0.00"/>
    <numFmt numFmtId="207" formatCode="_-&quot;฿&quot;* #,##0_-;\-&quot;฿&quot;* #,##0_-;_-&quot;฿&quot;* &quot;-&quot;_-;_-@_-"/>
    <numFmt numFmtId="208" formatCode="_-&quot;฿&quot;* #,##0.00_-;\-&quot;฿&quot;* #,##0.00_-;_-&quot;฿&quot;* &quot;-&quot;??_-;_-@_-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-* #,##0.0_-;\-* #,##0.0_-;_-* &quot;-&quot;??_-;_-@_-"/>
    <numFmt numFmtId="214" formatCode="_-* #,##0_-;\-* #,##0_-;_-* &quot;-&quot;??_-;_-@_-"/>
    <numFmt numFmtId="215" formatCode="0.0"/>
    <numFmt numFmtId="216" formatCode="0.0000"/>
    <numFmt numFmtId="217" formatCode="0.000"/>
    <numFmt numFmtId="218" formatCode="_-* #,##0.000_-;\-* #,##0.000_-;_-* &quot;-&quot;??_-;_-@_-"/>
    <numFmt numFmtId="219" formatCode="_-* #,##0.0000_-;\-* #,##0.0000_-;_-* &quot;-&quot;??_-;_-@_-"/>
    <numFmt numFmtId="220" formatCode="0.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"/>
    <numFmt numFmtId="226" formatCode="_(* #,##0.0_);_(* \(#,##0.0\);_(* &quot;-&quot;??_);_(@_)"/>
    <numFmt numFmtId="227" formatCode="_(* #,##0_);_(* \(#,##0\);_(* &quot;-&quot;??_);_(@_)"/>
    <numFmt numFmtId="228" formatCode="_-* #,##0.00000_-;\-* #,##0.00000_-;_-* &quot;-&quot;??_-;_-@_-"/>
    <numFmt numFmtId="229" formatCode="_-* #,##0.000000_-;\-* #,##0.000000_-;_-* &quot;-&quot;??_-;_-@_-"/>
    <numFmt numFmtId="230" formatCode="[$-409]dddd\,\ mmmm\ dd\,\ yyyy"/>
    <numFmt numFmtId="231" formatCode="[$-409]d\-mmm\-yy;@"/>
    <numFmt numFmtId="232" formatCode="mmm\-yyyy"/>
    <numFmt numFmtId="233" formatCode="[$-409]dd\-mmm\-yy;@"/>
    <numFmt numFmtId="234" formatCode="[$-409]d\-mmm\-yyyy;@"/>
    <numFmt numFmtId="235" formatCode="0.0000000"/>
    <numFmt numFmtId="236" formatCode="0.000000"/>
  </numFmts>
  <fonts count="29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6"/>
      <color indexed="10"/>
      <name val="Cordia New"/>
      <family val="2"/>
    </font>
    <font>
      <b/>
      <u val="single"/>
      <sz val="12"/>
      <name val="Arial"/>
      <family val="2"/>
    </font>
    <font>
      <sz val="16"/>
      <color indexed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>
      <alignment/>
      <protection/>
    </xf>
  </cellStyleXfs>
  <cellXfs count="122">
    <xf numFmtId="0" fontId="0" fillId="0" borderId="0" xfId="0" applyAlignment="1">
      <alignment/>
    </xf>
    <xf numFmtId="43" fontId="19" fillId="0" borderId="0" xfId="44" applyFont="1" applyAlignment="1">
      <alignment vertical="center" wrapText="1"/>
    </xf>
    <xf numFmtId="0" fontId="19" fillId="0" borderId="0" xfId="59">
      <alignment/>
      <protection/>
    </xf>
    <xf numFmtId="43" fontId="25" fillId="0" borderId="0" xfId="44" applyFont="1" applyBorder="1" applyAlignment="1">
      <alignment vertical="center" wrapText="1"/>
    </xf>
    <xf numFmtId="0" fontId="19" fillId="0" borderId="0" xfId="59" applyFont="1" applyFill="1" applyBorder="1">
      <alignment/>
      <protection/>
    </xf>
    <xf numFmtId="0" fontId="19" fillId="0" borderId="0" xfId="59" applyFont="1" applyFill="1" applyBorder="1">
      <alignment/>
      <protection/>
    </xf>
    <xf numFmtId="43" fontId="25" fillId="0" borderId="0" xfId="44" applyFont="1" applyAlignment="1">
      <alignment horizontal="center" vertical="center" wrapText="1"/>
    </xf>
    <xf numFmtId="43" fontId="25" fillId="0" borderId="0" xfId="44" applyFont="1" applyAlignment="1">
      <alignment horizontal="right" vertical="center" wrapText="1"/>
    </xf>
    <xf numFmtId="43" fontId="25" fillId="0" borderId="10" xfId="44" applyFont="1" applyBorder="1" applyAlignment="1">
      <alignment vertical="center" wrapText="1"/>
    </xf>
    <xf numFmtId="43" fontId="25" fillId="0" borderId="11" xfId="44" applyFont="1" applyBorder="1" applyAlignment="1">
      <alignment horizontal="center" vertical="center" wrapText="1"/>
    </xf>
    <xf numFmtId="43" fontId="25" fillId="0" borderId="10" xfId="44" applyFont="1" applyBorder="1" applyAlignment="1">
      <alignment horizontal="center" vertical="center" wrapText="1"/>
    </xf>
    <xf numFmtId="43" fontId="25" fillId="0" borderId="12" xfId="44" applyFont="1" applyFill="1" applyBorder="1" applyAlignment="1">
      <alignment vertical="center" wrapText="1"/>
    </xf>
    <xf numFmtId="43" fontId="25" fillId="0" borderId="13" xfId="44" applyFont="1" applyFill="1" applyBorder="1" applyAlignment="1">
      <alignment horizontal="center" vertical="center" wrapText="1"/>
    </xf>
    <xf numFmtId="43" fontId="25" fillId="0" borderId="14" xfId="44" applyFont="1" applyFill="1" applyBorder="1" applyAlignment="1">
      <alignment vertical="center" wrapText="1"/>
    </xf>
    <xf numFmtId="43" fontId="25" fillId="0" borderId="14" xfId="44" applyFont="1" applyBorder="1" applyAlignment="1">
      <alignment vertical="center" wrapText="1"/>
    </xf>
    <xf numFmtId="43" fontId="25" fillId="0" borderId="14" xfId="44" applyFont="1" applyBorder="1" applyAlignment="1">
      <alignment horizontal="right" vertical="center" wrapText="1"/>
    </xf>
    <xf numFmtId="43" fontId="25" fillId="0" borderId="12" xfId="44" applyFont="1" applyBorder="1" applyAlignment="1">
      <alignment horizontal="left" vertical="center" wrapText="1"/>
    </xf>
    <xf numFmtId="234" fontId="19" fillId="0" borderId="0" xfId="44" applyNumberFormat="1" applyFont="1" applyAlignment="1">
      <alignment horizontal="center" vertical="center" wrapText="1"/>
    </xf>
    <xf numFmtId="0" fontId="19" fillId="0" borderId="0" xfId="60">
      <alignment/>
      <protection/>
    </xf>
    <xf numFmtId="0" fontId="2" fillId="0" borderId="15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6" xfId="60" applyFont="1" applyBorder="1" applyAlignment="1">
      <alignment horizontal="center"/>
      <protection/>
    </xf>
    <xf numFmtId="198" fontId="25" fillId="0" borderId="10" xfId="42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/>
      <protection/>
    </xf>
    <xf numFmtId="43" fontId="1" fillId="0" borderId="12" xfId="45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60" applyFont="1" applyFill="1" applyBorder="1" quotePrefix="1">
      <alignment/>
      <protection/>
    </xf>
    <xf numFmtId="0" fontId="2" fillId="0" borderId="12" xfId="0" applyFont="1" applyFill="1" applyBorder="1" applyAlignment="1">
      <alignment vertical="center" wrapText="1"/>
    </xf>
    <xf numFmtId="198" fontId="1" fillId="0" borderId="12" xfId="42" applyFont="1" applyFill="1" applyBorder="1" applyAlignment="1">
      <alignment/>
    </xf>
    <xf numFmtId="0" fontId="1" fillId="0" borderId="12" xfId="60" applyFont="1" applyFill="1" applyBorder="1">
      <alignment/>
      <protection/>
    </xf>
    <xf numFmtId="0" fontId="1" fillId="0" borderId="12" xfId="0" applyFont="1" applyFill="1" applyBorder="1" applyAlignment="1" quotePrefix="1">
      <alignment vertical="center" wrapText="1"/>
    </xf>
    <xf numFmtId="2" fontId="1" fillId="0" borderId="12" xfId="60" applyNumberFormat="1" applyFont="1" applyFill="1" applyBorder="1">
      <alignment/>
      <protection/>
    </xf>
    <xf numFmtId="0" fontId="1" fillId="0" borderId="12" xfId="60" applyFont="1" applyFill="1" applyBorder="1" quotePrefix="1">
      <alignment/>
      <protection/>
    </xf>
    <xf numFmtId="0" fontId="19" fillId="0" borderId="17" xfId="60" applyBorder="1">
      <alignment/>
      <protection/>
    </xf>
    <xf numFmtId="0" fontId="2" fillId="0" borderId="12" xfId="60" applyFont="1" applyFill="1" applyBorder="1">
      <alignment/>
      <protection/>
    </xf>
    <xf numFmtId="0" fontId="2" fillId="0" borderId="14" xfId="60" applyFont="1" applyFill="1" applyBorder="1">
      <alignment/>
      <protection/>
    </xf>
    <xf numFmtId="0" fontId="1" fillId="0" borderId="0" xfId="60" applyFont="1">
      <alignment/>
      <protection/>
    </xf>
    <xf numFmtId="43" fontId="2" fillId="0" borderId="14" xfId="44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198" fontId="1" fillId="0" borderId="12" xfId="60" applyNumberFormat="1" applyFont="1" applyFill="1" applyBorder="1">
      <alignment/>
      <protection/>
    </xf>
    <xf numFmtId="198" fontId="2" fillId="0" borderId="12" xfId="60" applyNumberFormat="1" applyFont="1" applyFill="1" applyBorder="1">
      <alignment/>
      <protection/>
    </xf>
    <xf numFmtId="43" fontId="2" fillId="0" borderId="12" xfId="60" applyNumberFormat="1" applyFont="1" applyFill="1" applyBorder="1">
      <alignment/>
      <protection/>
    </xf>
    <xf numFmtId="43" fontId="1" fillId="0" borderId="12" xfId="60" applyNumberFormat="1" applyFont="1" applyFill="1" applyBorder="1">
      <alignment/>
      <protection/>
    </xf>
    <xf numFmtId="198" fontId="1" fillId="0" borderId="0" xfId="0" applyNumberFormat="1" applyFont="1" applyFill="1" applyAlignment="1">
      <alignment/>
    </xf>
    <xf numFmtId="198" fontId="1" fillId="0" borderId="12" xfId="0" applyNumberFormat="1" applyFont="1" applyFill="1" applyBorder="1" applyAlignment="1">
      <alignment/>
    </xf>
    <xf numFmtId="0" fontId="1" fillId="0" borderId="13" xfId="60" applyFont="1" applyFill="1" applyBorder="1" quotePrefix="1">
      <alignment/>
      <protection/>
    </xf>
    <xf numFmtId="198" fontId="1" fillId="0" borderId="13" xfId="42" applyFont="1" applyFill="1" applyBorder="1" applyAlignment="1">
      <alignment/>
    </xf>
    <xf numFmtId="0" fontId="1" fillId="0" borderId="13" xfId="60" applyFont="1" applyFill="1" applyBorder="1">
      <alignment/>
      <protection/>
    </xf>
    <xf numFmtId="43" fontId="1" fillId="0" borderId="13" xfId="45" applyFont="1" applyFill="1" applyBorder="1" applyAlignment="1">
      <alignment/>
    </xf>
    <xf numFmtId="198" fontId="1" fillId="0" borderId="12" xfId="42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1" fillId="0" borderId="12" xfId="0" applyFont="1" applyFill="1" applyBorder="1" applyAlignment="1" quotePrefix="1">
      <alignment vertical="center"/>
    </xf>
    <xf numFmtId="43" fontId="2" fillId="0" borderId="12" xfId="45" applyFont="1" applyFill="1" applyBorder="1" applyAlignment="1">
      <alignment/>
    </xf>
    <xf numFmtId="0" fontId="2" fillId="0" borderId="18" xfId="60" applyFont="1" applyFill="1" applyBorder="1">
      <alignment/>
      <protection/>
    </xf>
    <xf numFmtId="43" fontId="19" fillId="0" borderId="0" xfId="60" applyNumberFormat="1">
      <alignment/>
      <protection/>
    </xf>
    <xf numFmtId="198" fontId="19" fillId="0" borderId="0" xfId="42" applyFont="1" applyAlignment="1">
      <alignment/>
    </xf>
    <xf numFmtId="198" fontId="19" fillId="0" borderId="0" xfId="60" applyNumberFormat="1">
      <alignment/>
      <protection/>
    </xf>
    <xf numFmtId="43" fontId="25" fillId="0" borderId="12" xfId="44" applyFont="1" applyFill="1" applyBorder="1" applyAlignment="1">
      <alignment wrapText="1"/>
    </xf>
    <xf numFmtId="43" fontId="25" fillId="0" borderId="13" xfId="44" applyFont="1" applyFill="1" applyBorder="1" applyAlignment="1">
      <alignment wrapText="1"/>
    </xf>
    <xf numFmtId="43" fontId="25" fillId="0" borderId="0" xfId="44" applyFont="1" applyBorder="1" applyAlignment="1">
      <alignment horizontal="center" vertical="center" wrapText="1"/>
    </xf>
    <xf numFmtId="43" fontId="25" fillId="0" borderId="10" xfId="44" applyFont="1" applyBorder="1" applyAlignment="1">
      <alignment horizontal="left" vertical="center" wrapText="1"/>
    </xf>
    <xf numFmtId="198" fontId="26" fillId="0" borderId="12" xfId="42" applyFont="1" applyFill="1" applyBorder="1" applyAlignment="1">
      <alignment/>
    </xf>
    <xf numFmtId="43" fontId="1" fillId="0" borderId="12" xfId="44" applyFont="1" applyFill="1" applyBorder="1" applyAlignment="1">
      <alignment horizontal="left" vertical="center"/>
    </xf>
    <xf numFmtId="0" fontId="1" fillId="0" borderId="12" xfId="60" applyFont="1" applyFill="1" applyBorder="1" applyAlignment="1">
      <alignment vertical="top" wrapText="1"/>
      <protection/>
    </xf>
    <xf numFmtId="0" fontId="1" fillId="0" borderId="18" xfId="60" applyFont="1" applyFill="1" applyBorder="1" applyAlignment="1">
      <alignment horizontal="left"/>
      <protection/>
    </xf>
    <xf numFmtId="198" fontId="28" fillId="0" borderId="13" xfId="42" applyFont="1" applyFill="1" applyBorder="1" applyAlignment="1">
      <alignment/>
    </xf>
    <xf numFmtId="0" fontId="1" fillId="0" borderId="12" xfId="60" applyFont="1" applyFill="1" applyBorder="1" applyAlignment="1">
      <alignment horizontal="left"/>
      <protection/>
    </xf>
    <xf numFmtId="0" fontId="1" fillId="0" borderId="13" xfId="60" applyFont="1" applyFill="1" applyBorder="1" applyAlignment="1" quotePrefix="1">
      <alignment horizontal="left" vertical="center"/>
      <protection/>
    </xf>
    <xf numFmtId="0" fontId="2" fillId="0" borderId="19" xfId="60" applyFont="1" applyFill="1" applyBorder="1" applyAlignment="1">
      <alignment horizontal="center"/>
      <protection/>
    </xf>
    <xf numFmtId="198" fontId="2" fillId="0" borderId="20" xfId="60" applyNumberFormat="1" applyFont="1" applyFill="1" applyBorder="1" applyAlignment="1">
      <alignment horizontal="center"/>
      <protection/>
    </xf>
    <xf numFmtId="0" fontId="2" fillId="0" borderId="19" xfId="60" applyFont="1" applyFill="1" applyBorder="1">
      <alignment/>
      <protection/>
    </xf>
    <xf numFmtId="198" fontId="1" fillId="0" borderId="13" xfId="60" applyNumberFormat="1" applyFont="1" applyFill="1" applyBorder="1">
      <alignment/>
      <protection/>
    </xf>
    <xf numFmtId="0" fontId="1" fillId="0" borderId="14" xfId="60" applyFont="1" applyFill="1" applyBorder="1">
      <alignment/>
      <protection/>
    </xf>
    <xf numFmtId="2" fontId="19" fillId="0" borderId="0" xfId="60" applyNumberFormat="1">
      <alignment/>
      <protection/>
    </xf>
    <xf numFmtId="198" fontId="1" fillId="0" borderId="18" xfId="0" applyNumberFormat="1" applyFont="1" applyFill="1" applyBorder="1" applyAlignment="1">
      <alignment vertical="top"/>
    </xf>
    <xf numFmtId="198" fontId="28" fillId="0" borderId="12" xfId="42" applyFont="1" applyFill="1" applyBorder="1" applyAlignment="1">
      <alignment/>
    </xf>
    <xf numFmtId="0" fontId="28" fillId="0" borderId="12" xfId="60" applyFont="1" applyFill="1" applyBorder="1">
      <alignment/>
      <protection/>
    </xf>
    <xf numFmtId="0" fontId="1" fillId="0" borderId="12" xfId="60" applyFont="1" applyFill="1" applyBorder="1" applyAlignment="1">
      <alignment horizontal="center"/>
      <protection/>
    </xf>
    <xf numFmtId="0" fontId="1" fillId="0" borderId="14" xfId="60" applyFont="1" applyFill="1" applyBorder="1" quotePrefix="1">
      <alignment/>
      <protection/>
    </xf>
    <xf numFmtId="43" fontId="2" fillId="0" borderId="12" xfId="44" applyFont="1" applyBorder="1" applyAlignment="1">
      <alignment horizontal="left" vertical="center" wrapText="1"/>
    </xf>
    <xf numFmtId="0" fontId="1" fillId="0" borderId="12" xfId="60" applyFont="1" applyFill="1" applyBorder="1" applyAlignment="1" quotePrefix="1">
      <alignment vertical="center"/>
      <protection/>
    </xf>
    <xf numFmtId="43" fontId="25" fillId="0" borderId="18" xfId="44" applyFont="1" applyBorder="1" applyAlignment="1">
      <alignment vertical="center" wrapText="1"/>
    </xf>
    <xf numFmtId="43" fontId="25" fillId="0" borderId="18" xfId="44" applyFont="1" applyBorder="1" applyAlignment="1">
      <alignment wrapText="1"/>
    </xf>
    <xf numFmtId="43" fontId="25" fillId="0" borderId="14" xfId="44" applyFont="1" applyBorder="1" applyAlignment="1">
      <alignment wrapText="1"/>
    </xf>
    <xf numFmtId="43" fontId="25" fillId="0" borderId="12" xfId="44" applyFont="1" applyBorder="1" applyAlignment="1">
      <alignment vertical="center" wrapText="1"/>
    </xf>
    <xf numFmtId="43" fontId="25" fillId="0" borderId="12" xfId="44" applyFont="1" applyBorder="1" applyAlignment="1">
      <alignment wrapText="1"/>
    </xf>
    <xf numFmtId="43" fontId="25" fillId="0" borderId="18" xfId="44" applyFont="1" applyFill="1" applyBorder="1" applyAlignment="1">
      <alignment wrapText="1"/>
    </xf>
    <xf numFmtId="43" fontId="25" fillId="0" borderId="13" xfId="44" applyFont="1" applyBorder="1" applyAlignment="1">
      <alignment horizontal="left" vertical="center" wrapText="1"/>
    </xf>
    <xf numFmtId="198" fontId="25" fillId="0" borderId="13" xfId="59" applyNumberFormat="1" applyFont="1" applyBorder="1" applyAlignment="1">
      <alignment/>
      <protection/>
    </xf>
    <xf numFmtId="43" fontId="25" fillId="0" borderId="13" xfId="44" applyFont="1" applyFill="1" applyBorder="1" applyAlignment="1">
      <alignment/>
    </xf>
    <xf numFmtId="43" fontId="25" fillId="0" borderId="12" xfId="44" applyFont="1" applyBorder="1" applyAlignment="1">
      <alignment/>
    </xf>
    <xf numFmtId="198" fontId="25" fillId="0" borderId="21" xfId="59" applyNumberFormat="1" applyFont="1" applyBorder="1" applyAlignment="1">
      <alignment wrapText="1"/>
      <protection/>
    </xf>
    <xf numFmtId="43" fontId="25" fillId="0" borderId="22" xfId="44" applyFont="1" applyFill="1" applyBorder="1" applyAlignment="1">
      <alignment wrapText="1"/>
    </xf>
    <xf numFmtId="198" fontId="25" fillId="0" borderId="0" xfId="0" applyNumberFormat="1" applyFont="1" applyAlignment="1">
      <alignment/>
    </xf>
    <xf numFmtId="43" fontId="25" fillId="0" borderId="13" xfId="44" applyFont="1" applyBorder="1" applyAlignment="1">
      <alignment wrapText="1"/>
    </xf>
    <xf numFmtId="198" fontId="25" fillId="0" borderId="12" xfId="44" applyNumberFormat="1" applyFont="1" applyBorder="1" applyAlignment="1">
      <alignment/>
    </xf>
    <xf numFmtId="198" fontId="25" fillId="0" borderId="13" xfId="44" applyNumberFormat="1" applyFont="1" applyBorder="1" applyAlignment="1">
      <alignment/>
    </xf>
    <xf numFmtId="43" fontId="25" fillId="0" borderId="10" xfId="44" applyFont="1" applyFill="1" applyBorder="1" applyAlignment="1">
      <alignment horizontal="center" vertical="center" wrapText="1"/>
    </xf>
    <xf numFmtId="43" fontId="25" fillId="0" borderId="13" xfId="44" applyFont="1" applyBorder="1" applyAlignment="1">
      <alignment vertical="center" wrapText="1"/>
    </xf>
    <xf numFmtId="43" fontId="25" fillId="0" borderId="22" xfId="44" applyFont="1" applyBorder="1" applyAlignment="1">
      <alignment/>
    </xf>
    <xf numFmtId="43" fontId="25" fillId="0" borderId="23" xfId="44" applyFont="1" applyFill="1" applyBorder="1" applyAlignment="1">
      <alignment wrapText="1"/>
    </xf>
    <xf numFmtId="198" fontId="25" fillId="0" borderId="21" xfId="59" applyNumberFormat="1" applyFont="1" applyBorder="1" applyAlignment="1">
      <alignment/>
      <protection/>
    </xf>
    <xf numFmtId="43" fontId="25" fillId="0" borderId="12" xfId="44" applyFont="1" applyFill="1" applyBorder="1" applyAlignment="1">
      <alignment horizontal="center" vertical="center" wrapText="1"/>
    </xf>
    <xf numFmtId="43" fontId="25" fillId="0" borderId="14" xfId="44" applyFont="1" applyFill="1" applyBorder="1" applyAlignment="1">
      <alignment wrapText="1"/>
    </xf>
    <xf numFmtId="2" fontId="19" fillId="0" borderId="12" xfId="59" applyNumberFormat="1" applyBorder="1">
      <alignment/>
      <protection/>
    </xf>
    <xf numFmtId="2" fontId="19" fillId="0" borderId="24" xfId="59" applyNumberFormat="1" applyBorder="1">
      <alignment/>
      <protection/>
    </xf>
    <xf numFmtId="0" fontId="19" fillId="0" borderId="10" xfId="59" applyFont="1" applyBorder="1" applyAlignment="1">
      <alignment horizontal="center" vertical="center"/>
      <protection/>
    </xf>
    <xf numFmtId="2" fontId="25" fillId="0" borderId="14" xfId="59" applyNumberFormat="1" applyFont="1" applyBorder="1">
      <alignment/>
      <protection/>
    </xf>
    <xf numFmtId="2" fontId="25" fillId="0" borderId="12" xfId="59" applyNumberFormat="1" applyFont="1" applyBorder="1">
      <alignment/>
      <protection/>
    </xf>
    <xf numFmtId="43" fontId="27" fillId="0" borderId="0" xfId="44" applyFont="1" applyAlignment="1">
      <alignment horizontal="center" vertical="center" wrapText="1"/>
    </xf>
    <xf numFmtId="0" fontId="2" fillId="0" borderId="13" xfId="60" applyFont="1" applyFill="1" applyBorder="1" applyAlignment="1" quotePrefix="1">
      <alignment horizontal="left" vertical="center"/>
      <protection/>
    </xf>
    <xf numFmtId="0" fontId="2" fillId="0" borderId="14" xfId="60" applyFont="1" applyFill="1" applyBorder="1" applyAlignment="1" quotePrefix="1">
      <alignment horizontal="left" vertical="center"/>
      <protection/>
    </xf>
    <xf numFmtId="0" fontId="2" fillId="0" borderId="0" xfId="60" applyFont="1" applyAlignment="1">
      <alignment horizontal="center"/>
      <protection/>
    </xf>
    <xf numFmtId="0" fontId="2" fillId="0" borderId="25" xfId="60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2" fillId="0" borderId="11" xfId="60" applyFont="1" applyBorder="1" applyAlignment="1">
      <alignment horizontal="center"/>
      <protection/>
    </xf>
    <xf numFmtId="0" fontId="2" fillId="0" borderId="27" xfId="60" applyFont="1" applyBorder="1" applyAlignment="1">
      <alignment horizontal="center"/>
      <protection/>
    </xf>
    <xf numFmtId="0" fontId="2" fillId="0" borderId="16" xfId="60" applyFont="1" applyBorder="1" applyAlignment="1">
      <alignment horizontal="center"/>
      <protection/>
    </xf>
    <xf numFmtId="43" fontId="2" fillId="0" borderId="25" xfId="45" applyFont="1" applyBorder="1" applyAlignment="1">
      <alignment horizontal="center"/>
    </xf>
    <xf numFmtId="0" fontId="2" fillId="0" borderId="0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rant-contributions09" xfId="44"/>
    <cellStyle name="Comma_sector-valluelao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grant-contributions09" xfId="59"/>
    <cellStyle name="Normal_sector-valluelao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nnual Report 2003 27Ju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D5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140625" defaultRowHeight="20.25" customHeight="1"/>
  <cols>
    <col min="1" max="1" width="60.00390625" style="1" customWidth="1"/>
    <col min="2" max="2" width="16.7109375" style="1" customWidth="1"/>
    <col min="3" max="3" width="17.421875" style="1" customWidth="1"/>
    <col min="4" max="4" width="15.28125" style="1" customWidth="1"/>
    <col min="5" max="5" width="18.28125" style="1" customWidth="1"/>
    <col min="6" max="6" width="7.7109375" style="1" bestFit="1" customWidth="1"/>
    <col min="7" max="16384" width="9.140625" style="1" customWidth="1"/>
  </cols>
  <sheetData>
    <row r="1" spans="1:5" ht="20.25" customHeight="1">
      <c r="A1" s="111" t="s">
        <v>93</v>
      </c>
      <c r="B1" s="111"/>
      <c r="C1" s="111"/>
      <c r="D1" s="111"/>
      <c r="E1" s="111"/>
    </row>
    <row r="2" spans="1:5" ht="20.25" customHeight="1">
      <c r="A2" s="6"/>
      <c r="B2" s="6"/>
      <c r="C2" s="6"/>
      <c r="D2" s="6"/>
      <c r="E2" s="7"/>
    </row>
    <row r="3" spans="1:30" ht="41.25" customHeight="1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08" t="s">
        <v>115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4.75" customHeight="1">
      <c r="A4" s="83" t="s">
        <v>6</v>
      </c>
      <c r="B4" s="84">
        <v>16001618.18</v>
      </c>
      <c r="C4" s="84"/>
      <c r="D4" s="60">
        <v>504047554.90000015</v>
      </c>
      <c r="E4" s="85">
        <f aca="true" t="shared" si="0" ref="E4:E25">SUM(B4:D4)</f>
        <v>520049173.08000016</v>
      </c>
      <c r="F4" s="109">
        <f>E4*100/$E$28</f>
        <v>34.959608567539526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4.75" customHeight="1">
      <c r="A5" s="11" t="s">
        <v>27</v>
      </c>
      <c r="B5" s="104">
        <v>374533000</v>
      </c>
      <c r="C5" s="11">
        <v>26071560</v>
      </c>
      <c r="D5" s="12"/>
      <c r="E5" s="13">
        <f t="shared" si="0"/>
        <v>400604560</v>
      </c>
      <c r="F5" s="110">
        <f aca="true" t="shared" si="1" ref="F5:F25">E5*100/$E$28</f>
        <v>26.93010456112578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4.75" customHeight="1">
      <c r="A6" s="11" t="s">
        <v>23</v>
      </c>
      <c r="B6" s="88">
        <v>36737552</v>
      </c>
      <c r="C6" s="105">
        <v>313747029.55999994</v>
      </c>
      <c r="D6" s="60"/>
      <c r="E6" s="85">
        <f t="shared" si="0"/>
        <v>350484581.55999994</v>
      </c>
      <c r="F6" s="110">
        <f t="shared" si="1"/>
        <v>23.560856193132736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4.75" customHeight="1">
      <c r="A7" s="100" t="s">
        <v>8</v>
      </c>
      <c r="B7" s="59">
        <v>35030897.440476194</v>
      </c>
      <c r="C7" s="87">
        <v>12775062.5</v>
      </c>
      <c r="D7" s="60"/>
      <c r="E7" s="85">
        <f t="shared" si="0"/>
        <v>47805959.940476194</v>
      </c>
      <c r="F7" s="110">
        <f t="shared" si="1"/>
        <v>3.2136915761568328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4.75" customHeight="1">
      <c r="A8" s="89" t="s">
        <v>12</v>
      </c>
      <c r="B8" s="60"/>
      <c r="C8" s="96">
        <v>47354203.64999999</v>
      </c>
      <c r="D8" s="60"/>
      <c r="E8" s="84">
        <f t="shared" si="0"/>
        <v>47354203.64999999</v>
      </c>
      <c r="F8" s="110">
        <f t="shared" si="1"/>
        <v>3.1833228650800773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4.75" customHeight="1">
      <c r="A9" s="16" t="s">
        <v>22</v>
      </c>
      <c r="B9" s="102"/>
      <c r="C9" s="98">
        <v>24189702.75</v>
      </c>
      <c r="D9" s="60"/>
      <c r="E9" s="87">
        <f t="shared" si="0"/>
        <v>24189702.75</v>
      </c>
      <c r="F9" s="110">
        <f t="shared" si="1"/>
        <v>1.6261203426143023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24.75" customHeight="1">
      <c r="A10" s="16" t="s">
        <v>10</v>
      </c>
      <c r="B10" s="87">
        <v>101030</v>
      </c>
      <c r="C10" s="60">
        <v>23981275.75</v>
      </c>
      <c r="D10" s="60"/>
      <c r="E10" s="85">
        <f t="shared" si="0"/>
        <v>24082305.75</v>
      </c>
      <c r="F10" s="110">
        <f t="shared" si="1"/>
        <v>1.6189007232481343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24.75" customHeight="1">
      <c r="A11" s="16" t="s">
        <v>29</v>
      </c>
      <c r="B11" s="60">
        <v>409544.12</v>
      </c>
      <c r="C11" s="97">
        <v>17298500</v>
      </c>
      <c r="D11" s="60"/>
      <c r="E11" s="85">
        <f t="shared" si="0"/>
        <v>17708044.12</v>
      </c>
      <c r="F11" s="110">
        <f t="shared" si="1"/>
        <v>1.1903995294627414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4.75" customHeight="1">
      <c r="A12" s="16" t="s">
        <v>5</v>
      </c>
      <c r="B12" s="90">
        <v>422500</v>
      </c>
      <c r="C12" s="91">
        <v>15834277.22</v>
      </c>
      <c r="D12" s="60"/>
      <c r="E12" s="85">
        <f t="shared" si="0"/>
        <v>16256777.22</v>
      </c>
      <c r="F12" s="110">
        <f t="shared" si="1"/>
        <v>1.0928400574410029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4.75" customHeight="1">
      <c r="A13" s="16" t="s">
        <v>20</v>
      </c>
      <c r="B13" s="103">
        <v>13157360.9</v>
      </c>
      <c r="C13" s="60"/>
      <c r="D13" s="60"/>
      <c r="E13" s="85">
        <f t="shared" si="0"/>
        <v>13157360.9</v>
      </c>
      <c r="F13" s="110">
        <f t="shared" si="1"/>
        <v>0.8844859498989927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4.75" customHeight="1">
      <c r="A14" s="92" t="s">
        <v>7</v>
      </c>
      <c r="B14" s="101">
        <v>3699876.35</v>
      </c>
      <c r="C14" s="90">
        <v>2721370</v>
      </c>
      <c r="D14" s="60"/>
      <c r="E14" s="85">
        <f t="shared" si="0"/>
        <v>6421246.35</v>
      </c>
      <c r="F14" s="110">
        <f t="shared" si="1"/>
        <v>0.431659678607371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4.75" customHeight="1">
      <c r="A15" s="16" t="s">
        <v>14</v>
      </c>
      <c r="B15" s="60">
        <v>246434.5</v>
      </c>
      <c r="C15" s="96">
        <v>5282000</v>
      </c>
      <c r="D15" s="60"/>
      <c r="E15" s="85">
        <f t="shared" si="0"/>
        <v>5528434.5</v>
      </c>
      <c r="F15" s="110">
        <f t="shared" si="1"/>
        <v>0.37164159874848934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4.75" customHeight="1">
      <c r="A16" s="86" t="s">
        <v>9</v>
      </c>
      <c r="B16" s="59">
        <v>2932783</v>
      </c>
      <c r="C16" s="60">
        <v>256563.5</v>
      </c>
      <c r="D16" s="60"/>
      <c r="E16" s="85">
        <f t="shared" si="0"/>
        <v>3189346.5</v>
      </c>
      <c r="F16" s="110">
        <f t="shared" si="1"/>
        <v>0.21439954334683695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24.75" customHeight="1">
      <c r="A17" s="86" t="s">
        <v>11</v>
      </c>
      <c r="B17" s="95">
        <v>2428123</v>
      </c>
      <c r="C17" s="59">
        <v>105000</v>
      </c>
      <c r="D17" s="60"/>
      <c r="E17" s="85">
        <f t="shared" si="0"/>
        <v>2533123</v>
      </c>
      <c r="F17" s="110">
        <f t="shared" si="1"/>
        <v>0.1702857981851046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24.75" customHeight="1">
      <c r="A18" s="16" t="s">
        <v>26</v>
      </c>
      <c r="B18" s="59">
        <v>1930630</v>
      </c>
      <c r="C18" s="96"/>
      <c r="D18" s="60"/>
      <c r="E18" s="85">
        <f t="shared" si="0"/>
        <v>1930630</v>
      </c>
      <c r="F18" s="110">
        <f t="shared" si="1"/>
        <v>0.12978401386356228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24.75" customHeight="1">
      <c r="A19" s="16" t="s">
        <v>15</v>
      </c>
      <c r="B19" s="93">
        <f>1726107-64600</f>
        <v>1661507</v>
      </c>
      <c r="C19" s="59">
        <v>64600</v>
      </c>
      <c r="D19" s="60"/>
      <c r="E19" s="85">
        <f t="shared" si="0"/>
        <v>1726107</v>
      </c>
      <c r="F19" s="110">
        <f t="shared" si="1"/>
        <v>0.11603522933860548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24.75" customHeight="1">
      <c r="A20" s="16" t="s">
        <v>16</v>
      </c>
      <c r="B20" s="60">
        <v>1418000</v>
      </c>
      <c r="C20" s="59"/>
      <c r="D20" s="60"/>
      <c r="E20" s="85">
        <f t="shared" si="0"/>
        <v>1418000</v>
      </c>
      <c r="F20" s="110">
        <f t="shared" si="1"/>
        <v>0.09532314926139722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4.75" customHeight="1">
      <c r="A21" s="16" t="s">
        <v>18</v>
      </c>
      <c r="B21" s="94">
        <v>1143614.5</v>
      </c>
      <c r="C21" s="59"/>
      <c r="D21" s="60"/>
      <c r="E21" s="85">
        <f t="shared" si="0"/>
        <v>1143614.5</v>
      </c>
      <c r="F21" s="110">
        <f t="shared" si="1"/>
        <v>0.07687795182016795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4.75" customHeight="1">
      <c r="A22" s="86" t="s">
        <v>19</v>
      </c>
      <c r="B22" s="94"/>
      <c r="C22" s="87">
        <v>844216.8</v>
      </c>
      <c r="D22" s="60"/>
      <c r="E22" s="85">
        <f t="shared" si="0"/>
        <v>844216.8</v>
      </c>
      <c r="F22" s="110">
        <f t="shared" si="1"/>
        <v>0.056751342761198253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4.75" customHeight="1">
      <c r="A23" s="16" t="s">
        <v>17</v>
      </c>
      <c r="B23" s="94">
        <v>571641</v>
      </c>
      <c r="C23" s="60"/>
      <c r="D23" s="60"/>
      <c r="E23" s="85">
        <f t="shared" si="0"/>
        <v>571641</v>
      </c>
      <c r="F23" s="110">
        <f t="shared" si="1"/>
        <v>0.0384277999766815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4.75" customHeight="1">
      <c r="A24" s="86" t="s">
        <v>13</v>
      </c>
      <c r="B24" s="59">
        <v>290000</v>
      </c>
      <c r="C24" s="98"/>
      <c r="D24" s="59"/>
      <c r="E24" s="85">
        <f t="shared" si="0"/>
        <v>290000</v>
      </c>
      <c r="F24" s="110">
        <f t="shared" si="1"/>
        <v>0.019494861273487443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24.75" customHeight="1">
      <c r="A25" s="16" t="s">
        <v>21</v>
      </c>
      <c r="B25" s="60">
        <v>250000</v>
      </c>
      <c r="C25" s="87">
        <v>32470</v>
      </c>
      <c r="D25" s="60"/>
      <c r="E25" s="85">
        <f t="shared" si="0"/>
        <v>282470</v>
      </c>
      <c r="F25" s="110">
        <f t="shared" si="1"/>
        <v>0.018988667116972405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24.75" customHeight="1">
      <c r="A26" s="14" t="s">
        <v>24</v>
      </c>
      <c r="B26" s="12"/>
      <c r="C26" s="12"/>
      <c r="D26" s="12"/>
      <c r="E26" s="15" t="s">
        <v>28</v>
      </c>
      <c r="F26" s="10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24.75" customHeight="1">
      <c r="A27" s="16" t="s">
        <v>25</v>
      </c>
      <c r="B27" s="12"/>
      <c r="C27" s="12"/>
      <c r="D27" s="12"/>
      <c r="E27" s="15" t="s">
        <v>28</v>
      </c>
      <c r="F27" s="10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24.75" customHeight="1">
      <c r="A28" s="10" t="s">
        <v>30</v>
      </c>
      <c r="B28" s="10">
        <f>SUM(B4:B27)</f>
        <v>492966111.9904762</v>
      </c>
      <c r="C28" s="10">
        <f>SUM(C4:C27)</f>
        <v>490557831.72999996</v>
      </c>
      <c r="D28" s="10">
        <f>SUM(D4:D27)</f>
        <v>504047554.90000015</v>
      </c>
      <c r="E28" s="10">
        <f>SUM(E4:E27)</f>
        <v>1487571498.6204762</v>
      </c>
      <c r="F28" s="10">
        <f>SUM(F4:F27)</f>
        <v>100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3.5" customHeight="1">
      <c r="A29" s="62" t="s">
        <v>114</v>
      </c>
      <c r="B29" s="99"/>
      <c r="C29" s="99"/>
      <c r="D29" s="99"/>
      <c r="E29" s="99">
        <v>-1132000000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22.5" customHeight="1">
      <c r="A30" s="61"/>
      <c r="B30" s="61"/>
      <c r="C30" s="61"/>
      <c r="D30" s="61"/>
      <c r="E30" s="6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2.5" customHeight="1">
      <c r="A31" s="61"/>
      <c r="B31" s="61"/>
      <c r="C31" s="61"/>
      <c r="D31" s="61"/>
      <c r="E31" s="17">
        <v>40816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0.25" customHeight="1">
      <c r="A32" s="3"/>
      <c r="E32" s="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>
      <c r="A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0.25" customHeight="1">
      <c r="A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0.25" customHeight="1">
      <c r="A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6:30" ht="20.2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6:30" ht="20.2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6:30" ht="20.25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6:30" ht="20.25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6:30" ht="20.2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6:30" ht="20.2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6:30" ht="20.25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6:30" ht="20.2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6:30" ht="20.25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6:30" ht="20.25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6:30" ht="20.25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6:30" ht="20.25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6:30" ht="20.25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6:30" ht="20.25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6:30" ht="20.25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6:30" ht="20.25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6:30" ht="20.25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6:30" ht="20.25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6:30" ht="20.25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6:30" ht="20.25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6:30" ht="20.25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6:30" ht="20.25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</sheetData>
  <sheetProtection/>
  <mergeCells count="1">
    <mergeCell ref="A1:E1"/>
  </mergeCells>
  <printOptions horizontalCentered="1" verticalCentered="1"/>
  <pageMargins left="0.18" right="0.236220472440945" top="0.16" bottom="1.643700787" header="0.8" footer="0.51181102362204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07"/>
  <sheetViews>
    <sheetView zoomScalePageLayoutView="0" workbookViewId="0" topLeftCell="A1">
      <pane xSplit="1" ySplit="5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6" sqref="A76"/>
    </sheetView>
  </sheetViews>
  <sheetFormatPr defaultColWidth="9.140625" defaultRowHeight="21.75"/>
  <cols>
    <col min="1" max="1" width="47.28125" style="37" customWidth="1"/>
    <col min="2" max="2" width="16.421875" style="18" customWidth="1"/>
    <col min="3" max="3" width="18.7109375" style="18" bestFit="1" customWidth="1"/>
    <col min="4" max="6" width="15.7109375" style="18" bestFit="1" customWidth="1"/>
    <col min="7" max="7" width="22.8515625" style="18" bestFit="1" customWidth="1"/>
    <col min="8" max="8" width="18.7109375" style="18" bestFit="1" customWidth="1"/>
    <col min="9" max="9" width="32.28125" style="18" customWidth="1"/>
    <col min="10" max="10" width="27.7109375" style="18" customWidth="1"/>
    <col min="11" max="16384" width="9.140625" style="18" customWidth="1"/>
  </cols>
  <sheetData>
    <row r="1" spans="1:9" ht="23.25">
      <c r="A1" s="114" t="s">
        <v>31</v>
      </c>
      <c r="B1" s="114"/>
      <c r="C1" s="114"/>
      <c r="D1" s="114"/>
      <c r="E1" s="114"/>
      <c r="F1" s="114"/>
      <c r="G1" s="114"/>
      <c r="H1" s="114"/>
      <c r="I1" s="114"/>
    </row>
    <row r="2" spans="1:9" ht="26.25" customHeight="1">
      <c r="A2" s="121" t="s">
        <v>94</v>
      </c>
      <c r="B2" s="121"/>
      <c r="C2" s="121"/>
      <c r="D2" s="121"/>
      <c r="E2" s="121"/>
      <c r="F2" s="121"/>
      <c r="G2" s="121"/>
      <c r="H2" s="121"/>
      <c r="I2" s="121"/>
    </row>
    <row r="3" spans="1:9" ht="26.25" customHeight="1">
      <c r="A3" s="20"/>
      <c r="B3" s="19"/>
      <c r="C3" s="19"/>
      <c r="D3" s="19"/>
      <c r="E3" s="19"/>
      <c r="F3" s="19"/>
      <c r="G3" s="19"/>
      <c r="H3" s="20"/>
      <c r="I3" s="20"/>
    </row>
    <row r="4" spans="1:9" ht="23.25" customHeight="1">
      <c r="A4" s="115" t="s">
        <v>32</v>
      </c>
      <c r="B4" s="117" t="s">
        <v>33</v>
      </c>
      <c r="C4" s="118"/>
      <c r="D4" s="118"/>
      <c r="E4" s="118"/>
      <c r="F4" s="118"/>
      <c r="G4" s="119"/>
      <c r="H4" s="120" t="s">
        <v>34</v>
      </c>
      <c r="I4" s="115" t="s">
        <v>35</v>
      </c>
    </row>
    <row r="5" spans="1:9" ht="23.25">
      <c r="A5" s="116"/>
      <c r="B5" s="22" t="s">
        <v>36</v>
      </c>
      <c r="C5" s="22" t="s">
        <v>37</v>
      </c>
      <c r="D5" s="23" t="s">
        <v>38</v>
      </c>
      <c r="E5" s="24" t="s">
        <v>39</v>
      </c>
      <c r="F5" s="21" t="s">
        <v>40</v>
      </c>
      <c r="G5" s="21" t="s">
        <v>41</v>
      </c>
      <c r="H5" s="116"/>
      <c r="I5" s="116"/>
    </row>
    <row r="6" spans="1:9" ht="43.5" customHeight="1">
      <c r="A6" s="39" t="s">
        <v>42</v>
      </c>
      <c r="B6" s="29"/>
      <c r="C6" s="29"/>
      <c r="D6" s="30"/>
      <c r="E6" s="29"/>
      <c r="F6" s="29"/>
      <c r="G6" s="29"/>
      <c r="H6" s="25"/>
      <c r="I6" s="30"/>
    </row>
    <row r="7" spans="1:9" ht="24">
      <c r="A7" s="33" t="s">
        <v>43</v>
      </c>
      <c r="B7" s="29"/>
      <c r="C7" s="29">
        <f>349241018.65+170808154.43</f>
        <v>520049173.08</v>
      </c>
      <c r="D7" s="30"/>
      <c r="E7" s="29"/>
      <c r="F7" s="29"/>
      <c r="G7" s="29"/>
      <c r="H7" s="25">
        <f>SUM(B7:G7)</f>
        <v>520049173.08</v>
      </c>
      <c r="I7" s="30" t="s">
        <v>44</v>
      </c>
    </row>
    <row r="8" spans="1:9" ht="24">
      <c r="A8" s="26" t="s">
        <v>7</v>
      </c>
      <c r="B8" s="29"/>
      <c r="C8" s="29"/>
      <c r="D8" s="30"/>
      <c r="E8" s="29"/>
      <c r="F8" s="29"/>
      <c r="G8" s="29"/>
      <c r="H8" s="25"/>
      <c r="I8" s="30"/>
    </row>
    <row r="9" spans="1:9" ht="24">
      <c r="A9" s="31" t="s">
        <v>45</v>
      </c>
      <c r="B9" s="29">
        <v>2789064.34</v>
      </c>
      <c r="C9" s="29">
        <v>301145.34</v>
      </c>
      <c r="D9" s="29">
        <v>133333.34</v>
      </c>
      <c r="E9" s="29">
        <v>133333.33</v>
      </c>
      <c r="F9" s="29"/>
      <c r="G9" s="29">
        <v>343000</v>
      </c>
      <c r="H9" s="25">
        <f>SUM(B9:G9)</f>
        <v>3699876.3499999996</v>
      </c>
      <c r="I9" s="30" t="s">
        <v>46</v>
      </c>
    </row>
    <row r="10" spans="1:9" ht="24">
      <c r="A10" s="27" t="s">
        <v>89</v>
      </c>
      <c r="B10" s="29"/>
      <c r="C10" s="29"/>
      <c r="D10" s="29"/>
      <c r="E10" s="29"/>
      <c r="F10" s="29"/>
      <c r="G10" s="29">
        <v>2721370</v>
      </c>
      <c r="H10" s="25">
        <f>SUM(B10:G10)</f>
        <v>2721370</v>
      </c>
      <c r="I10" s="30" t="s">
        <v>47</v>
      </c>
    </row>
    <row r="11" spans="1:9" ht="24">
      <c r="A11" s="28" t="s">
        <v>48</v>
      </c>
      <c r="B11" s="29"/>
      <c r="C11" s="29"/>
      <c r="D11" s="30"/>
      <c r="E11" s="30"/>
      <c r="F11" s="30"/>
      <c r="G11" s="29"/>
      <c r="H11" s="25"/>
      <c r="I11" s="30"/>
    </row>
    <row r="12" spans="1:9" ht="24">
      <c r="A12" s="31" t="s">
        <v>45</v>
      </c>
      <c r="B12" s="29">
        <v>124300</v>
      </c>
      <c r="C12" s="29">
        <f>697350+240000+66234+5700000+642000+336000+800000+1402409+336900+114714.29</f>
        <v>10335607.29</v>
      </c>
      <c r="D12" s="29">
        <f>3413.33+5528000</f>
        <v>5531413.33</v>
      </c>
      <c r="E12" s="29">
        <f>1800000+114714.29</f>
        <v>1914714.29</v>
      </c>
      <c r="F12" s="29">
        <f>3195000+198418.54+2700000+6600+114714.29</f>
        <v>6214732.83</v>
      </c>
      <c r="G12" s="29">
        <f>9500+157380+32000+6826.67+158777+114714.28</f>
        <v>479197.95000000007</v>
      </c>
      <c r="H12" s="25">
        <f aca="true" t="shared" si="0" ref="H12:H18">SUM(B12:G12)</f>
        <v>24599965.69</v>
      </c>
      <c r="I12" s="30" t="s">
        <v>49</v>
      </c>
    </row>
    <row r="13" spans="1:9" ht="24">
      <c r="A13" s="31" t="s">
        <v>50</v>
      </c>
      <c r="B13" s="29"/>
      <c r="C13" s="29">
        <f>116000</f>
        <v>116000</v>
      </c>
      <c r="D13" s="30"/>
      <c r="E13" s="29">
        <v>31500</v>
      </c>
      <c r="F13" s="30"/>
      <c r="G13" s="29"/>
      <c r="H13" s="25">
        <f t="shared" si="0"/>
        <v>147500</v>
      </c>
      <c r="I13" s="30" t="s">
        <v>59</v>
      </c>
    </row>
    <row r="14" spans="1:9" ht="24">
      <c r="A14" s="33" t="s">
        <v>51</v>
      </c>
      <c r="B14" s="29"/>
      <c r="C14" s="29">
        <v>55000</v>
      </c>
      <c r="D14" s="29"/>
      <c r="E14" s="29"/>
      <c r="F14" s="29"/>
      <c r="G14" s="29">
        <f>520000+528000+1271371.75</f>
        <v>2319371.75</v>
      </c>
      <c r="H14" s="25">
        <f t="shared" si="0"/>
        <v>2374371.75</v>
      </c>
      <c r="I14" s="30" t="s">
        <v>52</v>
      </c>
    </row>
    <row r="15" spans="1:9" ht="24">
      <c r="A15" s="33" t="s">
        <v>53</v>
      </c>
      <c r="B15" s="29"/>
      <c r="C15" s="29">
        <f>89140</f>
        <v>89140</v>
      </c>
      <c r="D15" s="29">
        <v>89140</v>
      </c>
      <c r="E15" s="29"/>
      <c r="F15" s="29">
        <v>89140</v>
      </c>
      <c r="G15" s="29">
        <f>89140+89140</f>
        <v>178280</v>
      </c>
      <c r="H15" s="25">
        <f t="shared" si="0"/>
        <v>445700</v>
      </c>
      <c r="I15" s="30" t="s">
        <v>55</v>
      </c>
    </row>
    <row r="16" spans="1:9" ht="24">
      <c r="A16" s="33" t="s">
        <v>54</v>
      </c>
      <c r="B16" s="29"/>
      <c r="C16" s="29">
        <v>450000</v>
      </c>
      <c r="D16" s="30"/>
      <c r="E16" s="29"/>
      <c r="F16" s="29"/>
      <c r="G16" s="29">
        <v>450000</v>
      </c>
      <c r="H16" s="25">
        <f t="shared" si="0"/>
        <v>900000</v>
      </c>
      <c r="I16" s="30" t="s">
        <v>55</v>
      </c>
    </row>
    <row r="17" spans="1:9" ht="24">
      <c r="A17" s="33" t="s">
        <v>43</v>
      </c>
      <c r="B17" s="29"/>
      <c r="C17" s="29">
        <v>4700000</v>
      </c>
      <c r="D17" s="30"/>
      <c r="E17" s="29"/>
      <c r="F17" s="29"/>
      <c r="G17" s="29"/>
      <c r="H17" s="25">
        <f t="shared" si="0"/>
        <v>4700000</v>
      </c>
      <c r="I17" s="43" t="s">
        <v>56</v>
      </c>
    </row>
    <row r="18" spans="1:9" ht="24">
      <c r="A18" s="112" t="s">
        <v>89</v>
      </c>
      <c r="B18" s="29">
        <v>84200</v>
      </c>
      <c r="C18" s="29">
        <v>972680</v>
      </c>
      <c r="D18" s="29">
        <v>34200</v>
      </c>
      <c r="E18" s="29">
        <v>738080</v>
      </c>
      <c r="F18" s="29">
        <v>34200</v>
      </c>
      <c r="G18" s="29"/>
      <c r="H18" s="25">
        <f t="shared" si="0"/>
        <v>1863360</v>
      </c>
      <c r="I18" s="30" t="s">
        <v>52</v>
      </c>
    </row>
    <row r="19" spans="1:9" ht="24">
      <c r="A19" s="113"/>
      <c r="B19" s="29"/>
      <c r="C19" s="29"/>
      <c r="D19" s="29"/>
      <c r="E19" s="29"/>
      <c r="F19" s="30"/>
      <c r="G19" s="29">
        <v>12775062.5</v>
      </c>
      <c r="H19" s="29">
        <v>12775062.5</v>
      </c>
      <c r="I19" s="64" t="s">
        <v>87</v>
      </c>
    </row>
    <row r="20" spans="1:9" ht="24">
      <c r="A20" s="35" t="s">
        <v>11</v>
      </c>
      <c r="B20" s="40"/>
      <c r="C20" s="40"/>
      <c r="D20" s="40"/>
      <c r="E20" s="40"/>
      <c r="F20" s="40"/>
      <c r="G20" s="41"/>
      <c r="H20" s="42"/>
      <c r="I20" s="43"/>
    </row>
    <row r="21" spans="1:9" ht="24">
      <c r="A21" s="33" t="s">
        <v>54</v>
      </c>
      <c r="B21" s="30"/>
      <c r="C21" s="29">
        <v>400000</v>
      </c>
      <c r="D21" s="29">
        <v>2000000</v>
      </c>
      <c r="E21" s="29"/>
      <c r="F21" s="29"/>
      <c r="G21" s="29">
        <v>28123</v>
      </c>
      <c r="H21" s="29">
        <f>SUM(B21:G21)</f>
        <v>2428123</v>
      </c>
      <c r="I21" s="30" t="s">
        <v>57</v>
      </c>
    </row>
    <row r="22" spans="1:9" ht="24">
      <c r="A22" s="27" t="s">
        <v>89</v>
      </c>
      <c r="B22" s="30"/>
      <c r="C22" s="29"/>
      <c r="D22" s="29"/>
      <c r="E22" s="29"/>
      <c r="F22" s="29"/>
      <c r="G22" s="29">
        <v>105000</v>
      </c>
      <c r="H22" s="29">
        <v>105000</v>
      </c>
      <c r="I22" s="64" t="s">
        <v>87</v>
      </c>
    </row>
    <row r="23" spans="1:9" ht="24">
      <c r="A23" s="35" t="s">
        <v>5</v>
      </c>
      <c r="B23" s="30"/>
      <c r="C23" s="29"/>
      <c r="D23" s="30"/>
      <c r="E23" s="30"/>
      <c r="F23" s="43"/>
      <c r="G23" s="30"/>
      <c r="H23" s="25"/>
      <c r="I23" s="30"/>
    </row>
    <row r="24" spans="1:9" ht="24">
      <c r="A24" s="33" t="s">
        <v>58</v>
      </c>
      <c r="B24" s="29"/>
      <c r="C24" s="29"/>
      <c r="D24" s="29"/>
      <c r="E24" s="29"/>
      <c r="F24" s="30"/>
      <c r="G24" s="44">
        <v>422500</v>
      </c>
      <c r="H24" s="25">
        <f>SUM(B24:G24)</f>
        <v>422500</v>
      </c>
      <c r="I24" s="30" t="s">
        <v>57</v>
      </c>
    </row>
    <row r="25" spans="1:9" ht="24">
      <c r="A25" s="27" t="s">
        <v>89</v>
      </c>
      <c r="B25" s="30"/>
      <c r="C25" s="29"/>
      <c r="D25" s="30"/>
      <c r="E25" s="30"/>
      <c r="F25" s="30"/>
      <c r="G25" s="29">
        <f>15784277.22+50000</f>
        <v>15834277.22</v>
      </c>
      <c r="H25" s="25">
        <f>SUM(B25:G25)</f>
        <v>15834277.22</v>
      </c>
      <c r="I25" s="30" t="s">
        <v>47</v>
      </c>
    </row>
    <row r="26" spans="1:9" ht="24">
      <c r="A26" s="35" t="s">
        <v>12</v>
      </c>
      <c r="B26" s="30"/>
      <c r="C26" s="29"/>
      <c r="D26" s="29"/>
      <c r="E26" s="29"/>
      <c r="F26" s="29"/>
      <c r="G26" s="29"/>
      <c r="H26" s="29"/>
      <c r="I26" s="30"/>
    </row>
    <row r="27" spans="1:9" ht="24">
      <c r="A27" s="33" t="s">
        <v>60</v>
      </c>
      <c r="B27" s="30"/>
      <c r="C27" s="29"/>
      <c r="D27" s="29"/>
      <c r="E27" s="29"/>
      <c r="F27" s="29"/>
      <c r="G27" s="29">
        <v>47354203.65</v>
      </c>
      <c r="H27" s="29">
        <f>SUM(B27:G27)</f>
        <v>47354203.65</v>
      </c>
      <c r="I27" s="64" t="s">
        <v>87</v>
      </c>
    </row>
    <row r="28" spans="1:9" ht="24">
      <c r="A28" s="35" t="s">
        <v>10</v>
      </c>
      <c r="B28" s="30"/>
      <c r="C28" s="30"/>
      <c r="D28" s="30"/>
      <c r="E28" s="30"/>
      <c r="F28" s="30"/>
      <c r="G28" s="45"/>
      <c r="H28" s="25"/>
      <c r="I28" s="30"/>
    </row>
    <row r="29" spans="1:9" ht="24">
      <c r="A29" s="27" t="s">
        <v>89</v>
      </c>
      <c r="B29" s="30"/>
      <c r="C29" s="29">
        <v>101030</v>
      </c>
      <c r="D29" s="30"/>
      <c r="E29" s="30"/>
      <c r="F29" s="30"/>
      <c r="G29" s="45">
        <v>23981275.75</v>
      </c>
      <c r="H29" s="25">
        <f>SUM(B29:G29)</f>
        <v>24082305.75</v>
      </c>
      <c r="I29" s="64" t="s">
        <v>87</v>
      </c>
    </row>
    <row r="30" spans="1:9" ht="24">
      <c r="A30" s="35" t="s">
        <v>17</v>
      </c>
      <c r="B30" s="30"/>
      <c r="C30" s="30"/>
      <c r="D30" s="29"/>
      <c r="E30" s="30"/>
      <c r="F30" s="30"/>
      <c r="G30" s="43"/>
      <c r="H30" s="25"/>
      <c r="I30" s="30"/>
    </row>
    <row r="31" spans="1:9" ht="24">
      <c r="A31" s="46" t="s">
        <v>45</v>
      </c>
      <c r="B31" s="29">
        <v>571641</v>
      </c>
      <c r="C31" s="30"/>
      <c r="D31" s="29"/>
      <c r="E31" s="29"/>
      <c r="F31" s="29"/>
      <c r="G31" s="29"/>
      <c r="H31" s="25">
        <f>SUM(B31:G31)</f>
        <v>571641</v>
      </c>
      <c r="I31" s="30" t="s">
        <v>59</v>
      </c>
    </row>
    <row r="32" spans="1:9" ht="24">
      <c r="A32" s="35" t="s">
        <v>14</v>
      </c>
      <c r="B32" s="30"/>
      <c r="C32" s="30"/>
      <c r="D32" s="30"/>
      <c r="E32" s="30"/>
      <c r="F32" s="30"/>
      <c r="G32" s="30"/>
      <c r="H32" s="30"/>
      <c r="I32" s="30"/>
    </row>
    <row r="33" spans="1:9" ht="24">
      <c r="A33" s="33" t="s">
        <v>61</v>
      </c>
      <c r="B33" s="29"/>
      <c r="C33" s="29">
        <v>23220</v>
      </c>
      <c r="D33" s="29"/>
      <c r="E33" s="29">
        <v>223214.5</v>
      </c>
      <c r="F33" s="29"/>
      <c r="G33" s="73"/>
      <c r="H33" s="25">
        <f>SUM(B33:G33)</f>
        <v>246434.5</v>
      </c>
      <c r="I33" s="30" t="s">
        <v>62</v>
      </c>
    </row>
    <row r="34" spans="1:9" ht="24">
      <c r="A34" s="27" t="s">
        <v>89</v>
      </c>
      <c r="B34" s="29"/>
      <c r="C34" s="29"/>
      <c r="D34" s="29"/>
      <c r="E34" s="29"/>
      <c r="F34" s="29"/>
      <c r="G34" s="76">
        <v>5282000</v>
      </c>
      <c r="H34" s="25">
        <f>SUM(B34:G34)</f>
        <v>5282000</v>
      </c>
      <c r="I34" s="64" t="s">
        <v>87</v>
      </c>
    </row>
    <row r="35" spans="1:9" ht="24">
      <c r="A35" s="35" t="s">
        <v>63</v>
      </c>
      <c r="B35" s="29"/>
      <c r="C35" s="29"/>
      <c r="D35" s="30"/>
      <c r="E35" s="30"/>
      <c r="F35" s="30"/>
      <c r="G35" s="74"/>
      <c r="H35" s="25"/>
      <c r="I35" s="30"/>
    </row>
    <row r="36" spans="1:9" ht="24">
      <c r="A36" s="46" t="s">
        <v>45</v>
      </c>
      <c r="B36" s="47">
        <v>709000</v>
      </c>
      <c r="C36" s="47">
        <v>709000</v>
      </c>
      <c r="D36" s="48"/>
      <c r="E36" s="48"/>
      <c r="F36" s="48"/>
      <c r="G36" s="48"/>
      <c r="H36" s="49">
        <f>SUM(B36:G36)</f>
        <v>1418000</v>
      </c>
      <c r="I36" s="48" t="s">
        <v>64</v>
      </c>
    </row>
    <row r="37" spans="1:9" s="34" customFormat="1" ht="24">
      <c r="A37" s="35" t="s">
        <v>65</v>
      </c>
      <c r="B37" s="29"/>
      <c r="C37" s="29"/>
      <c r="D37" s="29"/>
      <c r="E37" s="29"/>
      <c r="F37" s="30"/>
      <c r="G37" s="30"/>
      <c r="H37" s="25"/>
      <c r="I37" s="30"/>
    </row>
    <row r="38" spans="1:9" ht="42.75" customHeight="1">
      <c r="A38" s="33" t="s">
        <v>50</v>
      </c>
      <c r="B38" s="29"/>
      <c r="C38" s="29">
        <f>1205897+434800</f>
        <v>1640697</v>
      </c>
      <c r="D38" s="29">
        <v>20810</v>
      </c>
      <c r="E38" s="29"/>
      <c r="F38" s="30"/>
      <c r="G38" s="29">
        <v>64600</v>
      </c>
      <c r="H38" s="25">
        <f>SUM(B38:G38)</f>
        <v>1726107</v>
      </c>
      <c r="I38" s="65" t="s">
        <v>66</v>
      </c>
    </row>
    <row r="39" spans="1:9" ht="24">
      <c r="A39" s="35" t="s">
        <v>9</v>
      </c>
      <c r="B39" s="30"/>
      <c r="C39" s="30"/>
      <c r="D39" s="30"/>
      <c r="E39" s="30"/>
      <c r="F39" s="30"/>
      <c r="G39" s="30"/>
      <c r="H39" s="30"/>
      <c r="I39" s="30"/>
    </row>
    <row r="40" spans="1:9" ht="24">
      <c r="A40" s="33" t="s">
        <v>60</v>
      </c>
      <c r="B40" s="30"/>
      <c r="C40" s="29"/>
      <c r="D40" s="29"/>
      <c r="E40" s="29"/>
      <c r="F40" s="29"/>
      <c r="G40" s="29">
        <v>256563.5</v>
      </c>
      <c r="H40" s="29">
        <f>SUM(B40:G40)</f>
        <v>256563.5</v>
      </c>
      <c r="I40" s="64" t="s">
        <v>87</v>
      </c>
    </row>
    <row r="41" spans="1:9" ht="24">
      <c r="A41" s="33" t="s">
        <v>67</v>
      </c>
      <c r="B41" s="30"/>
      <c r="C41" s="29">
        <v>2113206.34</v>
      </c>
      <c r="D41" s="29">
        <v>139075.34</v>
      </c>
      <c r="E41" s="29">
        <v>139075.33</v>
      </c>
      <c r="F41" s="29"/>
      <c r="G41" s="29">
        <f>(30000+47100+47100)+417225.99</f>
        <v>541425.99</v>
      </c>
      <c r="H41" s="29">
        <f>SUM(B41:G41)</f>
        <v>2932783</v>
      </c>
      <c r="I41" s="30" t="s">
        <v>68</v>
      </c>
    </row>
    <row r="42" spans="1:9" ht="24">
      <c r="A42" s="27"/>
      <c r="B42" s="32"/>
      <c r="C42" s="32"/>
      <c r="D42" s="29"/>
      <c r="E42" s="29"/>
      <c r="F42" s="29"/>
      <c r="G42" s="29"/>
      <c r="H42" s="29"/>
      <c r="I42" s="30" t="s">
        <v>69</v>
      </c>
    </row>
    <row r="43" spans="1:9" ht="24">
      <c r="A43" s="35" t="s">
        <v>70</v>
      </c>
      <c r="B43" s="30"/>
      <c r="C43" s="30"/>
      <c r="D43" s="30"/>
      <c r="E43" s="30"/>
      <c r="F43" s="30"/>
      <c r="G43" s="30"/>
      <c r="H43" s="25"/>
      <c r="I43" s="30"/>
    </row>
    <row r="44" spans="1:9" ht="24">
      <c r="A44" s="33" t="s">
        <v>71</v>
      </c>
      <c r="B44" s="29"/>
      <c r="C44" s="29">
        <f>29000+261000</f>
        <v>290000</v>
      </c>
      <c r="D44" s="29"/>
      <c r="E44" s="30"/>
      <c r="F44" s="30"/>
      <c r="G44" s="29"/>
      <c r="H44" s="25">
        <f>SUM(B44:G44)</f>
        <v>290000</v>
      </c>
      <c r="I44" s="30" t="s">
        <v>59</v>
      </c>
    </row>
    <row r="45" spans="1:9" ht="24">
      <c r="A45" s="35" t="s">
        <v>18</v>
      </c>
      <c r="B45" s="30"/>
      <c r="C45" s="29"/>
      <c r="D45" s="29"/>
      <c r="E45" s="29"/>
      <c r="F45" s="29"/>
      <c r="G45" s="29"/>
      <c r="H45" s="29"/>
      <c r="I45" s="30"/>
    </row>
    <row r="46" spans="1:9" ht="24">
      <c r="A46" s="33" t="s">
        <v>72</v>
      </c>
      <c r="B46" s="29">
        <f>378246+106583.5</f>
        <v>484829.5</v>
      </c>
      <c r="C46" s="29">
        <v>658785</v>
      </c>
      <c r="D46" s="30"/>
      <c r="E46" s="30"/>
      <c r="F46" s="30"/>
      <c r="G46" s="29"/>
      <c r="H46" s="29">
        <f>SUM(B46:G46)</f>
        <v>1143614.5</v>
      </c>
      <c r="I46" s="30" t="s">
        <v>73</v>
      </c>
    </row>
    <row r="47" spans="1:9" ht="24">
      <c r="A47" s="35" t="s">
        <v>74</v>
      </c>
      <c r="B47" s="29"/>
      <c r="C47" s="29"/>
      <c r="D47" s="30"/>
      <c r="E47" s="30"/>
      <c r="F47" s="30"/>
      <c r="G47" s="29"/>
      <c r="H47" s="25"/>
      <c r="I47" s="30"/>
    </row>
    <row r="48" spans="1:9" ht="24">
      <c r="A48" s="27" t="s">
        <v>89</v>
      </c>
      <c r="B48" s="30"/>
      <c r="C48" s="30"/>
      <c r="D48" s="30"/>
      <c r="E48" s="30"/>
      <c r="F48" s="30"/>
      <c r="G48" s="29">
        <f>(422108.4)+422108.4</f>
        <v>844216.8</v>
      </c>
      <c r="H48" s="25">
        <f>SUM(B48:G48)</f>
        <v>844216.8</v>
      </c>
      <c r="I48" s="64" t="s">
        <v>87</v>
      </c>
    </row>
    <row r="49" spans="1:9" ht="24">
      <c r="A49" s="35" t="s">
        <v>20</v>
      </c>
      <c r="B49" s="30"/>
      <c r="C49" s="30"/>
      <c r="D49" s="30"/>
      <c r="E49" s="30"/>
      <c r="F49" s="30"/>
      <c r="G49" s="30"/>
      <c r="H49" s="25"/>
      <c r="I49" s="30"/>
    </row>
    <row r="50" spans="1:9" ht="24">
      <c r="A50" s="33" t="s">
        <v>75</v>
      </c>
      <c r="B50" s="29">
        <v>2799766.67</v>
      </c>
      <c r="C50" s="29">
        <v>3135164.17</v>
      </c>
      <c r="D50" s="29">
        <v>5447930.06</v>
      </c>
      <c r="E50" s="29">
        <v>346500</v>
      </c>
      <c r="F50" s="30"/>
      <c r="G50" s="29">
        <v>1428000</v>
      </c>
      <c r="H50" s="25">
        <f>SUM(B50:G50)</f>
        <v>13157360.899999999</v>
      </c>
      <c r="I50" s="30" t="s">
        <v>76</v>
      </c>
    </row>
    <row r="51" spans="1:9" ht="24">
      <c r="A51" s="35" t="s">
        <v>21</v>
      </c>
      <c r="B51" s="30"/>
      <c r="C51" s="30"/>
      <c r="D51" s="30"/>
      <c r="E51" s="30"/>
      <c r="F51" s="30"/>
      <c r="G51" s="50"/>
      <c r="H51" s="25"/>
      <c r="I51" s="30"/>
    </row>
    <row r="52" spans="1:9" ht="24">
      <c r="A52" s="33" t="s">
        <v>43</v>
      </c>
      <c r="B52" s="29">
        <v>41666.67</v>
      </c>
      <c r="C52" s="29">
        <v>41666.67</v>
      </c>
      <c r="D52" s="29">
        <v>41666.67</v>
      </c>
      <c r="E52" s="29">
        <v>41666.67</v>
      </c>
      <c r="F52" s="30"/>
      <c r="G52" s="50">
        <v>83333.32</v>
      </c>
      <c r="H52" s="25">
        <f>SUM(B52:G52)</f>
        <v>250000</v>
      </c>
      <c r="I52" s="30" t="s">
        <v>59</v>
      </c>
    </row>
    <row r="53" spans="1:9" ht="24">
      <c r="A53" s="27" t="s">
        <v>89</v>
      </c>
      <c r="B53" s="29"/>
      <c r="C53" s="29"/>
      <c r="D53" s="29"/>
      <c r="E53" s="29"/>
      <c r="F53" s="43"/>
      <c r="G53" s="50">
        <v>32470</v>
      </c>
      <c r="H53" s="25">
        <f>SUM(B53:G53)</f>
        <v>32470</v>
      </c>
      <c r="I53" s="64" t="s">
        <v>87</v>
      </c>
    </row>
    <row r="54" spans="1:9" ht="24">
      <c r="A54" s="36" t="s">
        <v>26</v>
      </c>
      <c r="B54" s="29"/>
      <c r="C54" s="29"/>
      <c r="D54" s="29"/>
      <c r="E54" s="29"/>
      <c r="F54" s="30"/>
      <c r="G54" s="50"/>
      <c r="H54" s="25"/>
      <c r="I54" s="30"/>
    </row>
    <row r="55" spans="1:9" ht="24">
      <c r="A55" s="33" t="s">
        <v>77</v>
      </c>
      <c r="B55" s="29">
        <v>190403.33</v>
      </c>
      <c r="C55" s="29">
        <v>190403.33</v>
      </c>
      <c r="D55" s="29"/>
      <c r="E55" s="29">
        <v>190403.33</v>
      </c>
      <c r="F55" s="29">
        <v>190403.33</v>
      </c>
      <c r="G55" s="50">
        <v>1169016.68</v>
      </c>
      <c r="H55" s="25">
        <f>SUM(B55:G55)</f>
        <v>1930630</v>
      </c>
      <c r="I55" s="30" t="s">
        <v>59</v>
      </c>
    </row>
    <row r="56" spans="1:9" ht="24">
      <c r="A56" s="36" t="s">
        <v>22</v>
      </c>
      <c r="B56" s="29"/>
      <c r="C56" s="29"/>
      <c r="D56" s="29"/>
      <c r="E56" s="29"/>
      <c r="F56" s="30"/>
      <c r="G56" s="50"/>
      <c r="H56" s="25"/>
      <c r="I56" s="30"/>
    </row>
    <row r="57" spans="1:9" ht="24">
      <c r="A57" s="27" t="s">
        <v>89</v>
      </c>
      <c r="B57" s="29"/>
      <c r="C57" s="29"/>
      <c r="D57" s="29"/>
      <c r="E57" s="29"/>
      <c r="F57" s="30"/>
      <c r="G57" s="50">
        <v>24189702.75</v>
      </c>
      <c r="H57" s="25">
        <f>SUM(B57:G57)</f>
        <v>24189702.75</v>
      </c>
      <c r="I57" s="64" t="s">
        <v>87</v>
      </c>
    </row>
    <row r="58" spans="1:9" ht="24">
      <c r="A58" s="81" t="s">
        <v>111</v>
      </c>
      <c r="B58" s="29"/>
      <c r="C58" s="29"/>
      <c r="D58" s="29"/>
      <c r="E58" s="29"/>
      <c r="F58" s="30"/>
      <c r="G58" s="50"/>
      <c r="H58" s="25">
        <f>SUM(B58:G58)</f>
        <v>0</v>
      </c>
      <c r="I58" s="64"/>
    </row>
    <row r="59" spans="1:9" ht="24">
      <c r="A59" s="80" t="s">
        <v>72</v>
      </c>
      <c r="B59" s="29"/>
      <c r="C59" s="29"/>
      <c r="D59" s="29"/>
      <c r="E59" s="29"/>
      <c r="F59" s="30"/>
      <c r="G59" s="50">
        <v>17298500</v>
      </c>
      <c r="H59" s="25">
        <f>SUM(B59:G59)</f>
        <v>17298500</v>
      </c>
      <c r="I59" s="30" t="s">
        <v>47</v>
      </c>
    </row>
    <row r="60" spans="1:9" ht="24">
      <c r="A60" s="80" t="s">
        <v>75</v>
      </c>
      <c r="B60" s="29"/>
      <c r="C60" s="29">
        <v>409544.12</v>
      </c>
      <c r="D60" s="29"/>
      <c r="E60" s="29"/>
      <c r="F60" s="30"/>
      <c r="G60" s="50"/>
      <c r="H60" s="25">
        <f>SUM(B60:G60)</f>
        <v>409544.12</v>
      </c>
      <c r="I60" s="30" t="s">
        <v>59</v>
      </c>
    </row>
    <row r="61" spans="1:9" ht="24">
      <c r="A61" s="38" t="s">
        <v>23</v>
      </c>
      <c r="B61" s="29"/>
      <c r="C61" s="29"/>
      <c r="D61" s="30"/>
      <c r="E61" s="29"/>
      <c r="F61" s="29"/>
      <c r="G61" s="29"/>
      <c r="H61" s="25"/>
      <c r="I61" s="30"/>
    </row>
    <row r="62" spans="1:9" ht="24">
      <c r="A62" s="51" t="s">
        <v>78</v>
      </c>
      <c r="B62" s="29"/>
      <c r="C62" s="29"/>
      <c r="D62" s="30"/>
      <c r="E62" s="29"/>
      <c r="F62" s="29"/>
      <c r="G62" s="29"/>
      <c r="H62" s="25"/>
      <c r="I62" s="30"/>
    </row>
    <row r="63" spans="1:9" ht="24">
      <c r="A63" s="33" t="s">
        <v>79</v>
      </c>
      <c r="B63" s="29"/>
      <c r="C63" s="29"/>
      <c r="D63" s="30"/>
      <c r="E63" s="29"/>
      <c r="F63" s="29"/>
      <c r="G63" s="29">
        <v>587000</v>
      </c>
      <c r="H63" s="25">
        <f>SUM(B63:G63)</f>
        <v>587000</v>
      </c>
      <c r="I63" s="30" t="s">
        <v>47</v>
      </c>
    </row>
    <row r="64" spans="1:9" ht="24">
      <c r="A64" s="51" t="s">
        <v>80</v>
      </c>
      <c r="B64" s="29"/>
      <c r="C64" s="29"/>
      <c r="D64" s="30"/>
      <c r="E64" s="29"/>
      <c r="F64" s="29"/>
      <c r="G64" s="29"/>
      <c r="H64" s="25"/>
      <c r="I64" s="30"/>
    </row>
    <row r="65" spans="1:9" ht="24">
      <c r="A65" s="33" t="s">
        <v>81</v>
      </c>
      <c r="B65" s="29"/>
      <c r="C65" s="29">
        <f>385548/2</f>
        <v>192774</v>
      </c>
      <c r="D65" s="30"/>
      <c r="E65" s="29">
        <v>192774</v>
      </c>
      <c r="F65" s="29"/>
      <c r="G65" s="29"/>
      <c r="H65" s="25">
        <f>SUM(B65:G65)</f>
        <v>385548</v>
      </c>
      <c r="I65" s="30" t="s">
        <v>59</v>
      </c>
    </row>
    <row r="66" spans="1:9" ht="43.5" customHeight="1">
      <c r="A66" s="52" t="s">
        <v>112</v>
      </c>
      <c r="B66" s="29"/>
      <c r="C66" s="29"/>
      <c r="D66" s="30"/>
      <c r="E66" s="29"/>
      <c r="F66" s="29"/>
      <c r="G66" s="29"/>
      <c r="H66" s="25"/>
      <c r="I66" s="30"/>
    </row>
    <row r="67" spans="1:9" ht="24">
      <c r="A67" s="53" t="s">
        <v>82</v>
      </c>
      <c r="B67" s="29"/>
      <c r="C67" s="29"/>
      <c r="D67" s="30"/>
      <c r="E67" s="29"/>
      <c r="F67" s="29"/>
      <c r="G67" s="29">
        <f>99000+8500000</f>
        <v>8599000</v>
      </c>
      <c r="H67" s="25">
        <f>SUM(B67:G67)</f>
        <v>8599000</v>
      </c>
      <c r="I67" s="30" t="s">
        <v>47</v>
      </c>
    </row>
    <row r="68" spans="1:9" ht="24">
      <c r="A68" s="52" t="s">
        <v>113</v>
      </c>
      <c r="B68" s="29"/>
      <c r="C68" s="29"/>
      <c r="D68" s="30"/>
      <c r="E68" s="29"/>
      <c r="F68" s="29"/>
      <c r="G68" s="29"/>
      <c r="H68" s="25"/>
      <c r="I68" s="30"/>
    </row>
    <row r="69" spans="1:9" ht="24">
      <c r="A69" s="33" t="s">
        <v>50</v>
      </c>
      <c r="B69" s="77"/>
      <c r="C69" s="77">
        <f>147583+20000+18740+247775</f>
        <v>434098</v>
      </c>
      <c r="D69" s="78"/>
      <c r="E69" s="77"/>
      <c r="F69" s="29"/>
      <c r="G69" s="29"/>
      <c r="H69" s="25">
        <f aca="true" t="shared" si="1" ref="H69:H74">SUM(B69:G69)</f>
        <v>434098</v>
      </c>
      <c r="I69" s="30" t="s">
        <v>59</v>
      </c>
    </row>
    <row r="70" spans="1:9" ht="24">
      <c r="A70" s="33" t="s">
        <v>83</v>
      </c>
      <c r="B70" s="77">
        <f>500000</f>
        <v>500000</v>
      </c>
      <c r="C70" s="77">
        <f>234197+347112.7+10000+850000+43864+150000</f>
        <v>1635173.7</v>
      </c>
      <c r="D70" s="77">
        <v>200000</v>
      </c>
      <c r="E70" s="77">
        <v>68531</v>
      </c>
      <c r="F70" s="29"/>
      <c r="G70" s="29"/>
      <c r="H70" s="25">
        <f t="shared" si="1"/>
        <v>2403704.7</v>
      </c>
      <c r="I70" s="30" t="s">
        <v>92</v>
      </c>
    </row>
    <row r="71" spans="1:9" ht="24">
      <c r="A71" s="33" t="s">
        <v>79</v>
      </c>
      <c r="B71" s="77"/>
      <c r="C71" s="77">
        <f>10000</f>
        <v>10000</v>
      </c>
      <c r="D71" s="78"/>
      <c r="E71" s="77"/>
      <c r="F71" s="29"/>
      <c r="G71" s="29"/>
      <c r="H71" s="25">
        <f t="shared" si="1"/>
        <v>10000</v>
      </c>
      <c r="I71" s="30" t="s">
        <v>47</v>
      </c>
    </row>
    <row r="72" spans="1:9" ht="24">
      <c r="A72" s="33" t="s">
        <v>84</v>
      </c>
      <c r="B72" s="77"/>
      <c r="C72" s="77">
        <f>25000+5000+62500+2000000+579240+20000+200000+249180</f>
        <v>3140920</v>
      </c>
      <c r="D72" s="78"/>
      <c r="E72" s="77">
        <f>48881.3+70000</f>
        <v>118881.3</v>
      </c>
      <c r="F72" s="29"/>
      <c r="G72" s="29"/>
      <c r="H72" s="25">
        <f t="shared" si="1"/>
        <v>3259801.3</v>
      </c>
      <c r="I72" s="30" t="s">
        <v>91</v>
      </c>
    </row>
    <row r="73" spans="1:9" ht="24">
      <c r="A73" s="33" t="s">
        <v>43</v>
      </c>
      <c r="B73" s="77"/>
      <c r="C73" s="77">
        <f>40000+21008400</f>
        <v>21048400</v>
      </c>
      <c r="D73" s="78"/>
      <c r="E73" s="77"/>
      <c r="F73" s="29"/>
      <c r="G73" s="29"/>
      <c r="H73" s="25">
        <f t="shared" si="1"/>
        <v>21048400</v>
      </c>
      <c r="I73" s="30" t="s">
        <v>47</v>
      </c>
    </row>
    <row r="74" spans="1:9" ht="24">
      <c r="A74" s="33" t="s">
        <v>53</v>
      </c>
      <c r="B74" s="77"/>
      <c r="C74" s="77">
        <v>10000</v>
      </c>
      <c r="D74" s="78"/>
      <c r="E74" s="77"/>
      <c r="F74" s="29"/>
      <c r="G74" s="29"/>
      <c r="H74" s="25">
        <f t="shared" si="1"/>
        <v>10000</v>
      </c>
      <c r="I74" s="30" t="s">
        <v>47</v>
      </c>
    </row>
    <row r="75" spans="1:9" ht="24" customHeight="1">
      <c r="A75" s="51" t="s">
        <v>90</v>
      </c>
      <c r="B75" s="29"/>
      <c r="C75" s="29"/>
      <c r="D75" s="29"/>
      <c r="E75" s="29"/>
      <c r="F75" s="29"/>
      <c r="G75" s="29"/>
      <c r="H75" s="63"/>
      <c r="I75" s="30"/>
    </row>
    <row r="76" spans="1:9" ht="22.5" customHeight="1">
      <c r="A76" s="82" t="s">
        <v>86</v>
      </c>
      <c r="B76" s="29"/>
      <c r="C76" s="29"/>
      <c r="D76" s="29"/>
      <c r="E76" s="29"/>
      <c r="F76" s="29"/>
      <c r="G76" s="29">
        <f>241212851.05+72534178.51</f>
        <v>313747029.56</v>
      </c>
      <c r="H76" s="25">
        <f>SUM(B76:G76)</f>
        <v>313747029.56</v>
      </c>
      <c r="I76" s="64" t="s">
        <v>87</v>
      </c>
    </row>
    <row r="77" spans="1:10" ht="24">
      <c r="A77" s="55" t="s">
        <v>85</v>
      </c>
      <c r="B77" s="47"/>
      <c r="C77" s="47"/>
      <c r="D77" s="47"/>
      <c r="E77" s="47"/>
      <c r="F77" s="47"/>
      <c r="G77" s="47"/>
      <c r="H77" s="54"/>
      <c r="I77" s="66"/>
      <c r="J77" s="75"/>
    </row>
    <row r="78" spans="1:10" ht="24">
      <c r="A78" s="53" t="s">
        <v>50</v>
      </c>
      <c r="B78" s="67">
        <v>2897500</v>
      </c>
      <c r="C78" s="67">
        <v>16878200</v>
      </c>
      <c r="D78" s="67">
        <v>12069200</v>
      </c>
      <c r="E78" s="67">
        <v>2209700</v>
      </c>
      <c r="F78" s="67">
        <v>681500</v>
      </c>
      <c r="G78" s="67">
        <f>56392700-34736100</f>
        <v>21656600</v>
      </c>
      <c r="H78" s="25">
        <f aca="true" t="shared" si="2" ref="H78:H96">SUM(B78:G78)</f>
        <v>56392700</v>
      </c>
      <c r="I78" s="68" t="s">
        <v>76</v>
      </c>
      <c r="J78" s="75"/>
    </row>
    <row r="79" spans="1:10" ht="24">
      <c r="A79" s="53" t="s">
        <v>60</v>
      </c>
      <c r="B79" s="67"/>
      <c r="C79" s="67">
        <v>1248000</v>
      </c>
      <c r="D79" s="67">
        <v>1341200</v>
      </c>
      <c r="E79" s="67"/>
      <c r="F79" s="67"/>
      <c r="G79" s="67"/>
      <c r="H79" s="25">
        <f t="shared" si="2"/>
        <v>2589200</v>
      </c>
      <c r="I79" s="68" t="s">
        <v>109</v>
      </c>
      <c r="J79" s="57"/>
    </row>
    <row r="80" spans="1:9" ht="24">
      <c r="A80" s="53" t="s">
        <v>95</v>
      </c>
      <c r="B80" s="67">
        <v>100600</v>
      </c>
      <c r="C80" s="67">
        <v>8918200</v>
      </c>
      <c r="D80" s="67">
        <v>1352100</v>
      </c>
      <c r="E80" s="67">
        <v>171300</v>
      </c>
      <c r="F80" s="67"/>
      <c r="G80" s="67">
        <f>12027000-10542200</f>
        <v>1484800</v>
      </c>
      <c r="H80" s="25">
        <f t="shared" si="2"/>
        <v>12027000</v>
      </c>
      <c r="I80" s="79" t="s">
        <v>110</v>
      </c>
    </row>
    <row r="81" spans="1:9" ht="24">
      <c r="A81" s="53" t="s">
        <v>45</v>
      </c>
      <c r="B81" s="67">
        <v>7101400</v>
      </c>
      <c r="C81" s="67">
        <v>19569100</v>
      </c>
      <c r="D81" s="67">
        <v>4253300</v>
      </c>
      <c r="E81" s="67">
        <v>8020800</v>
      </c>
      <c r="F81" s="67">
        <v>1295200</v>
      </c>
      <c r="G81" s="67">
        <v>14433900</v>
      </c>
      <c r="H81" s="25">
        <f t="shared" si="2"/>
        <v>54673700</v>
      </c>
      <c r="I81" s="79" t="s">
        <v>110</v>
      </c>
    </row>
    <row r="82" spans="1:9" ht="24">
      <c r="A82" s="53" t="s">
        <v>96</v>
      </c>
      <c r="B82" s="67">
        <v>375000</v>
      </c>
      <c r="C82" s="67">
        <v>2193200</v>
      </c>
      <c r="D82" s="67">
        <v>1392200</v>
      </c>
      <c r="E82" s="67">
        <v>462800</v>
      </c>
      <c r="F82" s="67">
        <v>500000</v>
      </c>
      <c r="G82" s="67">
        <f>6005100-4923200</f>
        <v>1081900</v>
      </c>
      <c r="H82" s="25">
        <f t="shared" si="2"/>
        <v>6005100</v>
      </c>
      <c r="I82" s="79" t="s">
        <v>110</v>
      </c>
    </row>
    <row r="83" spans="1:9" ht="24">
      <c r="A83" s="53" t="s">
        <v>97</v>
      </c>
      <c r="B83" s="67">
        <v>66600</v>
      </c>
      <c r="C83" s="67">
        <v>143500</v>
      </c>
      <c r="D83" s="67">
        <v>1066400</v>
      </c>
      <c r="E83" s="67"/>
      <c r="F83" s="67">
        <v>273500</v>
      </c>
      <c r="G83" s="67"/>
      <c r="H83" s="25">
        <f t="shared" si="2"/>
        <v>1550000</v>
      </c>
      <c r="I83" s="79" t="s">
        <v>110</v>
      </c>
    </row>
    <row r="84" spans="1:9" ht="24">
      <c r="A84" s="53" t="s">
        <v>98</v>
      </c>
      <c r="B84" s="67">
        <v>410500</v>
      </c>
      <c r="C84" s="67">
        <v>2397000</v>
      </c>
      <c r="D84" s="67">
        <v>2819700</v>
      </c>
      <c r="E84" s="67"/>
      <c r="F84" s="67"/>
      <c r="G84" s="67">
        <v>2862800</v>
      </c>
      <c r="H84" s="25">
        <f t="shared" si="2"/>
        <v>8490000</v>
      </c>
      <c r="I84" s="79" t="s">
        <v>110</v>
      </c>
    </row>
    <row r="85" spans="1:9" ht="24">
      <c r="A85" s="53" t="s">
        <v>99</v>
      </c>
      <c r="B85" s="67"/>
      <c r="C85" s="67">
        <v>744600</v>
      </c>
      <c r="D85" s="67">
        <v>1331900</v>
      </c>
      <c r="E85" s="67">
        <v>26900</v>
      </c>
      <c r="F85" s="67"/>
      <c r="G85" s="67">
        <f>3873900-2103400</f>
        <v>1770500</v>
      </c>
      <c r="H85" s="25">
        <f t="shared" si="2"/>
        <v>3873900</v>
      </c>
      <c r="I85" s="79" t="s">
        <v>110</v>
      </c>
    </row>
    <row r="86" spans="1:9" ht="24">
      <c r="A86" s="53" t="s">
        <v>100</v>
      </c>
      <c r="B86" s="67"/>
      <c r="C86" s="67">
        <v>6105500</v>
      </c>
      <c r="D86" s="67">
        <v>629800</v>
      </c>
      <c r="E86" s="67"/>
      <c r="F86" s="67"/>
      <c r="G86" s="67">
        <v>51100</v>
      </c>
      <c r="H86" s="25">
        <f t="shared" si="2"/>
        <v>6786400</v>
      </c>
      <c r="I86" s="79" t="s">
        <v>110</v>
      </c>
    </row>
    <row r="87" spans="1:9" ht="24">
      <c r="A87" s="53" t="s">
        <v>101</v>
      </c>
      <c r="B87" s="67"/>
      <c r="C87" s="67">
        <v>1672000</v>
      </c>
      <c r="D87" s="67">
        <v>1052500</v>
      </c>
      <c r="E87" s="67">
        <v>95700</v>
      </c>
      <c r="F87" s="67"/>
      <c r="G87" s="67">
        <v>583000</v>
      </c>
      <c r="H87" s="25">
        <f t="shared" si="2"/>
        <v>3403200</v>
      </c>
      <c r="I87" s="79" t="s">
        <v>110</v>
      </c>
    </row>
    <row r="88" spans="1:9" ht="24">
      <c r="A88" s="53" t="s">
        <v>102</v>
      </c>
      <c r="B88" s="67">
        <v>11800</v>
      </c>
      <c r="C88" s="67">
        <v>5072600</v>
      </c>
      <c r="D88" s="67">
        <v>1438000</v>
      </c>
      <c r="E88" s="67">
        <v>752800</v>
      </c>
      <c r="F88" s="67">
        <v>76100</v>
      </c>
      <c r="G88" s="67">
        <v>9449900</v>
      </c>
      <c r="H88" s="25">
        <f t="shared" si="2"/>
        <v>16801200</v>
      </c>
      <c r="I88" s="79" t="s">
        <v>110</v>
      </c>
    </row>
    <row r="89" spans="1:9" ht="24">
      <c r="A89" s="53" t="s">
        <v>103</v>
      </c>
      <c r="B89" s="67">
        <v>551000</v>
      </c>
      <c r="C89" s="67">
        <v>12199900</v>
      </c>
      <c r="D89" s="67">
        <v>3657800</v>
      </c>
      <c r="E89" s="67">
        <v>616700</v>
      </c>
      <c r="F89" s="67"/>
      <c r="G89" s="67">
        <v>10321100</v>
      </c>
      <c r="H89" s="25">
        <f t="shared" si="2"/>
        <v>27346500</v>
      </c>
      <c r="I89" s="79" t="s">
        <v>110</v>
      </c>
    </row>
    <row r="90" spans="1:9" ht="24">
      <c r="A90" s="53" t="s">
        <v>104</v>
      </c>
      <c r="B90" s="67">
        <v>24917700</v>
      </c>
      <c r="C90" s="67">
        <v>27038200</v>
      </c>
      <c r="D90" s="67">
        <v>1135200</v>
      </c>
      <c r="E90" s="67">
        <v>3813500</v>
      </c>
      <c r="F90" s="67">
        <v>1070800</v>
      </c>
      <c r="G90" s="67">
        <v>17780800</v>
      </c>
      <c r="H90" s="25">
        <f t="shared" si="2"/>
        <v>75756200</v>
      </c>
      <c r="I90" s="79" t="s">
        <v>110</v>
      </c>
    </row>
    <row r="91" spans="1:9" ht="24">
      <c r="A91" s="53" t="s">
        <v>105</v>
      </c>
      <c r="B91" s="67">
        <v>1628200</v>
      </c>
      <c r="C91" s="67">
        <v>3260800</v>
      </c>
      <c r="D91" s="67">
        <v>2674800</v>
      </c>
      <c r="E91" s="67">
        <v>167700</v>
      </c>
      <c r="F91" s="67">
        <v>682300</v>
      </c>
      <c r="G91" s="67">
        <v>5213200</v>
      </c>
      <c r="H91" s="25">
        <f t="shared" si="2"/>
        <v>13627000</v>
      </c>
      <c r="I91" s="79" t="s">
        <v>110</v>
      </c>
    </row>
    <row r="92" spans="1:9" ht="24">
      <c r="A92" s="53" t="s">
        <v>106</v>
      </c>
      <c r="B92" s="67">
        <v>338500</v>
      </c>
      <c r="C92" s="67">
        <v>4519800</v>
      </c>
      <c r="D92" s="67">
        <v>1351000</v>
      </c>
      <c r="E92" s="67">
        <v>628900</v>
      </c>
      <c r="F92" s="67">
        <v>50700</v>
      </c>
      <c r="G92" s="67">
        <v>33822400</v>
      </c>
      <c r="H92" s="25">
        <f t="shared" si="2"/>
        <v>40711300</v>
      </c>
      <c r="I92" s="79" t="s">
        <v>110</v>
      </c>
    </row>
    <row r="93" spans="1:9" ht="24">
      <c r="A93" s="53" t="s">
        <v>53</v>
      </c>
      <c r="B93" s="67">
        <v>922700</v>
      </c>
      <c r="C93" s="67">
        <v>3680500</v>
      </c>
      <c r="D93" s="67">
        <v>2698200</v>
      </c>
      <c r="E93" s="67">
        <v>407900</v>
      </c>
      <c r="F93" s="67">
        <v>125100</v>
      </c>
      <c r="G93" s="67">
        <v>9888600</v>
      </c>
      <c r="H93" s="25">
        <f t="shared" si="2"/>
        <v>17723000</v>
      </c>
      <c r="I93" s="79" t="s">
        <v>110</v>
      </c>
    </row>
    <row r="94" spans="1:9" ht="24">
      <c r="A94" s="53" t="s">
        <v>107</v>
      </c>
      <c r="B94" s="67">
        <v>683100</v>
      </c>
      <c r="C94" s="67">
        <v>3995700</v>
      </c>
      <c r="D94" s="67">
        <v>1271800</v>
      </c>
      <c r="E94" s="67">
        <v>523500</v>
      </c>
      <c r="F94" s="67"/>
      <c r="G94" s="67">
        <v>8470900</v>
      </c>
      <c r="H94" s="25">
        <f t="shared" si="2"/>
        <v>14945000</v>
      </c>
      <c r="I94" s="79" t="s">
        <v>110</v>
      </c>
    </row>
    <row r="95" spans="1:9" ht="24">
      <c r="A95" s="53" t="s">
        <v>108</v>
      </c>
      <c r="B95" s="67">
        <v>717500</v>
      </c>
      <c r="C95" s="67">
        <v>1602600</v>
      </c>
      <c r="D95" s="67">
        <v>1566300</v>
      </c>
      <c r="E95" s="67">
        <v>965800</v>
      </c>
      <c r="F95" s="67">
        <v>445400</v>
      </c>
      <c r="G95" s="67">
        <v>6534000</v>
      </c>
      <c r="H95" s="25">
        <f t="shared" si="2"/>
        <v>11831600</v>
      </c>
      <c r="I95" s="79" t="s">
        <v>110</v>
      </c>
    </row>
    <row r="96" spans="1:9" ht="24">
      <c r="A96" s="69" t="s">
        <v>86</v>
      </c>
      <c r="B96" s="67"/>
      <c r="C96" s="67"/>
      <c r="D96" s="67"/>
      <c r="E96" s="67"/>
      <c r="F96" s="67"/>
      <c r="G96" s="67">
        <v>26071560</v>
      </c>
      <c r="H96" s="25">
        <f t="shared" si="2"/>
        <v>26071560</v>
      </c>
      <c r="I96" s="64" t="s">
        <v>87</v>
      </c>
    </row>
    <row r="97" spans="1:9" ht="24" thickBot="1">
      <c r="A97" s="70" t="s">
        <v>88</v>
      </c>
      <c r="B97" s="71">
        <f aca="true" t="shared" si="3" ref="B97:H97">SUM(B6:B96)</f>
        <v>49016971.51</v>
      </c>
      <c r="C97" s="71">
        <f t="shared" si="3"/>
        <v>694492228.0400001</v>
      </c>
      <c r="D97" s="71">
        <f t="shared" si="3"/>
        <v>56738968.74</v>
      </c>
      <c r="E97" s="71">
        <f t="shared" si="3"/>
        <v>23002673.75</v>
      </c>
      <c r="F97" s="71">
        <f t="shared" si="3"/>
        <v>11729076.16</v>
      </c>
      <c r="G97" s="71">
        <f t="shared" si="3"/>
        <v>652591580.42</v>
      </c>
      <c r="H97" s="71">
        <f t="shared" si="3"/>
        <v>1487571498.62</v>
      </c>
      <c r="I97" s="72"/>
    </row>
    <row r="98" spans="5:8" ht="24.75" thickTop="1">
      <c r="E98" s="58"/>
      <c r="H98" s="56"/>
    </row>
    <row r="99" spans="2:9" ht="24">
      <c r="B99" s="58"/>
      <c r="D99" s="58"/>
      <c r="E99" s="58"/>
      <c r="I99" s="17">
        <v>40816</v>
      </c>
    </row>
    <row r="100" spans="2:8" ht="24">
      <c r="B100" s="56"/>
      <c r="C100" s="57"/>
      <c r="H100" s="57"/>
    </row>
    <row r="101" spans="3:8" ht="24">
      <c r="C101" s="57"/>
      <c r="E101" s="57"/>
      <c r="H101" s="57"/>
    </row>
    <row r="102" spans="2:8" ht="24">
      <c r="B102" s="56"/>
      <c r="C102" s="57"/>
      <c r="E102" s="56"/>
      <c r="H102" s="57"/>
    </row>
    <row r="103" spans="3:8" ht="24">
      <c r="C103" s="57"/>
      <c r="E103" s="56"/>
      <c r="H103" s="56"/>
    </row>
    <row r="104" spans="2:3" ht="24">
      <c r="B104" s="56"/>
      <c r="C104" s="57"/>
    </row>
    <row r="105" ht="24">
      <c r="C105" s="57"/>
    </row>
    <row r="106" ht="24">
      <c r="C106" s="57"/>
    </row>
    <row r="107" ht="24">
      <c r="B107" s="56"/>
    </row>
  </sheetData>
  <sheetProtection/>
  <mergeCells count="7">
    <mergeCell ref="A18:A19"/>
    <mergeCell ref="A1:I1"/>
    <mergeCell ref="A4:A5"/>
    <mergeCell ref="B4:G4"/>
    <mergeCell ref="H4:H5"/>
    <mergeCell ref="I4:I5"/>
    <mergeCell ref="A2:I2"/>
  </mergeCells>
  <printOptions/>
  <pageMargins left="0.2362204724409449" right="0.4330708661417323" top="0.53" bottom="0.15748031496062992" header="0.4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" sqref="K4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21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 </cp:lastModifiedBy>
  <cp:lastPrinted>2013-06-12T05:12:05Z</cp:lastPrinted>
  <dcterms:created xsi:type="dcterms:W3CDTF">2005-01-26T04:21:05Z</dcterms:created>
  <dcterms:modified xsi:type="dcterms:W3CDTF">2013-06-13T02:45:54Z</dcterms:modified>
  <cp:category/>
  <cp:version/>
  <cp:contentType/>
  <cp:contentStatus/>
</cp:coreProperties>
</file>