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11352" windowHeight="6156" tabRatio="598" activeTab="0"/>
  </bookViews>
  <sheets>
    <sheet name="Type" sheetId="1" r:id="rId1"/>
    <sheet name="sector" sheetId="2" r:id="rId2"/>
    <sheet name="sector51tica แยกสาขา" sheetId="3" r:id="rId3"/>
  </sheets>
  <definedNames>
    <definedName name="_xlnm.Print_Area" localSheetId="1">'sector'!$A$1:$I$69</definedName>
    <definedName name="_xlnm.Print_Area" localSheetId="2">'sector51tica แยกสาขา'!$A$1:$I$88</definedName>
    <definedName name="_xlnm.Print_Area" localSheetId="0">'Type'!$A$1:$E$30</definedName>
    <definedName name="_xlnm.Print_Titles" localSheetId="1">'sector'!$1:$4</definedName>
    <definedName name="_xlnm.Print_Titles" localSheetId="2">'sector51tica แยกสาขา'!$1:$4</definedName>
  </definedNames>
  <calcPr fullCalcOnLoad="1"/>
</workbook>
</file>

<file path=xl/sharedStrings.xml><?xml version="1.0" encoding="utf-8"?>
<sst xmlns="http://schemas.openxmlformats.org/spreadsheetml/2006/main" count="283" uniqueCount="112">
  <si>
    <t>Cambodia</t>
  </si>
  <si>
    <t>Lao PDR</t>
  </si>
  <si>
    <t>Total</t>
  </si>
  <si>
    <t>Thailand Official Development Assistance 2008</t>
  </si>
  <si>
    <t>Type of Cooperation</t>
  </si>
  <si>
    <t>Ministry of Justice</t>
  </si>
  <si>
    <t>Ministry of Labour</t>
  </si>
  <si>
    <t>Ministry of Commerce</t>
  </si>
  <si>
    <t>training, study visit, fellowship</t>
  </si>
  <si>
    <t>Ministry of Energy</t>
  </si>
  <si>
    <t>Bank of Thailand</t>
  </si>
  <si>
    <t>Myanmar</t>
  </si>
  <si>
    <t xml:space="preserve"> Vietnam</t>
  </si>
  <si>
    <t>others</t>
  </si>
  <si>
    <t>Value (Bath)</t>
  </si>
  <si>
    <t>Ministry of Defence</t>
  </si>
  <si>
    <t>Office of the Prime Minister</t>
  </si>
  <si>
    <t>Ministry of Natural Resources &amp; Environment</t>
  </si>
  <si>
    <t>Ministry of Transport</t>
  </si>
  <si>
    <t>Ministry of Interior</t>
  </si>
  <si>
    <t>project</t>
  </si>
  <si>
    <t>Ministry of Industry</t>
  </si>
  <si>
    <t>Ministry of Information and Communication Technology</t>
  </si>
  <si>
    <t>EXIM Bank</t>
  </si>
  <si>
    <t>loan</t>
  </si>
  <si>
    <t>Ministry of Science and Technology</t>
  </si>
  <si>
    <t>projects &amp; training, equipment</t>
  </si>
  <si>
    <t>contribution</t>
  </si>
  <si>
    <t xml:space="preserve">Commission on Higher Education </t>
  </si>
  <si>
    <t xml:space="preserve">Ministry of Agriculture &amp; Cooperation </t>
  </si>
  <si>
    <t>Ministry of Tourism &amp; Sports</t>
  </si>
  <si>
    <t>Ministry of Social Development &amp; Human Security</t>
  </si>
  <si>
    <t>- Agriculture</t>
  </si>
  <si>
    <t>- Humanitarian Aid</t>
  </si>
  <si>
    <t>- Education</t>
  </si>
  <si>
    <t>training</t>
  </si>
  <si>
    <t>China</t>
  </si>
  <si>
    <t>- Government and Civil Society, General</t>
  </si>
  <si>
    <t>- Other Social Infrastructure and Services</t>
  </si>
  <si>
    <t>- Energy Generation and Supply</t>
  </si>
  <si>
    <t>meeting</t>
  </si>
  <si>
    <t>- General Environmental Protection</t>
  </si>
  <si>
    <t>- Water Supply and Sanitation</t>
  </si>
  <si>
    <t>- Mining</t>
  </si>
  <si>
    <t>training,fellowship</t>
  </si>
  <si>
    <t>- Business and Other Services</t>
  </si>
  <si>
    <t>- Economic Infrastructure and Services</t>
  </si>
  <si>
    <t>- Communication</t>
  </si>
  <si>
    <t>researcher</t>
  </si>
  <si>
    <t>- Banking and Financial Services</t>
  </si>
  <si>
    <t>- Industry</t>
  </si>
  <si>
    <t>- Forestry</t>
  </si>
  <si>
    <t>- Health</t>
  </si>
  <si>
    <t>fellowship</t>
  </si>
  <si>
    <t>fellowship, training</t>
  </si>
  <si>
    <t>Ministry of Education</t>
  </si>
  <si>
    <t xml:space="preserve">experts </t>
  </si>
  <si>
    <t>study visit, training, contribution</t>
  </si>
  <si>
    <t xml:space="preserve">Fllowship </t>
  </si>
  <si>
    <t xml:space="preserve">training, study visit, experts </t>
  </si>
  <si>
    <t>training, experts</t>
  </si>
  <si>
    <t>training, contribution</t>
  </si>
  <si>
    <t>concessionary loan</t>
  </si>
  <si>
    <t>Neighbouring Countries Economic Development Cooperation Agency (Public Organization)</t>
  </si>
  <si>
    <t>fellowship,research, training</t>
  </si>
  <si>
    <t>Ministry/ Sector</t>
  </si>
  <si>
    <t>Recipient</t>
  </si>
  <si>
    <t>training, study visit, fellowship,</t>
  </si>
  <si>
    <t>- Economic</t>
  </si>
  <si>
    <t>- Energy</t>
  </si>
  <si>
    <t>- Information Technology</t>
  </si>
  <si>
    <t>- Infrastructure &amp; Public Utilities</t>
  </si>
  <si>
    <t>- Justice</t>
  </si>
  <si>
    <t>- Labour &amp; Employment</t>
  </si>
  <si>
    <t>- Natural Resources and Environment</t>
  </si>
  <si>
    <t>- Public Administration</t>
  </si>
  <si>
    <t>- Public Health</t>
  </si>
  <si>
    <t>- Science &amp; Technology</t>
  </si>
  <si>
    <t>- Social Development Welfare</t>
  </si>
  <si>
    <t>- Tourism</t>
  </si>
  <si>
    <t>- Trade,Services &amp; Investment</t>
  </si>
  <si>
    <t>- Transport</t>
  </si>
  <si>
    <t xml:space="preserve">- Multisector/Cross-Cutting </t>
  </si>
  <si>
    <t>TICA</t>
  </si>
  <si>
    <t>experts, equipment</t>
  </si>
  <si>
    <t>expert,project</t>
  </si>
  <si>
    <t>Ministry of Foreign Affairs (excl. TICA)</t>
  </si>
  <si>
    <t>equipment,contribution</t>
  </si>
  <si>
    <t xml:space="preserve">experts, training,equipment programme under ACMECS-AC5 </t>
  </si>
  <si>
    <t>Thailand Official Development Assistance in January - December 2008</t>
  </si>
  <si>
    <t>Ministries</t>
  </si>
  <si>
    <t>Grant/Technical Cooperation</t>
  </si>
  <si>
    <t>Contributions to International Org.</t>
  </si>
  <si>
    <t>Loans</t>
  </si>
  <si>
    <t>Total (Thai Baht)</t>
  </si>
  <si>
    <t>Exim Bank</t>
  </si>
  <si>
    <t>Commission on Higher Education</t>
  </si>
  <si>
    <t>Ministry of Natural Resources and Environment</t>
  </si>
  <si>
    <t>Ministry of Agriculture and Cooperatives</t>
  </si>
  <si>
    <t>Ministry of Tourism and Sports</t>
  </si>
  <si>
    <t>Ministry of Social Development and Human Security</t>
  </si>
  <si>
    <t>Ministry of Public Health</t>
  </si>
  <si>
    <t>n/a</t>
  </si>
  <si>
    <t>Ministry of Culture</t>
  </si>
  <si>
    <t>Total (Baht)</t>
  </si>
  <si>
    <t>*  n/a มีหนังสือแจ้งว่าไม่มีข้อมูล</t>
  </si>
  <si>
    <t xml:space="preserve">NEDA </t>
  </si>
  <si>
    <t xml:space="preserve">experts, training, Equipment programme under ACMECS-AC5 </t>
  </si>
  <si>
    <t>Ministry of Foreign Affairs</t>
  </si>
  <si>
    <t>expert,contribution</t>
  </si>
  <si>
    <t xml:space="preserve">- Education </t>
  </si>
  <si>
    <r>
      <t>-</t>
    </r>
    <r>
      <rPr>
        <sz val="16"/>
        <rFont val="TH SarabunPSK"/>
        <family val="2"/>
      </rPr>
      <t xml:space="preserve"> Multisector/Cross-Cutting</t>
    </r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</si>
</sst>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[$-409]d\-mmm\-yyyy;@"/>
    <numFmt numFmtId="200" formatCode="_-* #,##0_-;\-* #,##0_-;_-* &quot;-&quot;??_-;_-@_-"/>
    <numFmt numFmtId="201" formatCode="[$-107041E]d\ mmm\ yy;@"/>
    <numFmt numFmtId="202" formatCode="mmm\-yyyy"/>
    <numFmt numFmtId="203" formatCode="0.0000000"/>
    <numFmt numFmtId="204" formatCode="0.000000"/>
    <numFmt numFmtId="205" formatCode="0.00000"/>
    <numFmt numFmtId="206" formatCode="0.0000"/>
    <numFmt numFmtId="207" formatCode="0.000"/>
  </numFmts>
  <fonts count="31">
    <font>
      <sz val="14"/>
      <name val="Cordia New"/>
      <family val="0"/>
    </font>
    <font>
      <b/>
      <sz val="16"/>
      <name val="Cordia New"/>
      <family val="2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0"/>
      <name val="Arial"/>
      <family val="2"/>
    </font>
    <font>
      <sz val="1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Arial"/>
      <family val="2"/>
    </font>
    <font>
      <b/>
      <sz val="18"/>
      <name val="Cordia New"/>
      <family val="2"/>
    </font>
    <font>
      <sz val="10"/>
      <name val="TH SarabunPSK"/>
      <family val="2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6"/>
      <color indexed="10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>
      <alignment/>
      <protection/>
    </xf>
  </cellStyleXfs>
  <cellXfs count="123">
    <xf numFmtId="0" fontId="0" fillId="0" borderId="0" xfId="0" applyAlignment="1">
      <alignment/>
    </xf>
    <xf numFmtId="0" fontId="4" fillId="0" borderId="0" xfId="60">
      <alignment/>
      <protection/>
    </xf>
    <xf numFmtId="194" fontId="4" fillId="0" borderId="0" xfId="45" applyAlignment="1">
      <alignment/>
    </xf>
    <xf numFmtId="0" fontId="5" fillId="0" borderId="0" xfId="60" applyFont="1">
      <alignment/>
      <protection/>
    </xf>
    <xf numFmtId="0" fontId="24" fillId="0" borderId="0" xfId="60" applyFont="1">
      <alignment/>
      <protection/>
    </xf>
    <xf numFmtId="194" fontId="4" fillId="0" borderId="10" xfId="45" applyBorder="1" applyAlignment="1">
      <alignment/>
    </xf>
    <xf numFmtId="0" fontId="4" fillId="0" borderId="10" xfId="60" applyBorder="1">
      <alignment/>
      <protection/>
    </xf>
    <xf numFmtId="43" fontId="4" fillId="0" borderId="0" xfId="60" applyNumberFormat="1">
      <alignment/>
      <protection/>
    </xf>
    <xf numFmtId="43" fontId="4" fillId="0" borderId="0" xfId="42" applyFont="1" applyAlignment="1">
      <alignment/>
    </xf>
    <xf numFmtId="194" fontId="4" fillId="0" borderId="0" xfId="60" applyNumberFormat="1">
      <alignment/>
      <protection/>
    </xf>
    <xf numFmtId="194" fontId="4" fillId="0" borderId="0" xfId="44" applyFont="1" applyAlignment="1">
      <alignment vertical="center" wrapText="1"/>
    </xf>
    <xf numFmtId="0" fontId="4" fillId="0" borderId="0" xfId="59">
      <alignment/>
      <protection/>
    </xf>
    <xf numFmtId="0" fontId="4" fillId="0" borderId="0" xfId="59" applyFont="1">
      <alignment/>
      <protection/>
    </xf>
    <xf numFmtId="194" fontId="4" fillId="0" borderId="0" xfId="44" applyAlignment="1">
      <alignment/>
    </xf>
    <xf numFmtId="194" fontId="4" fillId="0" borderId="0" xfId="59" applyNumberFormat="1">
      <alignment/>
      <protection/>
    </xf>
    <xf numFmtId="0" fontId="4" fillId="0" borderId="0" xfId="59" applyFont="1" applyFill="1" applyBorder="1">
      <alignment/>
      <protection/>
    </xf>
    <xf numFmtId="0" fontId="5" fillId="0" borderId="11" xfId="60" applyFont="1" applyBorder="1">
      <alignment/>
      <protection/>
    </xf>
    <xf numFmtId="0" fontId="4" fillId="0" borderId="0" xfId="60" applyBorder="1">
      <alignment/>
      <protection/>
    </xf>
    <xf numFmtId="194" fontId="25" fillId="0" borderId="0" xfId="44" applyFont="1" applyAlignment="1">
      <alignment vertical="center" wrapText="1"/>
    </xf>
    <xf numFmtId="0" fontId="25" fillId="0" borderId="0" xfId="59" applyFont="1" applyFill="1" applyBorder="1">
      <alignment/>
      <protection/>
    </xf>
    <xf numFmtId="194" fontId="27" fillId="0" borderId="0" xfId="44" applyFont="1" applyAlignment="1">
      <alignment horizontal="center" vertical="center" wrapText="1"/>
    </xf>
    <xf numFmtId="194" fontId="27" fillId="0" borderId="0" xfId="44" applyFont="1" applyAlignment="1">
      <alignment horizontal="right" vertical="center" wrapText="1"/>
    </xf>
    <xf numFmtId="194" fontId="27" fillId="0" borderId="12" xfId="44" applyFont="1" applyBorder="1" applyAlignment="1">
      <alignment vertical="center" wrapText="1"/>
    </xf>
    <xf numFmtId="194" fontId="27" fillId="0" borderId="13" xfId="44" applyFont="1" applyBorder="1" applyAlignment="1">
      <alignment horizontal="center" vertical="center" wrapText="1"/>
    </xf>
    <xf numFmtId="194" fontId="27" fillId="0" borderId="12" xfId="44" applyFont="1" applyBorder="1" applyAlignment="1">
      <alignment horizontal="center" vertical="center" wrapText="1"/>
    </xf>
    <xf numFmtId="194" fontId="27" fillId="0" borderId="14" xfId="44" applyFont="1" applyBorder="1" applyAlignment="1">
      <alignment vertical="center" wrapText="1"/>
    </xf>
    <xf numFmtId="194" fontId="27" fillId="0" borderId="15" xfId="44" applyFont="1" applyBorder="1" applyAlignment="1">
      <alignment horizontal="center" vertical="center" wrapText="1"/>
    </xf>
    <xf numFmtId="194" fontId="27" fillId="0" borderId="14" xfId="44" applyFont="1" applyBorder="1" applyAlignment="1">
      <alignment horizontal="center" vertical="center" wrapText="1"/>
    </xf>
    <xf numFmtId="194" fontId="27" fillId="0" borderId="16" xfId="44" applyFont="1" applyFill="1" applyBorder="1" applyAlignment="1">
      <alignment horizontal="right" vertical="center" wrapText="1"/>
    </xf>
    <xf numFmtId="194" fontId="27" fillId="0" borderId="17" xfId="44" applyFont="1" applyBorder="1" applyAlignment="1">
      <alignment vertical="center" wrapText="1"/>
    </xf>
    <xf numFmtId="194" fontId="27" fillId="0" borderId="18" xfId="44" applyFont="1" applyBorder="1" applyAlignment="1">
      <alignment/>
    </xf>
    <xf numFmtId="194" fontId="27" fillId="0" borderId="18" xfId="44" applyFont="1" applyBorder="1" applyAlignment="1">
      <alignment vertical="center"/>
    </xf>
    <xf numFmtId="43" fontId="27" fillId="0" borderId="16" xfId="59" applyNumberFormat="1" applyFont="1" applyBorder="1" applyAlignment="1">
      <alignment vertical="center"/>
      <protection/>
    </xf>
    <xf numFmtId="194" fontId="27" fillId="0" borderId="18" xfId="44" applyFont="1" applyBorder="1" applyAlignment="1">
      <alignment horizontal="right" vertical="center" wrapText="1"/>
    </xf>
    <xf numFmtId="194" fontId="27" fillId="0" borderId="18" xfId="44" applyFont="1" applyFill="1" applyBorder="1" applyAlignment="1">
      <alignment vertical="center" wrapText="1"/>
    </xf>
    <xf numFmtId="194" fontId="27" fillId="0" borderId="18" xfId="44" applyFont="1" applyFill="1" applyBorder="1" applyAlignment="1">
      <alignment vertical="center"/>
    </xf>
    <xf numFmtId="194" fontId="27" fillId="0" borderId="17" xfId="44" applyFont="1" applyFill="1" applyBorder="1" applyAlignment="1">
      <alignment horizontal="right" vertical="center" wrapText="1"/>
    </xf>
    <xf numFmtId="194" fontId="27" fillId="0" borderId="17" xfId="44" applyFont="1" applyFill="1" applyBorder="1" applyAlignment="1">
      <alignment vertical="center" wrapText="1"/>
    </xf>
    <xf numFmtId="194" fontId="27" fillId="0" borderId="18" xfId="44" applyFont="1" applyBorder="1" applyAlignment="1">
      <alignment horizontal="left" vertical="center" wrapText="1"/>
    </xf>
    <xf numFmtId="43" fontId="27" fillId="0" borderId="0" xfId="59" applyNumberFormat="1" applyFont="1" applyBorder="1" applyAlignment="1">
      <alignment vertical="center"/>
      <protection/>
    </xf>
    <xf numFmtId="194" fontId="27" fillId="0" borderId="17" xfId="44" applyFont="1" applyFill="1" applyBorder="1" applyAlignment="1">
      <alignment vertical="center"/>
    </xf>
    <xf numFmtId="194" fontId="27" fillId="0" borderId="16" xfId="44" applyFont="1" applyBorder="1" applyAlignment="1">
      <alignment vertical="center" wrapText="1"/>
    </xf>
    <xf numFmtId="43" fontId="27" fillId="0" borderId="18" xfId="59" applyNumberFormat="1" applyFont="1" applyBorder="1" applyAlignment="1">
      <alignment vertical="center"/>
      <protection/>
    </xf>
    <xf numFmtId="194" fontId="27" fillId="0" borderId="18" xfId="44" applyFont="1" applyFill="1" applyBorder="1" applyAlignment="1">
      <alignment horizontal="center" vertical="center" wrapText="1"/>
    </xf>
    <xf numFmtId="194" fontId="27" fillId="0" borderId="17" xfId="44" applyFont="1" applyFill="1" applyBorder="1" applyAlignment="1">
      <alignment horizontal="center" vertical="center" wrapText="1"/>
    </xf>
    <xf numFmtId="194" fontId="27" fillId="0" borderId="16" xfId="44" applyFont="1" applyBorder="1" applyAlignment="1">
      <alignment horizontal="left" vertical="center" wrapText="1"/>
    </xf>
    <xf numFmtId="194" fontId="27" fillId="0" borderId="16" xfId="44" applyFont="1" applyFill="1" applyBorder="1" applyAlignment="1">
      <alignment horizontal="center" vertical="center" wrapText="1"/>
    </xf>
    <xf numFmtId="194" fontId="27" fillId="0" borderId="19" xfId="44" applyFont="1" applyFill="1" applyBorder="1" applyAlignment="1">
      <alignment horizontal="center" vertical="center" wrapText="1"/>
    </xf>
    <xf numFmtId="194" fontId="27" fillId="0" borderId="18" xfId="44" applyFont="1" applyBorder="1" applyAlignment="1">
      <alignment vertical="center" wrapText="1"/>
    </xf>
    <xf numFmtId="194" fontId="27" fillId="0" borderId="16" xfId="44" applyFont="1" applyBorder="1" applyAlignment="1">
      <alignment horizontal="right" vertical="center" wrapText="1"/>
    </xf>
    <xf numFmtId="194" fontId="27" fillId="0" borderId="16" xfId="44" applyFont="1" applyFill="1" applyBorder="1" applyAlignment="1">
      <alignment vertical="center" wrapText="1"/>
    </xf>
    <xf numFmtId="194" fontId="27" fillId="0" borderId="20" xfId="44" applyFont="1" applyBorder="1" applyAlignment="1">
      <alignment vertical="center" wrapText="1"/>
    </xf>
    <xf numFmtId="194" fontId="27" fillId="0" borderId="11" xfId="44" applyFont="1" applyFill="1" applyBorder="1" applyAlignment="1">
      <alignment vertical="center" wrapText="1"/>
    </xf>
    <xf numFmtId="43" fontId="27" fillId="0" borderId="21" xfId="59" applyNumberFormat="1" applyFont="1" applyBorder="1" applyAlignment="1">
      <alignment vertical="center" wrapText="1"/>
      <protection/>
    </xf>
    <xf numFmtId="43" fontId="27" fillId="0" borderId="16" xfId="44" applyNumberFormat="1" applyFont="1" applyBorder="1" applyAlignment="1">
      <alignment vertical="center"/>
    </xf>
    <xf numFmtId="194" fontId="27" fillId="0" borderId="17" xfId="44" applyFont="1" applyBorder="1" applyAlignment="1">
      <alignment horizontal="right" vertical="center"/>
    </xf>
    <xf numFmtId="194" fontId="27" fillId="0" borderId="0" xfId="44" applyFont="1" applyBorder="1" applyAlignment="1">
      <alignment vertical="center" wrapText="1"/>
    </xf>
    <xf numFmtId="194" fontId="28" fillId="0" borderId="0" xfId="44" applyFont="1" applyAlignment="1">
      <alignment vertical="center" wrapText="1"/>
    </xf>
    <xf numFmtId="199" fontId="28" fillId="0" borderId="0" xfId="44" applyNumberFormat="1" applyFont="1" applyAlignment="1">
      <alignment vertical="center" wrapText="1"/>
    </xf>
    <xf numFmtId="0" fontId="28" fillId="0" borderId="0" xfId="59" applyFont="1" applyFill="1" applyBorder="1">
      <alignment/>
      <protection/>
    </xf>
    <xf numFmtId="0" fontId="27" fillId="0" borderId="22" xfId="60" applyFont="1" applyBorder="1" applyAlignment="1">
      <alignment horizontal="center"/>
      <protection/>
    </xf>
    <xf numFmtId="0" fontId="27" fillId="0" borderId="12" xfId="60" applyFont="1" applyBorder="1" applyAlignment="1">
      <alignment horizontal="center"/>
      <protection/>
    </xf>
    <xf numFmtId="0" fontId="27" fillId="0" borderId="18" xfId="60" applyFont="1" applyBorder="1">
      <alignment/>
      <protection/>
    </xf>
    <xf numFmtId="43" fontId="28" fillId="0" borderId="17" xfId="42" applyFont="1" applyBorder="1" applyAlignment="1">
      <alignment/>
    </xf>
    <xf numFmtId="0" fontId="28" fillId="0" borderId="17" xfId="60" applyFont="1" applyBorder="1">
      <alignment/>
      <protection/>
    </xf>
    <xf numFmtId="194" fontId="28" fillId="0" borderId="18" xfId="45" applyFont="1" applyBorder="1" applyAlignment="1">
      <alignment/>
    </xf>
    <xf numFmtId="0" fontId="28" fillId="0" borderId="18" xfId="60" applyFont="1" applyBorder="1">
      <alignment/>
      <protection/>
    </xf>
    <xf numFmtId="0" fontId="28" fillId="0" borderId="18" xfId="60" applyFont="1" applyBorder="1" quotePrefix="1">
      <alignment/>
      <protection/>
    </xf>
    <xf numFmtId="43" fontId="28" fillId="0" borderId="18" xfId="42" applyFont="1" applyBorder="1" applyAlignment="1">
      <alignment/>
    </xf>
    <xf numFmtId="0" fontId="27" fillId="0" borderId="18" xfId="0" applyFont="1" applyBorder="1" applyAlignment="1">
      <alignment vertical="top" wrapText="1"/>
    </xf>
    <xf numFmtId="0" fontId="27" fillId="0" borderId="18" xfId="0" applyFont="1" applyBorder="1" applyAlignment="1">
      <alignment/>
    </xf>
    <xf numFmtId="0" fontId="28" fillId="0" borderId="18" xfId="0" applyFont="1" applyBorder="1" applyAlignment="1" quotePrefix="1">
      <alignment/>
    </xf>
    <xf numFmtId="0" fontId="27" fillId="0" borderId="18" xfId="60" applyFont="1" applyBorder="1" quotePrefix="1">
      <alignment/>
      <protection/>
    </xf>
    <xf numFmtId="0" fontId="28" fillId="0" borderId="18" xfId="0" applyFont="1" applyBorder="1" applyAlignment="1" quotePrefix="1">
      <alignment vertical="center"/>
    </xf>
    <xf numFmtId="0" fontId="25" fillId="0" borderId="18" xfId="60" applyFont="1" applyBorder="1">
      <alignment/>
      <protection/>
    </xf>
    <xf numFmtId="43" fontId="29" fillId="0" borderId="18" xfId="0" applyNumberFormat="1" applyFont="1" applyBorder="1" applyAlignment="1">
      <alignment/>
    </xf>
    <xf numFmtId="43" fontId="28" fillId="0" borderId="18" xfId="0" applyNumberFormat="1" applyFont="1" applyBorder="1" applyAlignment="1">
      <alignment/>
    </xf>
    <xf numFmtId="43" fontId="28" fillId="0" borderId="18" xfId="60" applyNumberFormat="1" applyFont="1" applyBorder="1">
      <alignment/>
      <protection/>
    </xf>
    <xf numFmtId="0" fontId="28" fillId="0" borderId="16" xfId="60" applyFont="1" applyBorder="1" quotePrefix="1">
      <alignment/>
      <protection/>
    </xf>
    <xf numFmtId="43" fontId="28" fillId="0" borderId="16" xfId="42" applyFont="1" applyBorder="1" applyAlignment="1">
      <alignment/>
    </xf>
    <xf numFmtId="0" fontId="28" fillId="0" borderId="16" xfId="60" applyFont="1" applyBorder="1">
      <alignment/>
      <protection/>
    </xf>
    <xf numFmtId="194" fontId="28" fillId="0" borderId="16" xfId="45" applyFont="1" applyBorder="1" applyAlignment="1">
      <alignment/>
    </xf>
    <xf numFmtId="0" fontId="28" fillId="0" borderId="18" xfId="60" applyFont="1" applyBorder="1" applyAlignment="1">
      <alignment vertical="top" wrapText="1"/>
      <protection/>
    </xf>
    <xf numFmtId="194" fontId="28" fillId="0" borderId="18" xfId="60" applyNumberFormat="1" applyFont="1" applyBorder="1">
      <alignment/>
      <protection/>
    </xf>
    <xf numFmtId="43" fontId="29" fillId="0" borderId="18" xfId="42" applyFont="1" applyBorder="1" applyAlignment="1">
      <alignment/>
    </xf>
    <xf numFmtId="43" fontId="28" fillId="0" borderId="18" xfId="42" applyFont="1" applyBorder="1" applyAlignment="1">
      <alignment/>
    </xf>
    <xf numFmtId="0" fontId="27" fillId="0" borderId="14" xfId="60" applyFont="1" applyBorder="1">
      <alignment/>
      <protection/>
    </xf>
    <xf numFmtId="43" fontId="30" fillId="0" borderId="18" xfId="42" applyFont="1" applyBorder="1" applyAlignment="1">
      <alignment/>
    </xf>
    <xf numFmtId="0" fontId="28" fillId="0" borderId="18" xfId="0" applyFont="1" applyFill="1" applyBorder="1" applyAlignment="1" quotePrefix="1">
      <alignment vertical="center"/>
    </xf>
    <xf numFmtId="43" fontId="28" fillId="0" borderId="18" xfId="42" applyFont="1" applyFill="1" applyBorder="1" applyAlignment="1">
      <alignment/>
    </xf>
    <xf numFmtId="0" fontId="28" fillId="0" borderId="18" xfId="60" applyFont="1" applyFill="1" applyBorder="1">
      <alignment/>
      <protection/>
    </xf>
    <xf numFmtId="194" fontId="28" fillId="0" borderId="18" xfId="45" applyFont="1" applyFill="1" applyBorder="1" applyAlignment="1">
      <alignment/>
    </xf>
    <xf numFmtId="0" fontId="28" fillId="0" borderId="18" xfId="60" applyFont="1" applyFill="1" applyBorder="1" quotePrefix="1">
      <alignment/>
      <protection/>
    </xf>
    <xf numFmtId="0" fontId="28" fillId="0" borderId="16" xfId="60" applyFont="1" applyFill="1" applyBorder="1" applyAlignment="1" quotePrefix="1">
      <alignment horizontal="left" vertical="center"/>
      <protection/>
    </xf>
    <xf numFmtId="0" fontId="27" fillId="0" borderId="18" xfId="60" applyFont="1" applyFill="1" applyBorder="1">
      <alignment/>
      <protection/>
    </xf>
    <xf numFmtId="0" fontId="25" fillId="0" borderId="0" xfId="60" applyFont="1">
      <alignment/>
      <protection/>
    </xf>
    <xf numFmtId="0" fontId="28" fillId="0" borderId="16" xfId="60" applyFont="1" applyBorder="1" applyAlignment="1" quotePrefix="1">
      <alignment horizontal="left" vertical="center"/>
      <protection/>
    </xf>
    <xf numFmtId="0" fontId="27" fillId="0" borderId="23" xfId="60" applyFont="1" applyBorder="1" applyAlignment="1">
      <alignment horizontal="center"/>
      <protection/>
    </xf>
    <xf numFmtId="43" fontId="27" fillId="0" borderId="24" xfId="60" applyNumberFormat="1" applyFont="1" applyBorder="1" applyAlignment="1">
      <alignment horizontal="center"/>
      <protection/>
    </xf>
    <xf numFmtId="0" fontId="27" fillId="0" borderId="23" xfId="60" applyFont="1" applyBorder="1">
      <alignment/>
      <protection/>
    </xf>
    <xf numFmtId="0" fontId="27" fillId="0" borderId="0" xfId="60" applyFont="1" applyBorder="1" applyAlignment="1">
      <alignment horizontal="center"/>
      <protection/>
    </xf>
    <xf numFmtId="194" fontId="27" fillId="0" borderId="0" xfId="45" applyFont="1" applyBorder="1" applyAlignment="1">
      <alignment/>
    </xf>
    <xf numFmtId="0" fontId="27" fillId="0" borderId="0" xfId="60" applyFont="1" applyBorder="1">
      <alignment/>
      <protection/>
    </xf>
    <xf numFmtId="43" fontId="27" fillId="0" borderId="12" xfId="42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194" fontId="28" fillId="0" borderId="18" xfId="45" applyFont="1" applyBorder="1" applyAlignment="1">
      <alignment vertical="top"/>
    </xf>
    <xf numFmtId="43" fontId="28" fillId="0" borderId="18" xfId="42" applyFont="1" applyBorder="1" applyAlignment="1">
      <alignment vertical="top"/>
    </xf>
    <xf numFmtId="0" fontId="28" fillId="0" borderId="18" xfId="60" applyFont="1" applyBorder="1" applyAlignment="1" quotePrefix="1">
      <alignment vertical="top"/>
      <protection/>
    </xf>
    <xf numFmtId="0" fontId="27" fillId="0" borderId="18" xfId="0" applyFont="1" applyBorder="1" applyAlignment="1">
      <alignment vertical="center" wrapText="1"/>
    </xf>
    <xf numFmtId="0" fontId="28" fillId="0" borderId="18" xfId="0" applyFont="1" applyBorder="1" applyAlignment="1" quotePrefix="1">
      <alignment vertical="center" wrapText="1"/>
    </xf>
    <xf numFmtId="2" fontId="28" fillId="0" borderId="18" xfId="60" applyNumberFormat="1" applyFont="1" applyBorder="1">
      <alignment/>
      <protection/>
    </xf>
    <xf numFmtId="0" fontId="28" fillId="0" borderId="14" xfId="60" applyFont="1" applyBorder="1" quotePrefix="1">
      <alignment/>
      <protection/>
    </xf>
    <xf numFmtId="43" fontId="28" fillId="0" borderId="25" xfId="42" applyFont="1" applyBorder="1" applyAlignment="1">
      <alignment/>
    </xf>
    <xf numFmtId="194" fontId="28" fillId="0" borderId="25" xfId="45" applyFont="1" applyBorder="1" applyAlignment="1">
      <alignment/>
    </xf>
    <xf numFmtId="194" fontId="28" fillId="0" borderId="25" xfId="60" applyNumberFormat="1" applyFont="1" applyBorder="1">
      <alignment/>
      <protection/>
    </xf>
    <xf numFmtId="194" fontId="26" fillId="0" borderId="0" xfId="44" applyFont="1" applyAlignment="1">
      <alignment horizontal="center" vertical="center" wrapText="1"/>
    </xf>
    <xf numFmtId="0" fontId="1" fillId="0" borderId="0" xfId="60" applyFont="1" applyAlignment="1">
      <alignment horizontal="center"/>
      <protection/>
    </xf>
    <xf numFmtId="0" fontId="27" fillId="0" borderId="26" xfId="60" applyFont="1" applyBorder="1" applyAlignment="1">
      <alignment horizontal="center"/>
      <protection/>
    </xf>
    <xf numFmtId="0" fontId="29" fillId="0" borderId="27" xfId="0" applyFont="1" applyBorder="1" applyAlignment="1">
      <alignment horizontal="center"/>
    </xf>
    <xf numFmtId="0" fontId="27" fillId="0" borderId="13" xfId="60" applyFont="1" applyBorder="1" applyAlignment="1">
      <alignment horizontal="center"/>
      <protection/>
    </xf>
    <xf numFmtId="0" fontId="27" fillId="0" borderId="28" xfId="60" applyFont="1" applyBorder="1" applyAlignment="1">
      <alignment horizontal="center"/>
      <protection/>
    </xf>
    <xf numFmtId="0" fontId="27" fillId="0" borderId="22" xfId="60" applyFont="1" applyBorder="1" applyAlignment="1">
      <alignment horizontal="center"/>
      <protection/>
    </xf>
    <xf numFmtId="194" fontId="27" fillId="0" borderId="26" xfId="45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grant-contributions09" xfId="44"/>
    <cellStyle name="Comma_sector-valluelao4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grant-contributions09" xfId="59"/>
    <cellStyle name="Normal_sector-valluelao4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ปกติ_Annual Report 2003 27Ju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9.140625" defaultRowHeight="20.25" customHeight="1"/>
  <cols>
    <col min="1" max="1" width="52.8515625" style="10" customWidth="1"/>
    <col min="2" max="2" width="19.421875" style="10" customWidth="1"/>
    <col min="3" max="3" width="19.57421875" style="10" customWidth="1"/>
    <col min="4" max="4" width="20.00390625" style="10" customWidth="1"/>
    <col min="5" max="5" width="20.57421875" style="10" customWidth="1"/>
    <col min="6" max="6" width="9.140625" style="10" customWidth="1"/>
    <col min="7" max="7" width="21.00390625" style="10" customWidth="1"/>
    <col min="8" max="16384" width="9.140625" style="10" customWidth="1"/>
  </cols>
  <sheetData>
    <row r="1" spans="1:5" ht="20.25" customHeight="1">
      <c r="A1" s="115" t="s">
        <v>89</v>
      </c>
      <c r="B1" s="115"/>
      <c r="C1" s="115"/>
      <c r="D1" s="115"/>
      <c r="E1" s="115"/>
    </row>
    <row r="2" spans="1:5" ht="20.25" customHeight="1">
      <c r="A2" s="20"/>
      <c r="B2" s="20"/>
      <c r="C2" s="20"/>
      <c r="D2" s="20"/>
      <c r="E2" s="21"/>
    </row>
    <row r="3" spans="1:31" ht="62.25" customHeight="1">
      <c r="A3" s="22" t="s">
        <v>90</v>
      </c>
      <c r="B3" s="23" t="s">
        <v>91</v>
      </c>
      <c r="C3" s="23" t="s">
        <v>92</v>
      </c>
      <c r="D3" s="23" t="s">
        <v>93</v>
      </c>
      <c r="E3" s="24" t="s">
        <v>94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ht="24" customHeight="1">
      <c r="A4" s="25" t="s">
        <v>95</v>
      </c>
      <c r="B4" s="26"/>
      <c r="C4" s="26"/>
      <c r="D4" s="26">
        <v>4319700000</v>
      </c>
      <c r="E4" s="27">
        <f aca="true" t="shared" si="0" ref="E4:E25">SUM(B4:D4)</f>
        <v>4319700000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ht="24" customHeight="1">
      <c r="A5" s="25" t="s">
        <v>106</v>
      </c>
      <c r="B5" s="25"/>
      <c r="C5" s="25"/>
      <c r="D5" s="28">
        <v>1081669367.44</v>
      </c>
      <c r="E5" s="29">
        <f>SUM(B5:D5)</f>
        <v>1081669367.44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ht="24" customHeight="1">
      <c r="A6" s="30" t="s">
        <v>55</v>
      </c>
      <c r="B6" s="31">
        <v>7223907</v>
      </c>
      <c r="C6" s="32">
        <v>57670345.6</v>
      </c>
      <c r="D6" s="33"/>
      <c r="E6" s="29">
        <f t="shared" si="0"/>
        <v>64894252.6</v>
      </c>
      <c r="F6" s="11"/>
      <c r="G6" s="12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4" customHeight="1">
      <c r="A7" s="34" t="s">
        <v>96</v>
      </c>
      <c r="B7" s="35">
        <v>34941401</v>
      </c>
      <c r="C7" s="34">
        <v>12645600</v>
      </c>
      <c r="D7" s="36"/>
      <c r="E7" s="37">
        <f t="shared" si="0"/>
        <v>47587001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ht="24" customHeight="1">
      <c r="A8" s="38" t="s">
        <v>18</v>
      </c>
      <c r="B8" s="39">
        <v>35000000</v>
      </c>
      <c r="C8" s="40"/>
      <c r="D8" s="36"/>
      <c r="E8" s="29">
        <f t="shared" si="0"/>
        <v>35000000</v>
      </c>
      <c r="F8" s="11"/>
      <c r="G8" s="8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1" ht="24" customHeight="1">
      <c r="A9" s="41" t="s">
        <v>9</v>
      </c>
      <c r="B9" s="42">
        <v>33978926.93</v>
      </c>
      <c r="C9" s="43">
        <v>95490</v>
      </c>
      <c r="D9" s="44"/>
      <c r="E9" s="29">
        <f t="shared" si="0"/>
        <v>34074416.93</v>
      </c>
      <c r="F9" s="11"/>
      <c r="G9" s="13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1" ht="24" customHeight="1">
      <c r="A10" s="45" t="s">
        <v>6</v>
      </c>
      <c r="B10" s="46">
        <v>437759</v>
      </c>
      <c r="C10" s="41">
        <v>21760175</v>
      </c>
      <c r="D10" s="44"/>
      <c r="E10" s="25">
        <f t="shared" si="0"/>
        <v>22197934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1" ht="24" customHeight="1">
      <c r="A11" s="38" t="s">
        <v>22</v>
      </c>
      <c r="B11" s="47"/>
      <c r="C11" s="41">
        <v>21812320</v>
      </c>
      <c r="D11" s="46"/>
      <c r="E11" s="48">
        <f t="shared" si="0"/>
        <v>21812320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ht="24" customHeight="1">
      <c r="A12" s="38" t="s">
        <v>21</v>
      </c>
      <c r="B12" s="28"/>
      <c r="C12" s="48">
        <v>17557930.4</v>
      </c>
      <c r="D12" s="49"/>
      <c r="E12" s="29">
        <f t="shared" si="0"/>
        <v>17557930.4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1" ht="24" customHeight="1">
      <c r="A13" s="38" t="s">
        <v>15</v>
      </c>
      <c r="B13" s="50">
        <v>8293715</v>
      </c>
      <c r="C13" s="43"/>
      <c r="D13" s="46"/>
      <c r="E13" s="29">
        <f t="shared" si="0"/>
        <v>8293715</v>
      </c>
      <c r="F13" s="11"/>
      <c r="G13" s="12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 ht="24" customHeight="1">
      <c r="A14" s="38" t="s">
        <v>5</v>
      </c>
      <c r="B14" s="50">
        <v>3378948</v>
      </c>
      <c r="C14" s="51">
        <v>2726000</v>
      </c>
      <c r="D14" s="46"/>
      <c r="E14" s="29">
        <f t="shared" si="0"/>
        <v>6104948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1" ht="24" customHeight="1">
      <c r="A15" s="38" t="s">
        <v>99</v>
      </c>
      <c r="B15" s="52">
        <v>5280000</v>
      </c>
      <c r="C15" s="46"/>
      <c r="D15" s="46"/>
      <c r="E15" s="29">
        <f t="shared" si="0"/>
        <v>5280000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1" ht="24" customHeight="1">
      <c r="A16" s="38" t="s">
        <v>98</v>
      </c>
      <c r="B16" s="53">
        <v>4089840</v>
      </c>
      <c r="C16" s="46"/>
      <c r="D16" s="46"/>
      <c r="E16" s="29">
        <f t="shared" si="0"/>
        <v>4089840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ht="24" customHeight="1">
      <c r="A17" s="48" t="s">
        <v>25</v>
      </c>
      <c r="B17" s="34">
        <v>2222648.3</v>
      </c>
      <c r="C17" s="50">
        <v>270954.41</v>
      </c>
      <c r="D17" s="49"/>
      <c r="E17" s="29">
        <f t="shared" si="0"/>
        <v>2493602.71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ht="24" customHeight="1">
      <c r="A18" s="48" t="s">
        <v>97</v>
      </c>
      <c r="B18" s="34">
        <v>2026674</v>
      </c>
      <c r="C18" s="54">
        <v>231000</v>
      </c>
      <c r="D18" s="46"/>
      <c r="E18" s="29">
        <f t="shared" si="0"/>
        <v>2257674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ht="24" customHeight="1">
      <c r="A19" s="38" t="s">
        <v>10</v>
      </c>
      <c r="B19" s="34">
        <v>1415637.67</v>
      </c>
      <c r="C19" s="43"/>
      <c r="D19" s="46"/>
      <c r="E19" s="29">
        <f t="shared" si="0"/>
        <v>1415637.67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ht="24" customHeight="1">
      <c r="A20" s="48" t="s">
        <v>100</v>
      </c>
      <c r="B20" s="34">
        <v>385728</v>
      </c>
      <c r="C20" s="41">
        <v>462340.2</v>
      </c>
      <c r="D20" s="46"/>
      <c r="E20" s="29">
        <f t="shared" si="0"/>
        <v>848068.2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ht="24" customHeight="1">
      <c r="A21" s="38" t="s">
        <v>19</v>
      </c>
      <c r="B21" s="46">
        <v>337490</v>
      </c>
      <c r="C21" s="43"/>
      <c r="D21" s="46"/>
      <c r="E21" s="29">
        <f t="shared" si="0"/>
        <v>337490</v>
      </c>
      <c r="F21" s="11"/>
      <c r="G21" s="1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ht="24" customHeight="1">
      <c r="A22" s="38" t="s">
        <v>7</v>
      </c>
      <c r="B22" s="32">
        <v>307776</v>
      </c>
      <c r="C22" s="43"/>
      <c r="D22" s="46"/>
      <c r="E22" s="29">
        <f t="shared" si="0"/>
        <v>307776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ht="24" customHeight="1">
      <c r="A23" s="38" t="s">
        <v>16</v>
      </c>
      <c r="B23" s="46"/>
      <c r="C23" s="41">
        <v>31740</v>
      </c>
      <c r="D23" s="46"/>
      <c r="E23" s="29">
        <f t="shared" si="0"/>
        <v>31740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31" ht="24" customHeight="1">
      <c r="A24" s="34" t="s">
        <v>86</v>
      </c>
      <c r="B24" s="52">
        <v>29416776</v>
      </c>
      <c r="C24" s="34">
        <v>261199547</v>
      </c>
      <c r="D24" s="46"/>
      <c r="E24" s="37">
        <f t="shared" si="0"/>
        <v>290616323</v>
      </c>
      <c r="F24" s="11"/>
      <c r="G24" s="14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ht="24" customHeight="1">
      <c r="A25" s="34" t="s">
        <v>83</v>
      </c>
      <c r="B25" s="50">
        <v>374758000</v>
      </c>
      <c r="C25" s="34">
        <v>32062300</v>
      </c>
      <c r="D25" s="46"/>
      <c r="E25" s="37">
        <f t="shared" si="0"/>
        <v>406820300</v>
      </c>
      <c r="F25" s="11"/>
      <c r="G25" s="14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ht="24" customHeight="1">
      <c r="A26" s="29" t="s">
        <v>101</v>
      </c>
      <c r="B26" s="46"/>
      <c r="C26" s="46"/>
      <c r="D26" s="46"/>
      <c r="E26" s="55" t="s">
        <v>102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31" ht="24" customHeight="1">
      <c r="A27" s="38" t="s">
        <v>103</v>
      </c>
      <c r="B27" s="46"/>
      <c r="C27" s="46"/>
      <c r="D27" s="46"/>
      <c r="E27" s="55" t="s">
        <v>102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1" ht="22.5" customHeight="1">
      <c r="A28" s="24" t="s">
        <v>104</v>
      </c>
      <c r="B28" s="22">
        <f>SUM(B5:B27)</f>
        <v>543495226.9</v>
      </c>
      <c r="C28" s="22">
        <f>SUM(C5:C27)</f>
        <v>428525742.61</v>
      </c>
      <c r="D28" s="22">
        <f>SUM(D4:D27)</f>
        <v>5401369367.440001</v>
      </c>
      <c r="E28" s="22">
        <f>SUM(E4:E27)</f>
        <v>6373390336.950001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1:31" ht="20.25" customHeight="1">
      <c r="A29" s="56" t="s">
        <v>105</v>
      </c>
      <c r="B29" s="57"/>
      <c r="C29" s="57"/>
      <c r="D29" s="57"/>
      <c r="E29" s="58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1:31" ht="20.25" customHeight="1">
      <c r="A30" s="59"/>
      <c r="B30" s="57"/>
      <c r="C30" s="57"/>
      <c r="D30" s="57"/>
      <c r="E30" s="58">
        <v>40509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31" ht="20.25" customHeight="1">
      <c r="A31" s="19"/>
      <c r="B31" s="18"/>
      <c r="C31" s="18"/>
      <c r="D31" s="18"/>
      <c r="E31" s="18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1" ht="20.25" customHeight="1">
      <c r="A32" s="15"/>
      <c r="B32" s="10">
        <f>543495226.9-B28</f>
        <v>0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6:31" ht="20.25" customHeight="1"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6:31" ht="20.25" customHeight="1"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6:31" ht="20.25" customHeight="1"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6:31" ht="20.25" customHeight="1"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6:31" ht="20.25" customHeight="1"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 spans="6:31" ht="20.25" customHeight="1"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</row>
    <row r="39" spans="6:31" ht="20.25" customHeight="1"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6:31" ht="20.25" customHeight="1"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6:31" ht="20.25" customHeight="1"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6:31" ht="20.25" customHeight="1"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6:31" ht="20.25" customHeight="1"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 spans="6:31" ht="20.25" customHeight="1"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</row>
    <row r="45" spans="6:31" ht="20.25" customHeight="1"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</row>
    <row r="46" spans="6:31" ht="20.25" customHeight="1"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</row>
    <row r="47" spans="6:31" ht="20.25" customHeight="1"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</row>
    <row r="48" spans="6:31" ht="20.25" customHeight="1"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 spans="6:31" ht="20.25" customHeight="1"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</row>
    <row r="50" spans="6:31" ht="20.25" customHeight="1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</row>
    <row r="51" spans="6:31" ht="20.25" customHeight="1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</row>
    <row r="52" spans="6:31" ht="20.25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</row>
    <row r="53" spans="6:31" ht="20.25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</row>
    <row r="54" spans="6:31" ht="20.25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</sheetData>
  <sheetProtection/>
  <mergeCells count="1">
    <mergeCell ref="A1:E1"/>
  </mergeCells>
  <printOptions horizontalCentered="1" verticalCentered="1"/>
  <pageMargins left="0.53" right="0.236220472440945" top="0.16" bottom="1.643700787" header="0.511811023622047" footer="0.511811023622047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4">
      <pane xSplit="1" ySplit="1" topLeftCell="D5" activePane="bottomRight" state="frozen"/>
      <selection pane="topLeft" activeCell="A4" sqref="A4"/>
      <selection pane="topRight" activeCell="B4" sqref="B4"/>
      <selection pane="bottomLeft" activeCell="A5" sqref="A5"/>
      <selection pane="bottomRight" activeCell="A41" sqref="A41"/>
    </sheetView>
  </sheetViews>
  <sheetFormatPr defaultColWidth="9.140625" defaultRowHeight="21.75"/>
  <cols>
    <col min="1" max="1" width="43.140625" style="3" customWidth="1"/>
    <col min="2" max="2" width="18.57421875" style="1" bestFit="1" customWidth="1"/>
    <col min="3" max="3" width="20.421875" style="1" bestFit="1" customWidth="1"/>
    <col min="4" max="5" width="17.421875" style="1" bestFit="1" customWidth="1"/>
    <col min="6" max="6" width="16.28125" style="1" bestFit="1" customWidth="1"/>
    <col min="7" max="7" width="21.00390625" style="1" customWidth="1"/>
    <col min="8" max="8" width="21.421875" style="1" customWidth="1"/>
    <col min="9" max="9" width="33.57421875" style="1" customWidth="1"/>
    <col min="10" max="10" width="9.140625" style="2" customWidth="1"/>
    <col min="11" max="16384" width="9.140625" style="1" customWidth="1"/>
  </cols>
  <sheetData>
    <row r="1" spans="1:9" ht="23.25">
      <c r="A1" s="116" t="s">
        <v>3</v>
      </c>
      <c r="B1" s="116"/>
      <c r="C1" s="116"/>
      <c r="D1" s="116"/>
      <c r="E1" s="116"/>
      <c r="F1" s="116"/>
      <c r="G1" s="116"/>
      <c r="H1" s="116"/>
      <c r="I1" s="116"/>
    </row>
    <row r="2" spans="2:9" ht="26.25">
      <c r="B2" s="4"/>
      <c r="C2" s="4"/>
      <c r="D2" s="4"/>
      <c r="E2" s="4"/>
      <c r="F2" s="4"/>
      <c r="G2" s="4"/>
      <c r="H2" s="3"/>
      <c r="I2" s="3"/>
    </row>
    <row r="3" spans="1:9" ht="24">
      <c r="A3" s="117" t="s">
        <v>65</v>
      </c>
      <c r="B3" s="119" t="s">
        <v>66</v>
      </c>
      <c r="C3" s="120"/>
      <c r="D3" s="120"/>
      <c r="E3" s="120"/>
      <c r="F3" s="120"/>
      <c r="G3" s="121"/>
      <c r="H3" s="122" t="s">
        <v>14</v>
      </c>
      <c r="I3" s="117" t="s">
        <v>4</v>
      </c>
    </row>
    <row r="4" spans="1:9" ht="24">
      <c r="A4" s="118"/>
      <c r="B4" s="103" t="s">
        <v>0</v>
      </c>
      <c r="C4" s="103" t="s">
        <v>1</v>
      </c>
      <c r="D4" s="104" t="s">
        <v>11</v>
      </c>
      <c r="E4" s="61" t="s">
        <v>12</v>
      </c>
      <c r="F4" s="60" t="s">
        <v>36</v>
      </c>
      <c r="G4" s="60" t="s">
        <v>13</v>
      </c>
      <c r="H4" s="118"/>
      <c r="I4" s="118"/>
    </row>
    <row r="5" spans="1:9" ht="24">
      <c r="A5" s="62" t="s">
        <v>23</v>
      </c>
      <c r="B5" s="63"/>
      <c r="C5" s="63"/>
      <c r="D5" s="64"/>
      <c r="E5" s="64"/>
      <c r="F5" s="64"/>
      <c r="G5" s="64"/>
      <c r="H5" s="65"/>
      <c r="I5" s="66"/>
    </row>
    <row r="6" spans="1:9" ht="24">
      <c r="A6" s="67" t="s">
        <v>39</v>
      </c>
      <c r="B6" s="68"/>
      <c r="C6" s="68">
        <v>1750000000</v>
      </c>
      <c r="D6" s="66"/>
      <c r="E6" s="66"/>
      <c r="F6" s="66"/>
      <c r="G6" s="66"/>
      <c r="H6" s="65">
        <f>SUM(B6:G6)</f>
        <v>1750000000</v>
      </c>
      <c r="I6" s="66" t="s">
        <v>24</v>
      </c>
    </row>
    <row r="7" spans="1:9" ht="24">
      <c r="A7" s="67" t="s">
        <v>50</v>
      </c>
      <c r="B7" s="68"/>
      <c r="C7" s="68">
        <v>1554700000</v>
      </c>
      <c r="D7" s="66"/>
      <c r="E7" s="66"/>
      <c r="F7" s="66"/>
      <c r="G7" s="68">
        <v>1015000000</v>
      </c>
      <c r="H7" s="65">
        <f>SUM(B7:G7)</f>
        <v>2569700000</v>
      </c>
      <c r="I7" s="66" t="s">
        <v>24</v>
      </c>
    </row>
    <row r="8" spans="1:9" ht="43.5" customHeight="1">
      <c r="A8" s="69" t="s">
        <v>63</v>
      </c>
      <c r="B8" s="68"/>
      <c r="C8" s="68"/>
      <c r="D8" s="66"/>
      <c r="E8" s="68"/>
      <c r="F8" s="68"/>
      <c r="G8" s="68"/>
      <c r="H8" s="65"/>
      <c r="I8" s="66"/>
    </row>
    <row r="9" spans="1:9" ht="24">
      <c r="A9" s="67" t="s">
        <v>38</v>
      </c>
      <c r="B9" s="68">
        <v>484414648.96</v>
      </c>
      <c r="C9" s="68">
        <v>597254718.48</v>
      </c>
      <c r="D9" s="66"/>
      <c r="E9" s="68"/>
      <c r="F9" s="68"/>
      <c r="G9" s="68"/>
      <c r="H9" s="65">
        <f>SUM(B9:G9)</f>
        <v>1081669367.44</v>
      </c>
      <c r="I9" s="66" t="s">
        <v>62</v>
      </c>
    </row>
    <row r="10" spans="1:9" ht="24">
      <c r="A10" s="70" t="s">
        <v>55</v>
      </c>
      <c r="B10" s="68"/>
      <c r="C10" s="68"/>
      <c r="D10" s="66"/>
      <c r="E10" s="68"/>
      <c r="F10" s="68"/>
      <c r="G10" s="68"/>
      <c r="H10" s="65"/>
      <c r="I10" s="66"/>
    </row>
    <row r="11" spans="1:9" ht="24">
      <c r="A11" s="71" t="s">
        <v>34</v>
      </c>
      <c r="B11" s="68">
        <v>6350000</v>
      </c>
      <c r="C11" s="68">
        <v>250000</v>
      </c>
      <c r="D11" s="66">
        <v>250000</v>
      </c>
      <c r="E11" s="68">
        <v>373907</v>
      </c>
      <c r="F11" s="68"/>
      <c r="G11" s="68">
        <f>1884409.28+22463857.37+184600+6000000+9395394.66+13119300</f>
        <v>53047561.31</v>
      </c>
      <c r="H11" s="65">
        <f>SUM(B11:G11)</f>
        <v>60271468.31</v>
      </c>
      <c r="I11" s="66" t="s">
        <v>61</v>
      </c>
    </row>
    <row r="12" spans="1:9" ht="24">
      <c r="A12" s="67" t="s">
        <v>38</v>
      </c>
      <c r="B12" s="68"/>
      <c r="C12" s="68"/>
      <c r="D12" s="66"/>
      <c r="E12" s="68"/>
      <c r="F12" s="68"/>
      <c r="G12" s="68">
        <f>365817.85+197778.56</f>
        <v>563596.4099999999</v>
      </c>
      <c r="H12" s="65">
        <f>SUM(B12:G12)</f>
        <v>563596.4099999999</v>
      </c>
      <c r="I12" s="66" t="s">
        <v>27</v>
      </c>
    </row>
    <row r="13" spans="1:9" ht="24">
      <c r="A13" s="71" t="s">
        <v>52</v>
      </c>
      <c r="B13" s="68"/>
      <c r="C13" s="68"/>
      <c r="D13" s="66"/>
      <c r="E13" s="68"/>
      <c r="F13" s="68"/>
      <c r="G13" s="68">
        <v>3609187.88</v>
      </c>
      <c r="H13" s="65">
        <f>SUM(B13:G13)</f>
        <v>3609187.88</v>
      </c>
      <c r="I13" s="66" t="s">
        <v>27</v>
      </c>
    </row>
    <row r="14" spans="1:9" ht="24">
      <c r="A14" s="72" t="s">
        <v>111</v>
      </c>
      <c r="B14" s="68"/>
      <c r="C14" s="68"/>
      <c r="D14" s="66"/>
      <c r="E14" s="68"/>
      <c r="F14" s="68"/>
      <c r="G14" s="68">
        <v>450000</v>
      </c>
      <c r="H14" s="65">
        <f>SUM(B14:G14)</f>
        <v>450000</v>
      </c>
      <c r="I14" s="66" t="s">
        <v>27</v>
      </c>
    </row>
    <row r="15" spans="1:9" ht="24">
      <c r="A15" s="108" t="s">
        <v>28</v>
      </c>
      <c r="B15" s="68"/>
      <c r="C15" s="68"/>
      <c r="D15" s="66"/>
      <c r="E15" s="66"/>
      <c r="F15" s="66"/>
      <c r="G15" s="68"/>
      <c r="H15" s="65"/>
      <c r="I15" s="66"/>
    </row>
    <row r="16" spans="1:9" ht="24">
      <c r="A16" s="109" t="s">
        <v>34</v>
      </c>
      <c r="B16" s="68">
        <f>864833+584528</f>
        <v>1449361</v>
      </c>
      <c r="C16" s="68">
        <f>864833+223695+442000+584528+193600</f>
        <v>2308656</v>
      </c>
      <c r="D16" s="68">
        <f>864833</f>
        <v>864833</v>
      </c>
      <c r="E16" s="110">
        <f>864833+442000+584528</f>
        <v>1891361</v>
      </c>
      <c r="F16" s="66">
        <f>26950+475200+207655+85720+864833</f>
        <v>1660358</v>
      </c>
      <c r="G16" s="68">
        <f>11415800+3000000+1765000+13000+5000000+7590000</f>
        <v>28783800</v>
      </c>
      <c r="H16" s="65">
        <f aca="true" t="shared" si="0" ref="H16:H22">SUM(B16:G16)</f>
        <v>36958369</v>
      </c>
      <c r="I16" s="66" t="s">
        <v>64</v>
      </c>
    </row>
    <row r="17" spans="1:9" ht="24">
      <c r="A17" s="109" t="s">
        <v>50</v>
      </c>
      <c r="B17" s="68"/>
      <c r="C17" s="68">
        <v>107675</v>
      </c>
      <c r="D17" s="66"/>
      <c r="E17" s="66"/>
      <c r="F17" s="66"/>
      <c r="G17" s="68"/>
      <c r="H17" s="65">
        <f t="shared" si="0"/>
        <v>107675</v>
      </c>
      <c r="I17" s="66" t="s">
        <v>60</v>
      </c>
    </row>
    <row r="18" spans="1:9" ht="24">
      <c r="A18" s="109" t="s">
        <v>51</v>
      </c>
      <c r="B18" s="68"/>
      <c r="C18" s="68"/>
      <c r="D18" s="66"/>
      <c r="E18" s="66"/>
      <c r="F18" s="66"/>
      <c r="G18" s="68">
        <v>4000000</v>
      </c>
      <c r="H18" s="65">
        <f t="shared" si="0"/>
        <v>4000000</v>
      </c>
      <c r="I18" s="66" t="s">
        <v>53</v>
      </c>
    </row>
    <row r="19" spans="1:9" ht="24">
      <c r="A19" s="109" t="s">
        <v>32</v>
      </c>
      <c r="B19" s="68"/>
      <c r="C19" s="68"/>
      <c r="D19" s="66"/>
      <c r="E19" s="110">
        <v>32620</v>
      </c>
      <c r="F19" s="66">
        <v>248500</v>
      </c>
      <c r="G19" s="68">
        <v>869750</v>
      </c>
      <c r="H19" s="65">
        <f t="shared" si="0"/>
        <v>1150870</v>
      </c>
      <c r="I19" s="66" t="s">
        <v>48</v>
      </c>
    </row>
    <row r="20" spans="1:9" ht="24">
      <c r="A20" s="67" t="s">
        <v>52</v>
      </c>
      <c r="B20" s="68"/>
      <c r="C20" s="68">
        <v>40000</v>
      </c>
      <c r="D20" s="66"/>
      <c r="E20" s="68"/>
      <c r="F20" s="68"/>
      <c r="G20" s="68">
        <v>5085487</v>
      </c>
      <c r="H20" s="65">
        <f t="shared" si="0"/>
        <v>5125487</v>
      </c>
      <c r="I20" s="66" t="s">
        <v>54</v>
      </c>
    </row>
    <row r="21" spans="1:9" ht="24">
      <c r="A21" s="67" t="s">
        <v>39</v>
      </c>
      <c r="B21" s="68"/>
      <c r="C21" s="68"/>
      <c r="D21" s="66"/>
      <c r="E21" s="68">
        <v>60000</v>
      </c>
      <c r="F21" s="68"/>
      <c r="G21" s="68">
        <v>129000</v>
      </c>
      <c r="H21" s="65">
        <f t="shared" si="0"/>
        <v>189000</v>
      </c>
      <c r="I21" s="66" t="s">
        <v>53</v>
      </c>
    </row>
    <row r="22" spans="1:9" ht="24">
      <c r="A22" s="73" t="s">
        <v>33</v>
      </c>
      <c r="B22" s="68"/>
      <c r="C22" s="68"/>
      <c r="D22" s="66"/>
      <c r="E22" s="68"/>
      <c r="F22" s="68"/>
      <c r="G22" s="68">
        <v>55600</v>
      </c>
      <c r="H22" s="65">
        <f t="shared" si="0"/>
        <v>55600</v>
      </c>
      <c r="I22" s="66" t="s">
        <v>27</v>
      </c>
    </row>
    <row r="23" spans="1:9" ht="24">
      <c r="A23" s="62" t="s">
        <v>9</v>
      </c>
      <c r="B23" s="74"/>
      <c r="C23" s="74"/>
      <c r="D23" s="74"/>
      <c r="E23" s="74"/>
      <c r="F23" s="74"/>
      <c r="G23" s="74"/>
      <c r="H23" s="74"/>
      <c r="I23" s="74"/>
    </row>
    <row r="24" spans="1:9" ht="24">
      <c r="A24" s="67" t="s">
        <v>39</v>
      </c>
      <c r="B24" s="68">
        <v>5373055</v>
      </c>
      <c r="C24" s="68">
        <v>9958538.93</v>
      </c>
      <c r="D24" s="68">
        <v>17697383</v>
      </c>
      <c r="E24" s="68">
        <v>949950</v>
      </c>
      <c r="F24" s="68"/>
      <c r="G24" s="68">
        <v>95490</v>
      </c>
      <c r="H24" s="68">
        <f>SUM(B24:G24)</f>
        <v>34074416.93</v>
      </c>
      <c r="I24" s="66" t="s">
        <v>26</v>
      </c>
    </row>
    <row r="25" spans="1:9" ht="24">
      <c r="A25" s="62" t="s">
        <v>18</v>
      </c>
      <c r="B25" s="66"/>
      <c r="C25" s="68"/>
      <c r="D25" s="66"/>
      <c r="E25" s="66"/>
      <c r="F25" s="66"/>
      <c r="G25" s="66"/>
      <c r="H25" s="65"/>
      <c r="I25" s="66"/>
    </row>
    <row r="26" spans="1:9" ht="24">
      <c r="A26" s="67" t="s">
        <v>46</v>
      </c>
      <c r="B26" s="66"/>
      <c r="C26" s="68">
        <v>35000000</v>
      </c>
      <c r="D26" s="66"/>
      <c r="E26" s="66"/>
      <c r="F26" s="66"/>
      <c r="G26" s="66"/>
      <c r="H26" s="65">
        <f>SUM(B26:G26)</f>
        <v>35000000</v>
      </c>
      <c r="I26" s="66" t="s">
        <v>20</v>
      </c>
    </row>
    <row r="27" spans="1:9" ht="24">
      <c r="A27" s="62" t="s">
        <v>6</v>
      </c>
      <c r="B27" s="66"/>
      <c r="C27" s="66"/>
      <c r="D27" s="66"/>
      <c r="E27" s="66"/>
      <c r="F27" s="66"/>
      <c r="G27" s="75"/>
      <c r="H27" s="65"/>
      <c r="I27" s="66"/>
    </row>
    <row r="28" spans="1:9" ht="24">
      <c r="A28" s="67" t="s">
        <v>38</v>
      </c>
      <c r="B28" s="66"/>
      <c r="C28" s="66"/>
      <c r="D28" s="66"/>
      <c r="E28" s="66"/>
      <c r="F28" s="66"/>
      <c r="G28" s="76">
        <v>22197934</v>
      </c>
      <c r="H28" s="65">
        <f>SUM(B28:G28)</f>
        <v>22197934</v>
      </c>
      <c r="I28" s="66" t="s">
        <v>27</v>
      </c>
    </row>
    <row r="29" spans="1:9" ht="24">
      <c r="A29" s="62" t="s">
        <v>22</v>
      </c>
      <c r="B29" s="66"/>
      <c r="C29" s="68"/>
      <c r="D29" s="68"/>
      <c r="E29" s="68"/>
      <c r="F29" s="68"/>
      <c r="G29" s="68"/>
      <c r="H29" s="68"/>
      <c r="I29" s="74"/>
    </row>
    <row r="30" spans="1:9" ht="24">
      <c r="A30" s="67" t="s">
        <v>47</v>
      </c>
      <c r="B30" s="66"/>
      <c r="C30" s="68"/>
      <c r="D30" s="68"/>
      <c r="E30" s="68"/>
      <c r="F30" s="68"/>
      <c r="G30" s="68">
        <v>21812320</v>
      </c>
      <c r="H30" s="68">
        <f>SUM(B30:G30)</f>
        <v>21812320</v>
      </c>
      <c r="I30" s="66" t="s">
        <v>27</v>
      </c>
    </row>
    <row r="31" spans="1:9" ht="24">
      <c r="A31" s="62" t="s">
        <v>21</v>
      </c>
      <c r="B31" s="66"/>
      <c r="C31" s="66"/>
      <c r="D31" s="66"/>
      <c r="E31" s="66"/>
      <c r="F31" s="66"/>
      <c r="G31" s="75"/>
      <c r="H31" s="65"/>
      <c r="I31" s="66"/>
    </row>
    <row r="32" spans="1:9" ht="24">
      <c r="A32" s="72" t="s">
        <v>111</v>
      </c>
      <c r="B32" s="66"/>
      <c r="C32" s="66"/>
      <c r="D32" s="66"/>
      <c r="E32" s="66"/>
      <c r="F32" s="66"/>
      <c r="G32" s="76">
        <v>17557930.4</v>
      </c>
      <c r="H32" s="65">
        <f>SUM(B32:G32)</f>
        <v>17557930.4</v>
      </c>
      <c r="I32" s="66" t="s">
        <v>27</v>
      </c>
    </row>
    <row r="33" spans="1:9" ht="24">
      <c r="A33" s="62" t="s">
        <v>15</v>
      </c>
      <c r="B33" s="66"/>
      <c r="C33" s="66"/>
      <c r="D33" s="68"/>
      <c r="E33" s="66"/>
      <c r="F33" s="66"/>
      <c r="G33" s="66"/>
      <c r="H33" s="65"/>
      <c r="I33" s="66"/>
    </row>
    <row r="34" spans="1:9" ht="24">
      <c r="A34" s="73" t="s">
        <v>33</v>
      </c>
      <c r="B34" s="66"/>
      <c r="C34" s="66"/>
      <c r="D34" s="68">
        <v>8293715</v>
      </c>
      <c r="E34" s="66"/>
      <c r="F34" s="66"/>
      <c r="G34" s="66"/>
      <c r="H34" s="65">
        <f>SUM(B34:G34)</f>
        <v>8293715</v>
      </c>
      <c r="I34" s="66" t="s">
        <v>35</v>
      </c>
    </row>
    <row r="35" spans="1:9" ht="24">
      <c r="A35" s="62" t="s">
        <v>5</v>
      </c>
      <c r="B35" s="74"/>
      <c r="C35" s="74"/>
      <c r="D35" s="74"/>
      <c r="E35" s="74"/>
      <c r="F35" s="74"/>
      <c r="G35" s="74"/>
      <c r="H35" s="74"/>
      <c r="I35" s="66"/>
    </row>
    <row r="36" spans="1:9" ht="24">
      <c r="A36" s="67" t="s">
        <v>37</v>
      </c>
      <c r="B36" s="68"/>
      <c r="C36" s="68"/>
      <c r="D36" s="68"/>
      <c r="E36" s="68">
        <f>179812.5+222010</f>
        <v>401822.5</v>
      </c>
      <c r="F36" s="68"/>
      <c r="G36" s="77">
        <f>359625+179812.5+179812.5</f>
        <v>719250</v>
      </c>
      <c r="H36" s="65">
        <f>SUM(B36:G36)</f>
        <v>1121072.5</v>
      </c>
      <c r="I36" s="66" t="s">
        <v>57</v>
      </c>
    </row>
    <row r="37" spans="1:9" ht="24">
      <c r="A37" s="67" t="s">
        <v>38</v>
      </c>
      <c r="B37" s="68">
        <v>331284.33</v>
      </c>
      <c r="C37" s="68">
        <v>331284.33</v>
      </c>
      <c r="D37" s="68">
        <v>331284.33</v>
      </c>
      <c r="E37" s="68">
        <f>553294.33-401822.5</f>
        <v>151471.82999999996</v>
      </c>
      <c r="F37" s="68">
        <v>151471.83</v>
      </c>
      <c r="G37" s="77">
        <f>6104948-1698619.15-719250</f>
        <v>3687078.8499999996</v>
      </c>
      <c r="H37" s="65">
        <f>SUM(B37:G37)</f>
        <v>4983875.5</v>
      </c>
      <c r="I37" s="66"/>
    </row>
    <row r="38" spans="1:9" ht="24">
      <c r="A38" s="62" t="s">
        <v>30</v>
      </c>
      <c r="B38" s="68"/>
      <c r="C38" s="68"/>
      <c r="D38" s="66"/>
      <c r="E38" s="66"/>
      <c r="F38" s="66"/>
      <c r="G38" s="66"/>
      <c r="H38" s="65"/>
      <c r="I38" s="66"/>
    </row>
    <row r="39" spans="1:9" ht="24">
      <c r="A39" s="78" t="s">
        <v>34</v>
      </c>
      <c r="B39" s="79">
        <v>2640000</v>
      </c>
      <c r="C39" s="79">
        <v>2640000</v>
      </c>
      <c r="D39" s="80"/>
      <c r="E39" s="80"/>
      <c r="F39" s="80"/>
      <c r="G39" s="80"/>
      <c r="H39" s="81">
        <f>SUM(B39:G39)</f>
        <v>5280000</v>
      </c>
      <c r="I39" s="80" t="s">
        <v>58</v>
      </c>
    </row>
    <row r="40" spans="1:10" s="6" customFormat="1" ht="24">
      <c r="A40" s="62" t="s">
        <v>29</v>
      </c>
      <c r="B40" s="68"/>
      <c r="C40" s="68"/>
      <c r="D40" s="68"/>
      <c r="E40" s="68"/>
      <c r="F40" s="66"/>
      <c r="G40" s="66"/>
      <c r="H40" s="65"/>
      <c r="I40" s="66"/>
      <c r="J40" s="5"/>
    </row>
    <row r="41" spans="1:9" ht="73.5">
      <c r="A41" s="107" t="s">
        <v>32</v>
      </c>
      <c r="B41" s="106">
        <v>1995773.32</v>
      </c>
      <c r="C41" s="106">
        <v>529000</v>
      </c>
      <c r="D41" s="106">
        <v>859633.34</v>
      </c>
      <c r="E41" s="106">
        <v>705433.34</v>
      </c>
      <c r="F41" s="66"/>
      <c r="G41" s="66"/>
      <c r="H41" s="105">
        <f>SUM(B41:G41)</f>
        <v>4089840</v>
      </c>
      <c r="I41" s="82" t="s">
        <v>107</v>
      </c>
    </row>
    <row r="42" spans="1:9" ht="24">
      <c r="A42" s="62" t="s">
        <v>25</v>
      </c>
      <c r="B42" s="74"/>
      <c r="C42" s="74"/>
      <c r="D42" s="74"/>
      <c r="E42" s="74"/>
      <c r="F42" s="74"/>
      <c r="G42" s="74"/>
      <c r="H42" s="74"/>
      <c r="I42" s="74"/>
    </row>
    <row r="43" spans="1:9" ht="24">
      <c r="A43" s="67" t="s">
        <v>47</v>
      </c>
      <c r="B43" s="66"/>
      <c r="C43" s="68">
        <v>81642.8</v>
      </c>
      <c r="D43" s="68"/>
      <c r="E43" s="68"/>
      <c r="F43" s="68"/>
      <c r="G43" s="68">
        <f>30000+3383.51+6452.5+126440+104678.4</f>
        <v>270954.41000000003</v>
      </c>
      <c r="H43" s="68">
        <f>SUM(B43:G43)</f>
        <v>352597.21</v>
      </c>
      <c r="I43" s="66" t="s">
        <v>27</v>
      </c>
    </row>
    <row r="44" spans="1:9" ht="24">
      <c r="A44" s="72" t="s">
        <v>111</v>
      </c>
      <c r="B44" s="68">
        <v>223026.5</v>
      </c>
      <c r="C44" s="68">
        <v>223026.5</v>
      </c>
      <c r="D44" s="68">
        <v>223026.5</v>
      </c>
      <c r="E44" s="68">
        <v>223026.5</v>
      </c>
      <c r="F44" s="68">
        <v>30000</v>
      </c>
      <c r="G44" s="68">
        <f>493910+223026.5+223026.5+141660+68638.25+68638.25+270954.41-270954.41</f>
        <v>1218899.5</v>
      </c>
      <c r="H44" s="68">
        <f>SUM(B44:G44)</f>
        <v>2141005.5</v>
      </c>
      <c r="I44" s="66" t="s">
        <v>48</v>
      </c>
    </row>
    <row r="45" spans="1:9" ht="24">
      <c r="A45" s="62" t="s">
        <v>17</v>
      </c>
      <c r="B45" s="66"/>
      <c r="C45" s="83"/>
      <c r="D45" s="66"/>
      <c r="E45" s="66"/>
      <c r="F45" s="66"/>
      <c r="G45" s="66"/>
      <c r="H45" s="65"/>
      <c r="I45" s="66"/>
    </row>
    <row r="46" spans="1:9" ht="24">
      <c r="A46" s="67" t="s">
        <v>41</v>
      </c>
      <c r="B46" s="66"/>
      <c r="C46" s="66"/>
      <c r="D46" s="66"/>
      <c r="E46" s="66"/>
      <c r="F46" s="66"/>
      <c r="G46" s="68">
        <v>231000</v>
      </c>
      <c r="H46" s="65">
        <f>SUM(B46:G46)</f>
        <v>231000</v>
      </c>
      <c r="I46" s="66" t="s">
        <v>8</v>
      </c>
    </row>
    <row r="47" spans="1:9" ht="24">
      <c r="A47" s="67" t="s">
        <v>43</v>
      </c>
      <c r="B47" s="66"/>
      <c r="C47" s="68">
        <v>100074</v>
      </c>
      <c r="D47" s="66"/>
      <c r="E47" s="66"/>
      <c r="F47" s="66"/>
      <c r="G47" s="68"/>
      <c r="H47" s="65">
        <f>SUM(B47:G47)</f>
        <v>100074</v>
      </c>
      <c r="I47" s="66" t="s">
        <v>8</v>
      </c>
    </row>
    <row r="48" spans="1:9" ht="24">
      <c r="A48" s="67" t="s">
        <v>42</v>
      </c>
      <c r="B48" s="68">
        <v>1926600</v>
      </c>
      <c r="C48" s="74"/>
      <c r="D48" s="66"/>
      <c r="E48" s="66"/>
      <c r="F48" s="66"/>
      <c r="G48" s="68"/>
      <c r="H48" s="65">
        <f>SUM(B48:G48)</f>
        <v>1926600</v>
      </c>
      <c r="I48" s="66" t="s">
        <v>8</v>
      </c>
    </row>
    <row r="49" spans="1:9" ht="24">
      <c r="A49" s="62" t="s">
        <v>10</v>
      </c>
      <c r="B49" s="66"/>
      <c r="C49" s="68"/>
      <c r="D49" s="68"/>
      <c r="E49" s="68"/>
      <c r="F49" s="68"/>
      <c r="G49" s="68"/>
      <c r="H49" s="68"/>
      <c r="I49" s="66"/>
    </row>
    <row r="50" spans="1:9" ht="24">
      <c r="A50" s="67" t="s">
        <v>49</v>
      </c>
      <c r="B50" s="68">
        <v>423000</v>
      </c>
      <c r="C50" s="68">
        <v>992637.67</v>
      </c>
      <c r="D50" s="66"/>
      <c r="E50" s="66"/>
      <c r="F50" s="66"/>
      <c r="G50" s="66"/>
      <c r="H50" s="68">
        <f>SUM(B50:G50)</f>
        <v>1415637.67</v>
      </c>
      <c r="I50" s="66" t="s">
        <v>59</v>
      </c>
    </row>
    <row r="51" spans="1:9" ht="24">
      <c r="A51" s="62" t="s">
        <v>31</v>
      </c>
      <c r="B51" s="68"/>
      <c r="C51" s="68"/>
      <c r="D51" s="66"/>
      <c r="E51" s="66"/>
      <c r="F51" s="66"/>
      <c r="G51" s="68"/>
      <c r="H51" s="65"/>
      <c r="I51" s="74"/>
    </row>
    <row r="52" spans="1:9" ht="24">
      <c r="A52" s="67" t="s">
        <v>38</v>
      </c>
      <c r="B52" s="68">
        <v>64288</v>
      </c>
      <c r="C52" s="68">
        <v>64288</v>
      </c>
      <c r="D52" s="66"/>
      <c r="E52" s="66"/>
      <c r="F52" s="66"/>
      <c r="G52" s="68">
        <f>462340.2+257152-462340.2</f>
        <v>257151.99999999994</v>
      </c>
      <c r="H52" s="65">
        <f>SUM(B52:G52)</f>
        <v>385727.99999999994</v>
      </c>
      <c r="I52" s="66" t="s">
        <v>44</v>
      </c>
    </row>
    <row r="53" spans="1:9" ht="24">
      <c r="A53" s="72" t="s">
        <v>111</v>
      </c>
      <c r="B53" s="66"/>
      <c r="C53" s="66"/>
      <c r="D53" s="66"/>
      <c r="E53" s="66"/>
      <c r="F53" s="66"/>
      <c r="G53" s="66">
        <f>355455.1+106885.1</f>
        <v>462340.19999999995</v>
      </c>
      <c r="H53" s="65">
        <f>SUM(B53:G53)</f>
        <v>462340.19999999995</v>
      </c>
      <c r="I53" s="66" t="s">
        <v>27</v>
      </c>
    </row>
    <row r="54" spans="1:9" ht="24">
      <c r="A54" s="62" t="s">
        <v>19</v>
      </c>
      <c r="B54" s="66"/>
      <c r="C54" s="66"/>
      <c r="D54" s="66"/>
      <c r="E54" s="66"/>
      <c r="F54" s="66"/>
      <c r="G54" s="68"/>
      <c r="H54" s="65"/>
      <c r="I54" s="66"/>
    </row>
    <row r="55" spans="1:9" ht="24">
      <c r="A55" s="67" t="s">
        <v>38</v>
      </c>
      <c r="B55" s="66"/>
      <c r="C55" s="66"/>
      <c r="D55" s="66"/>
      <c r="E55" s="66"/>
      <c r="F55" s="66"/>
      <c r="G55" s="68">
        <v>104450</v>
      </c>
      <c r="H55" s="65">
        <f>SUM(B55:G55)</f>
        <v>104450</v>
      </c>
      <c r="I55" s="66" t="s">
        <v>40</v>
      </c>
    </row>
    <row r="56" spans="1:9" ht="24">
      <c r="A56" s="67" t="s">
        <v>39</v>
      </c>
      <c r="B56" s="66"/>
      <c r="C56" s="66"/>
      <c r="D56" s="66"/>
      <c r="E56" s="66"/>
      <c r="F56" s="66"/>
      <c r="G56" s="68">
        <v>233040</v>
      </c>
      <c r="H56" s="65">
        <f>SUM(B56:G56)</f>
        <v>233040</v>
      </c>
      <c r="I56" s="66" t="s">
        <v>56</v>
      </c>
    </row>
    <row r="57" spans="1:9" ht="24">
      <c r="A57" s="62" t="s">
        <v>7</v>
      </c>
      <c r="B57" s="66"/>
      <c r="C57" s="66"/>
      <c r="D57" s="66"/>
      <c r="E57" s="66"/>
      <c r="F57" s="66"/>
      <c r="G57" s="66"/>
      <c r="H57" s="65"/>
      <c r="I57" s="66"/>
    </row>
    <row r="58" spans="1:9" ht="24">
      <c r="A58" s="67" t="s">
        <v>45</v>
      </c>
      <c r="B58" s="66"/>
      <c r="C58" s="68">
        <v>136091</v>
      </c>
      <c r="D58" s="68">
        <v>171685</v>
      </c>
      <c r="E58" s="66"/>
      <c r="F58" s="66"/>
      <c r="G58" s="66"/>
      <c r="H58" s="65">
        <f>SUM(B58:G58)</f>
        <v>307776</v>
      </c>
      <c r="I58" s="66" t="s">
        <v>8</v>
      </c>
    </row>
    <row r="59" spans="1:9" ht="24">
      <c r="A59" s="62" t="s">
        <v>16</v>
      </c>
      <c r="B59" s="66"/>
      <c r="C59" s="66"/>
      <c r="D59" s="66"/>
      <c r="E59" s="66"/>
      <c r="F59" s="66"/>
      <c r="G59" s="84"/>
      <c r="H59" s="65"/>
      <c r="I59" s="66"/>
    </row>
    <row r="60" spans="1:9" ht="24">
      <c r="A60" s="67" t="s">
        <v>38</v>
      </c>
      <c r="B60" s="66"/>
      <c r="C60" s="66"/>
      <c r="D60" s="66"/>
      <c r="E60" s="66"/>
      <c r="F60" s="66"/>
      <c r="G60" s="85">
        <v>31740</v>
      </c>
      <c r="H60" s="65">
        <f>SUM(B60:G60)</f>
        <v>31740</v>
      </c>
      <c r="I60" s="66" t="s">
        <v>27</v>
      </c>
    </row>
    <row r="61" spans="1:9" ht="24">
      <c r="A61" s="86" t="s">
        <v>108</v>
      </c>
      <c r="B61" s="87"/>
      <c r="C61" s="68"/>
      <c r="D61" s="66"/>
      <c r="E61" s="68"/>
      <c r="F61" s="68"/>
      <c r="G61" s="68"/>
      <c r="H61" s="65"/>
      <c r="I61" s="66"/>
    </row>
    <row r="62" spans="1:9" ht="24">
      <c r="A62" s="67" t="s">
        <v>38</v>
      </c>
      <c r="B62" s="68">
        <f>2000000+2485500+600000</f>
        <v>5085500</v>
      </c>
      <c r="C62" s="68">
        <v>1859850</v>
      </c>
      <c r="D62" s="66"/>
      <c r="E62" s="68">
        <v>583736</v>
      </c>
      <c r="F62" s="68"/>
      <c r="G62" s="68"/>
      <c r="H62" s="65">
        <f aca="true" t="shared" si="1" ref="H62:H67">SUM(B62:G62)</f>
        <v>7529086</v>
      </c>
      <c r="I62" s="66" t="s">
        <v>67</v>
      </c>
    </row>
    <row r="63" spans="1:9" ht="24">
      <c r="A63" s="73" t="s">
        <v>33</v>
      </c>
      <c r="B63" s="68"/>
      <c r="C63" s="68"/>
      <c r="D63" s="68">
        <f>300000+3181540+300000</f>
        <v>3781540</v>
      </c>
      <c r="E63" s="68">
        <v>1725000</v>
      </c>
      <c r="F63" s="68"/>
      <c r="G63" s="68">
        <f>143500+162500+326300+647800+647800+315500+157750</f>
        <v>2401150</v>
      </c>
      <c r="H63" s="65">
        <f t="shared" si="1"/>
        <v>7907690</v>
      </c>
      <c r="I63" s="66" t="s">
        <v>109</v>
      </c>
    </row>
    <row r="64" spans="1:9" ht="24">
      <c r="A64" s="109" t="s">
        <v>32</v>
      </c>
      <c r="B64" s="68">
        <v>543000</v>
      </c>
      <c r="C64" s="68">
        <v>19699000</v>
      </c>
      <c r="D64" s="68">
        <v>9753000</v>
      </c>
      <c r="E64" s="68">
        <v>2034000</v>
      </c>
      <c r="F64" s="68">
        <v>907000</v>
      </c>
      <c r="G64" s="68">
        <v>54386000</v>
      </c>
      <c r="H64" s="65">
        <f t="shared" si="1"/>
        <v>87322000</v>
      </c>
      <c r="I64" s="66"/>
    </row>
    <row r="65" spans="1:9" ht="24">
      <c r="A65" s="67" t="s">
        <v>52</v>
      </c>
      <c r="B65" s="68">
        <v>7102000</v>
      </c>
      <c r="C65" s="68">
        <v>20268000</v>
      </c>
      <c r="D65" s="68">
        <f>2000000+1740000+200000+750000+6428000</f>
        <v>11118000</v>
      </c>
      <c r="E65" s="68">
        <v>3055000</v>
      </c>
      <c r="F65" s="68">
        <v>1205000</v>
      </c>
      <c r="G65" s="68">
        <f>2850000+2800000+525000+500000+30603000</f>
        <v>37278000</v>
      </c>
      <c r="H65" s="65">
        <f t="shared" si="1"/>
        <v>80026000</v>
      </c>
      <c r="I65" s="66"/>
    </row>
    <row r="66" spans="1:9" ht="24">
      <c r="A66" s="111" t="s">
        <v>110</v>
      </c>
      <c r="B66" s="68">
        <v>23810000</v>
      </c>
      <c r="C66" s="68">
        <v>10584000</v>
      </c>
      <c r="D66" s="68">
        <v>5133000</v>
      </c>
      <c r="E66" s="68">
        <v>12438000</v>
      </c>
      <c r="F66" s="68">
        <f>2171000+300000+700000+250000+200000</f>
        <v>3621000</v>
      </c>
      <c r="G66" s="68">
        <f>300000+200000+50000+100000+345000+70000+30000+7225000</f>
        <v>8320000</v>
      </c>
      <c r="H66" s="65">
        <f t="shared" si="1"/>
        <v>63906000</v>
      </c>
      <c r="I66" s="66"/>
    </row>
    <row r="67" spans="1:9" ht="24">
      <c r="A67" s="72" t="s">
        <v>111</v>
      </c>
      <c r="B67" s="112">
        <v>25052000</v>
      </c>
      <c r="C67" s="112">
        <v>36934000</v>
      </c>
      <c r="D67" s="112">
        <v>15491000</v>
      </c>
      <c r="E67" s="112">
        <v>5331000</v>
      </c>
      <c r="F67" s="112">
        <v>1074000</v>
      </c>
      <c r="G67" s="112">
        <v>366863847</v>
      </c>
      <c r="H67" s="113">
        <f t="shared" si="1"/>
        <v>450745847</v>
      </c>
      <c r="I67" s="114"/>
    </row>
    <row r="68" spans="1:9" ht="24.75" thickBot="1">
      <c r="A68" s="97" t="s">
        <v>2</v>
      </c>
      <c r="B68" s="98">
        <f aca="true" t="shared" si="2" ref="B68:H68">SUM(B6:B67)</f>
        <v>566783537.1099999</v>
      </c>
      <c r="C68" s="98">
        <f t="shared" si="2"/>
        <v>4044062482.71</v>
      </c>
      <c r="D68" s="98">
        <f t="shared" si="2"/>
        <v>73968100.17</v>
      </c>
      <c r="E68" s="98">
        <f t="shared" si="2"/>
        <v>29956328.17</v>
      </c>
      <c r="F68" s="98">
        <f t="shared" si="2"/>
        <v>8897329.83</v>
      </c>
      <c r="G68" s="98">
        <f t="shared" si="2"/>
        <v>1649722558.96</v>
      </c>
      <c r="H68" s="98">
        <f t="shared" si="2"/>
        <v>6373390336.950001</v>
      </c>
      <c r="I68" s="99"/>
    </row>
    <row r="69" spans="1:9" ht="24.75" thickTop="1">
      <c r="A69" s="100"/>
      <c r="B69" s="100"/>
      <c r="C69" s="100"/>
      <c r="D69" s="100"/>
      <c r="E69" s="100"/>
      <c r="F69" s="100"/>
      <c r="G69" s="100"/>
      <c r="H69" s="101"/>
      <c r="I69" s="102"/>
    </row>
    <row r="70" spans="2:8" ht="24">
      <c r="B70" s="7"/>
      <c r="C70" s="7"/>
      <c r="D70" s="7"/>
      <c r="E70" s="7"/>
      <c r="F70" s="7"/>
      <c r="G70" s="7"/>
      <c r="H70" s="7"/>
    </row>
    <row r="74" ht="24">
      <c r="G74" s="8"/>
    </row>
  </sheetData>
  <sheetProtection/>
  <mergeCells count="5">
    <mergeCell ref="A1:I1"/>
    <mergeCell ref="A3:A4"/>
    <mergeCell ref="B3:G3"/>
    <mergeCell ref="H3:H4"/>
    <mergeCell ref="I3:I4"/>
  </mergeCells>
  <printOptions/>
  <pageMargins left="0.49" right="0.4330708661417323" top="0.72" bottom="0.15748031496062992" header="1.01" footer="0.1181102362204724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"/>
  <sheetViews>
    <sheetView zoomScalePageLayoutView="0" workbookViewId="0" topLeftCell="A4">
      <pane xSplit="1" ySplit="1" topLeftCell="B5" activePane="bottomRight" state="frozen"/>
      <selection pane="topLeft" activeCell="A4" sqref="A4"/>
      <selection pane="topRight" activeCell="B4" sqref="B4"/>
      <selection pane="bottomLeft" activeCell="A5" sqref="A5"/>
      <selection pane="bottomRight" activeCell="A18" sqref="A18"/>
    </sheetView>
  </sheetViews>
  <sheetFormatPr defaultColWidth="9.140625" defaultRowHeight="21.75"/>
  <cols>
    <col min="1" max="1" width="47.28125" style="3" customWidth="1"/>
    <col min="2" max="2" width="18.57421875" style="1" bestFit="1" customWidth="1"/>
    <col min="3" max="3" width="20.421875" style="1" bestFit="1" customWidth="1"/>
    <col min="4" max="5" width="17.421875" style="1" bestFit="1" customWidth="1"/>
    <col min="6" max="6" width="17.00390625" style="1" bestFit="1" customWidth="1"/>
    <col min="7" max="7" width="20.8515625" style="1" customWidth="1"/>
    <col min="8" max="8" width="20.28125" style="1" customWidth="1"/>
    <col min="9" max="9" width="33.57421875" style="1" customWidth="1"/>
    <col min="10" max="10" width="14.00390625" style="2" bestFit="1" customWidth="1"/>
    <col min="11" max="11" width="15.00390625" style="1" bestFit="1" customWidth="1"/>
    <col min="12" max="16384" width="9.140625" style="1" customWidth="1"/>
  </cols>
  <sheetData>
    <row r="1" spans="1:9" ht="23.25">
      <c r="A1" s="116" t="s">
        <v>3</v>
      </c>
      <c r="B1" s="116"/>
      <c r="C1" s="116"/>
      <c r="D1" s="116"/>
      <c r="E1" s="116"/>
      <c r="F1" s="116"/>
      <c r="G1" s="116"/>
      <c r="H1" s="116"/>
      <c r="I1" s="116"/>
    </row>
    <row r="2" spans="2:9" ht="26.25">
      <c r="B2" s="4"/>
      <c r="C2" s="4"/>
      <c r="D2" s="4"/>
      <c r="E2" s="4"/>
      <c r="F2" s="4"/>
      <c r="G2" s="4"/>
      <c r="H2" s="3"/>
      <c r="I2" s="3"/>
    </row>
    <row r="3" spans="1:9" ht="24">
      <c r="A3" s="117" t="s">
        <v>65</v>
      </c>
      <c r="B3" s="119" t="s">
        <v>66</v>
      </c>
      <c r="C3" s="120"/>
      <c r="D3" s="120"/>
      <c r="E3" s="120"/>
      <c r="F3" s="120"/>
      <c r="G3" s="121"/>
      <c r="H3" s="122" t="s">
        <v>14</v>
      </c>
      <c r="I3" s="117" t="s">
        <v>4</v>
      </c>
    </row>
    <row r="4" spans="1:9" ht="24">
      <c r="A4" s="118"/>
      <c r="B4" s="103" t="s">
        <v>0</v>
      </c>
      <c r="C4" s="103" t="s">
        <v>1</v>
      </c>
      <c r="D4" s="104" t="s">
        <v>11</v>
      </c>
      <c r="E4" s="61" t="s">
        <v>12</v>
      </c>
      <c r="F4" s="60" t="s">
        <v>36</v>
      </c>
      <c r="G4" s="60" t="s">
        <v>13</v>
      </c>
      <c r="H4" s="118"/>
      <c r="I4" s="118"/>
    </row>
    <row r="5" spans="1:9" ht="24">
      <c r="A5" s="62" t="s">
        <v>23</v>
      </c>
      <c r="B5" s="63"/>
      <c r="C5" s="63"/>
      <c r="D5" s="64"/>
      <c r="E5" s="64"/>
      <c r="F5" s="64"/>
      <c r="G5" s="64"/>
      <c r="H5" s="65"/>
      <c r="I5" s="66"/>
    </row>
    <row r="6" spans="1:9" ht="24">
      <c r="A6" s="67" t="s">
        <v>39</v>
      </c>
      <c r="B6" s="68"/>
      <c r="C6" s="68">
        <v>1750000000</v>
      </c>
      <c r="D6" s="66"/>
      <c r="E6" s="66"/>
      <c r="F6" s="66"/>
      <c r="G6" s="66"/>
      <c r="H6" s="65">
        <f>SUM(B6:G6)</f>
        <v>1750000000</v>
      </c>
      <c r="I6" s="66" t="s">
        <v>24</v>
      </c>
    </row>
    <row r="7" spans="1:9" ht="24">
      <c r="A7" s="67" t="s">
        <v>50</v>
      </c>
      <c r="B7" s="68"/>
      <c r="C7" s="68">
        <v>1554700000</v>
      </c>
      <c r="D7" s="66"/>
      <c r="E7" s="66"/>
      <c r="F7" s="66"/>
      <c r="G7" s="68">
        <v>1015000000</v>
      </c>
      <c r="H7" s="65">
        <f>SUM(B7:G7)</f>
        <v>2569700000</v>
      </c>
      <c r="I7" s="66" t="s">
        <v>24</v>
      </c>
    </row>
    <row r="8" spans="1:9" ht="43.5" customHeight="1">
      <c r="A8" s="69" t="s">
        <v>63</v>
      </c>
      <c r="B8" s="68"/>
      <c r="C8" s="68"/>
      <c r="D8" s="66"/>
      <c r="E8" s="68"/>
      <c r="F8" s="68"/>
      <c r="G8" s="68"/>
      <c r="H8" s="65"/>
      <c r="I8" s="66"/>
    </row>
    <row r="9" spans="1:9" ht="24">
      <c r="A9" s="67" t="s">
        <v>38</v>
      </c>
      <c r="B9" s="68">
        <v>484414648.96</v>
      </c>
      <c r="C9" s="68">
        <v>597254718.48</v>
      </c>
      <c r="D9" s="66"/>
      <c r="E9" s="68"/>
      <c r="F9" s="68"/>
      <c r="G9" s="68"/>
      <c r="H9" s="65">
        <f>SUM(B9:G9)</f>
        <v>1081669367.44</v>
      </c>
      <c r="I9" s="66" t="s">
        <v>62</v>
      </c>
    </row>
    <row r="10" spans="1:9" ht="24">
      <c r="A10" s="70" t="s">
        <v>55</v>
      </c>
      <c r="B10" s="68"/>
      <c r="C10" s="68"/>
      <c r="D10" s="66"/>
      <c r="E10" s="68"/>
      <c r="F10" s="68"/>
      <c r="G10" s="68"/>
      <c r="H10" s="65"/>
      <c r="I10" s="66"/>
    </row>
    <row r="11" spans="1:9" ht="24">
      <c r="A11" s="71" t="s">
        <v>34</v>
      </c>
      <c r="B11" s="68">
        <v>6350000</v>
      </c>
      <c r="C11" s="68">
        <v>250000</v>
      </c>
      <c r="D11" s="68">
        <v>250000</v>
      </c>
      <c r="E11" s="68">
        <v>373907</v>
      </c>
      <c r="F11" s="68"/>
      <c r="G11" s="68">
        <f>1884409.28+22463857.37+184600+6000000+9395394.66+13119300</f>
        <v>53047561.31</v>
      </c>
      <c r="H11" s="65">
        <f>SUM(B11:G11)</f>
        <v>60271468.31</v>
      </c>
      <c r="I11" s="66" t="s">
        <v>61</v>
      </c>
    </row>
    <row r="12" spans="1:9" ht="24">
      <c r="A12" s="67" t="s">
        <v>38</v>
      </c>
      <c r="B12" s="68"/>
      <c r="C12" s="68"/>
      <c r="D12" s="66"/>
      <c r="E12" s="68"/>
      <c r="F12" s="68"/>
      <c r="G12" s="68">
        <f>365817.85+197778.56</f>
        <v>563596.4099999999</v>
      </c>
      <c r="H12" s="65">
        <f>SUM(B12:G12)</f>
        <v>563596.4099999999</v>
      </c>
      <c r="I12" s="66" t="s">
        <v>27</v>
      </c>
    </row>
    <row r="13" spans="1:9" ht="24">
      <c r="A13" s="71" t="s">
        <v>52</v>
      </c>
      <c r="B13" s="68"/>
      <c r="C13" s="68"/>
      <c r="D13" s="66"/>
      <c r="E13" s="68"/>
      <c r="F13" s="68"/>
      <c r="G13" s="68">
        <v>3609187.88</v>
      </c>
      <c r="H13" s="65">
        <f>SUM(B13:G13)</f>
        <v>3609187.88</v>
      </c>
      <c r="I13" s="66" t="s">
        <v>27</v>
      </c>
    </row>
    <row r="14" spans="1:9" ht="24">
      <c r="A14" s="72" t="s">
        <v>111</v>
      </c>
      <c r="B14" s="68"/>
      <c r="C14" s="68"/>
      <c r="D14" s="66"/>
      <c r="E14" s="68"/>
      <c r="F14" s="68"/>
      <c r="G14" s="68">
        <v>450000</v>
      </c>
      <c r="H14" s="65">
        <f>SUM(B14:G14)</f>
        <v>450000</v>
      </c>
      <c r="I14" s="66" t="s">
        <v>27</v>
      </c>
    </row>
    <row r="15" spans="1:9" ht="24">
      <c r="A15" s="108" t="s">
        <v>28</v>
      </c>
      <c r="B15" s="68"/>
      <c r="C15" s="68"/>
      <c r="D15" s="66"/>
      <c r="E15" s="66"/>
      <c r="F15" s="66"/>
      <c r="G15" s="68"/>
      <c r="H15" s="65"/>
      <c r="I15" s="66"/>
    </row>
    <row r="16" spans="1:9" ht="24">
      <c r="A16" s="109" t="s">
        <v>34</v>
      </c>
      <c r="B16" s="68">
        <f>864833+584528</f>
        <v>1449361</v>
      </c>
      <c r="C16" s="68">
        <f>864833+223695+442000+584528+193600</f>
        <v>2308656</v>
      </c>
      <c r="D16" s="68">
        <f>864833</f>
        <v>864833</v>
      </c>
      <c r="E16" s="68">
        <f>864833+442000+584528</f>
        <v>1891361</v>
      </c>
      <c r="F16" s="68">
        <f>26950+475200+207655+85720+864833</f>
        <v>1660358</v>
      </c>
      <c r="G16" s="68">
        <f>11415800+3000000+1765000+13000+5000000+7590000</f>
        <v>28783800</v>
      </c>
      <c r="H16" s="65">
        <f aca="true" t="shared" si="0" ref="H16:H22">SUM(B16:G16)</f>
        <v>36958369</v>
      </c>
      <c r="I16" s="66" t="s">
        <v>64</v>
      </c>
    </row>
    <row r="17" spans="1:9" ht="24">
      <c r="A17" s="109" t="s">
        <v>50</v>
      </c>
      <c r="B17" s="68"/>
      <c r="C17" s="68">
        <v>107675</v>
      </c>
      <c r="D17" s="66"/>
      <c r="E17" s="66"/>
      <c r="F17" s="66"/>
      <c r="G17" s="68"/>
      <c r="H17" s="65">
        <f t="shared" si="0"/>
        <v>107675</v>
      </c>
      <c r="I17" s="66" t="s">
        <v>60</v>
      </c>
    </row>
    <row r="18" spans="1:9" ht="24">
      <c r="A18" s="109" t="s">
        <v>51</v>
      </c>
      <c r="B18" s="68"/>
      <c r="C18" s="68"/>
      <c r="D18" s="66"/>
      <c r="E18" s="66"/>
      <c r="F18" s="66"/>
      <c r="G18" s="68">
        <v>4000000</v>
      </c>
      <c r="H18" s="65">
        <f t="shared" si="0"/>
        <v>4000000</v>
      </c>
      <c r="I18" s="66" t="s">
        <v>53</v>
      </c>
    </row>
    <row r="19" spans="1:9" ht="24">
      <c r="A19" s="109" t="s">
        <v>32</v>
      </c>
      <c r="B19" s="68"/>
      <c r="C19" s="68"/>
      <c r="D19" s="66"/>
      <c r="E19" s="68">
        <v>32620</v>
      </c>
      <c r="F19" s="68">
        <v>248500</v>
      </c>
      <c r="G19" s="68">
        <v>869750</v>
      </c>
      <c r="H19" s="65">
        <f t="shared" si="0"/>
        <v>1150870</v>
      </c>
      <c r="I19" s="66" t="s">
        <v>48</v>
      </c>
    </row>
    <row r="20" spans="1:9" ht="24">
      <c r="A20" s="67" t="s">
        <v>52</v>
      </c>
      <c r="B20" s="68"/>
      <c r="C20" s="68">
        <v>40000</v>
      </c>
      <c r="D20" s="66"/>
      <c r="E20" s="68"/>
      <c r="F20" s="68"/>
      <c r="G20" s="68">
        <v>5085487</v>
      </c>
      <c r="H20" s="65">
        <f t="shared" si="0"/>
        <v>5125487</v>
      </c>
      <c r="I20" s="66" t="s">
        <v>54</v>
      </c>
    </row>
    <row r="21" spans="1:9" ht="24">
      <c r="A21" s="67" t="s">
        <v>39</v>
      </c>
      <c r="B21" s="68"/>
      <c r="C21" s="68"/>
      <c r="D21" s="66"/>
      <c r="E21" s="68">
        <v>60000</v>
      </c>
      <c r="F21" s="68"/>
      <c r="G21" s="68">
        <v>129000</v>
      </c>
      <c r="H21" s="65">
        <f t="shared" si="0"/>
        <v>189000</v>
      </c>
      <c r="I21" s="66" t="s">
        <v>53</v>
      </c>
    </row>
    <row r="22" spans="1:9" ht="24">
      <c r="A22" s="73" t="s">
        <v>33</v>
      </c>
      <c r="B22" s="68"/>
      <c r="C22" s="68"/>
      <c r="D22" s="66"/>
      <c r="E22" s="68"/>
      <c r="F22" s="68"/>
      <c r="G22" s="68">
        <v>55600</v>
      </c>
      <c r="H22" s="65">
        <f t="shared" si="0"/>
        <v>55600</v>
      </c>
      <c r="I22" s="66" t="s">
        <v>27</v>
      </c>
    </row>
    <row r="23" spans="1:9" ht="24">
      <c r="A23" s="62" t="s">
        <v>9</v>
      </c>
      <c r="B23" s="74"/>
      <c r="C23" s="74"/>
      <c r="D23" s="74"/>
      <c r="E23" s="74"/>
      <c r="F23" s="74"/>
      <c r="G23" s="74"/>
      <c r="H23" s="74"/>
      <c r="I23" s="74"/>
    </row>
    <row r="24" spans="1:9" ht="24">
      <c r="A24" s="67" t="s">
        <v>39</v>
      </c>
      <c r="B24" s="68">
        <v>5373055</v>
      </c>
      <c r="C24" s="68">
        <v>9958538.93</v>
      </c>
      <c r="D24" s="68">
        <v>17697383</v>
      </c>
      <c r="E24" s="68">
        <v>949950</v>
      </c>
      <c r="F24" s="68"/>
      <c r="G24" s="68">
        <v>95490</v>
      </c>
      <c r="H24" s="68">
        <f>SUM(B24:G24)</f>
        <v>34074416.93</v>
      </c>
      <c r="I24" s="66" t="s">
        <v>26</v>
      </c>
    </row>
    <row r="25" spans="1:9" ht="24">
      <c r="A25" s="62" t="s">
        <v>18</v>
      </c>
      <c r="B25" s="66"/>
      <c r="C25" s="68"/>
      <c r="D25" s="66"/>
      <c r="E25" s="66"/>
      <c r="F25" s="66"/>
      <c r="G25" s="66"/>
      <c r="H25" s="65"/>
      <c r="I25" s="66"/>
    </row>
    <row r="26" spans="1:9" ht="24">
      <c r="A26" s="67" t="s">
        <v>46</v>
      </c>
      <c r="B26" s="66"/>
      <c r="C26" s="68">
        <v>35000000</v>
      </c>
      <c r="D26" s="66"/>
      <c r="E26" s="66"/>
      <c r="F26" s="66"/>
      <c r="G26" s="66"/>
      <c r="H26" s="65">
        <f>SUM(B26:G26)</f>
        <v>35000000</v>
      </c>
      <c r="I26" s="66" t="s">
        <v>20</v>
      </c>
    </row>
    <row r="27" spans="1:9" ht="24">
      <c r="A27" s="62" t="s">
        <v>6</v>
      </c>
      <c r="B27" s="66"/>
      <c r="C27" s="66"/>
      <c r="D27" s="66"/>
      <c r="E27" s="66"/>
      <c r="F27" s="66"/>
      <c r="G27" s="75"/>
      <c r="H27" s="65"/>
      <c r="I27" s="66"/>
    </row>
    <row r="28" spans="1:9" ht="24">
      <c r="A28" s="67" t="s">
        <v>38</v>
      </c>
      <c r="B28" s="66"/>
      <c r="C28" s="66"/>
      <c r="D28" s="66"/>
      <c r="E28" s="66"/>
      <c r="F28" s="66"/>
      <c r="G28" s="76">
        <v>22197934</v>
      </c>
      <c r="H28" s="65">
        <f>SUM(B28:G28)</f>
        <v>22197934</v>
      </c>
      <c r="I28" s="66" t="s">
        <v>27</v>
      </c>
    </row>
    <row r="29" spans="1:9" ht="24">
      <c r="A29" s="62" t="s">
        <v>22</v>
      </c>
      <c r="B29" s="66"/>
      <c r="C29" s="68"/>
      <c r="D29" s="68"/>
      <c r="E29" s="68"/>
      <c r="F29" s="68"/>
      <c r="G29" s="68"/>
      <c r="H29" s="68"/>
      <c r="I29" s="74"/>
    </row>
    <row r="30" spans="1:9" ht="24">
      <c r="A30" s="67" t="s">
        <v>47</v>
      </c>
      <c r="B30" s="66"/>
      <c r="C30" s="68"/>
      <c r="D30" s="68"/>
      <c r="E30" s="68"/>
      <c r="F30" s="68"/>
      <c r="G30" s="68">
        <v>21812320</v>
      </c>
      <c r="H30" s="68">
        <f>SUM(B30:G30)</f>
        <v>21812320</v>
      </c>
      <c r="I30" s="66" t="s">
        <v>27</v>
      </c>
    </row>
    <row r="31" spans="1:9" ht="24">
      <c r="A31" s="62" t="s">
        <v>21</v>
      </c>
      <c r="B31" s="66"/>
      <c r="C31" s="66"/>
      <c r="D31" s="66"/>
      <c r="E31" s="66"/>
      <c r="F31" s="66"/>
      <c r="G31" s="75"/>
      <c r="H31" s="65"/>
      <c r="I31" s="66"/>
    </row>
    <row r="32" spans="1:9" ht="24">
      <c r="A32" s="72" t="s">
        <v>111</v>
      </c>
      <c r="B32" s="66"/>
      <c r="C32" s="66"/>
      <c r="D32" s="66"/>
      <c r="E32" s="66"/>
      <c r="F32" s="66"/>
      <c r="G32" s="76">
        <v>17557930.4</v>
      </c>
      <c r="H32" s="65">
        <f>SUM(B32:G32)</f>
        <v>17557930.4</v>
      </c>
      <c r="I32" s="66" t="s">
        <v>27</v>
      </c>
    </row>
    <row r="33" spans="1:9" ht="24">
      <c r="A33" s="62" t="s">
        <v>15</v>
      </c>
      <c r="B33" s="66"/>
      <c r="C33" s="66"/>
      <c r="D33" s="68"/>
      <c r="E33" s="66"/>
      <c r="F33" s="66"/>
      <c r="G33" s="66"/>
      <c r="H33" s="65"/>
      <c r="I33" s="66"/>
    </row>
    <row r="34" spans="1:9" ht="24">
      <c r="A34" s="73" t="s">
        <v>33</v>
      </c>
      <c r="B34" s="66"/>
      <c r="C34" s="66"/>
      <c r="D34" s="68">
        <v>8293715</v>
      </c>
      <c r="E34" s="66"/>
      <c r="F34" s="66"/>
      <c r="G34" s="66"/>
      <c r="H34" s="65">
        <f>SUM(B34:G34)</f>
        <v>8293715</v>
      </c>
      <c r="I34" s="66" t="s">
        <v>35</v>
      </c>
    </row>
    <row r="35" spans="1:9" ht="24">
      <c r="A35" s="62" t="s">
        <v>5</v>
      </c>
      <c r="B35" s="74"/>
      <c r="C35" s="74"/>
      <c r="D35" s="74"/>
      <c r="E35" s="74"/>
      <c r="F35" s="74"/>
      <c r="G35" s="74"/>
      <c r="H35" s="74"/>
      <c r="I35" s="66"/>
    </row>
    <row r="36" spans="1:9" ht="24">
      <c r="A36" s="67" t="s">
        <v>37</v>
      </c>
      <c r="B36" s="68"/>
      <c r="C36" s="68"/>
      <c r="D36" s="68"/>
      <c r="E36" s="68">
        <f>179812.5+222010</f>
        <v>401822.5</v>
      </c>
      <c r="F36" s="68"/>
      <c r="G36" s="77">
        <f>359625+179812.5+179812.5</f>
        <v>719250</v>
      </c>
      <c r="H36" s="65">
        <f>SUM(B36:G36)</f>
        <v>1121072.5</v>
      </c>
      <c r="I36" s="66" t="s">
        <v>57</v>
      </c>
    </row>
    <row r="37" spans="1:9" ht="24">
      <c r="A37" s="67" t="s">
        <v>38</v>
      </c>
      <c r="B37" s="68">
        <v>331284.33</v>
      </c>
      <c r="C37" s="68">
        <v>331284.33</v>
      </c>
      <c r="D37" s="68">
        <v>331284.33</v>
      </c>
      <c r="E37" s="68">
        <f>553294.33-401822.5</f>
        <v>151471.82999999996</v>
      </c>
      <c r="F37" s="68">
        <v>151471.83</v>
      </c>
      <c r="G37" s="77">
        <f>6104948-1698619.15-719250</f>
        <v>3687078.8499999996</v>
      </c>
      <c r="H37" s="65">
        <f>SUM(B37:G37)</f>
        <v>4983875.5</v>
      </c>
      <c r="I37" s="66"/>
    </row>
    <row r="38" spans="1:9" ht="24">
      <c r="A38" s="62" t="s">
        <v>30</v>
      </c>
      <c r="B38" s="68"/>
      <c r="C38" s="68"/>
      <c r="D38" s="66"/>
      <c r="E38" s="66"/>
      <c r="F38" s="66"/>
      <c r="G38" s="66"/>
      <c r="H38" s="65"/>
      <c r="I38" s="66"/>
    </row>
    <row r="39" spans="1:9" ht="24">
      <c r="A39" s="78" t="s">
        <v>34</v>
      </c>
      <c r="B39" s="79">
        <v>2640000</v>
      </c>
      <c r="C39" s="79">
        <v>2640000</v>
      </c>
      <c r="D39" s="80"/>
      <c r="E39" s="80"/>
      <c r="F39" s="80"/>
      <c r="G39" s="80"/>
      <c r="H39" s="81">
        <f>SUM(B39:G39)</f>
        <v>5280000</v>
      </c>
      <c r="I39" s="80" t="s">
        <v>58</v>
      </c>
    </row>
    <row r="40" spans="1:10" s="6" customFormat="1" ht="24">
      <c r="A40" s="62" t="s">
        <v>29</v>
      </c>
      <c r="B40" s="68"/>
      <c r="C40" s="68"/>
      <c r="D40" s="68"/>
      <c r="E40" s="68"/>
      <c r="F40" s="66"/>
      <c r="G40" s="66"/>
      <c r="H40" s="65"/>
      <c r="I40" s="66"/>
      <c r="J40" s="5"/>
    </row>
    <row r="41" spans="1:9" ht="54" customHeight="1">
      <c r="A41" s="107" t="s">
        <v>32</v>
      </c>
      <c r="B41" s="68">
        <v>1995773.32</v>
      </c>
      <c r="C41" s="68">
        <v>529000</v>
      </c>
      <c r="D41" s="68">
        <v>859633.34</v>
      </c>
      <c r="E41" s="106">
        <v>705433.34</v>
      </c>
      <c r="F41" s="66"/>
      <c r="G41" s="66"/>
      <c r="H41" s="105">
        <f>SUM(B41:G41)</f>
        <v>4089840</v>
      </c>
      <c r="I41" s="82" t="s">
        <v>88</v>
      </c>
    </row>
    <row r="42" spans="1:9" ht="24">
      <c r="A42" s="62" t="s">
        <v>25</v>
      </c>
      <c r="B42" s="74"/>
      <c r="C42" s="74"/>
      <c r="D42" s="74"/>
      <c r="E42" s="74"/>
      <c r="F42" s="74"/>
      <c r="G42" s="74"/>
      <c r="H42" s="74"/>
      <c r="I42" s="74"/>
    </row>
    <row r="43" spans="1:9" ht="24">
      <c r="A43" s="67" t="s">
        <v>47</v>
      </c>
      <c r="B43" s="66"/>
      <c r="C43" s="68">
        <v>81642.8</v>
      </c>
      <c r="D43" s="68"/>
      <c r="E43" s="68"/>
      <c r="F43" s="68"/>
      <c r="G43" s="68">
        <f>30000+3383.51+6452.5+126440+104678.4</f>
        <v>270954.41000000003</v>
      </c>
      <c r="H43" s="68">
        <f>SUM(B43:G43)</f>
        <v>352597.21</v>
      </c>
      <c r="I43" s="66" t="s">
        <v>27</v>
      </c>
    </row>
    <row r="44" spans="1:9" ht="24">
      <c r="A44" s="72" t="s">
        <v>111</v>
      </c>
      <c r="B44" s="68">
        <v>223026.5</v>
      </c>
      <c r="C44" s="68">
        <v>223026.5</v>
      </c>
      <c r="D44" s="68">
        <v>223026.5</v>
      </c>
      <c r="E44" s="68">
        <v>223026.5</v>
      </c>
      <c r="F44" s="68">
        <v>30000</v>
      </c>
      <c r="G44" s="68">
        <f>493910+223026.5+223026.5+141660+68638.25+68638.25+270954.41-270954.41</f>
        <v>1218899.5</v>
      </c>
      <c r="H44" s="68">
        <f>SUM(B44:G44)</f>
        <v>2141005.5</v>
      </c>
      <c r="I44" s="66" t="s">
        <v>48</v>
      </c>
    </row>
    <row r="45" spans="1:9" ht="24">
      <c r="A45" s="62" t="s">
        <v>17</v>
      </c>
      <c r="B45" s="66"/>
      <c r="C45" s="83"/>
      <c r="D45" s="66"/>
      <c r="E45" s="66"/>
      <c r="F45" s="66"/>
      <c r="G45" s="66"/>
      <c r="H45" s="65"/>
      <c r="I45" s="66"/>
    </row>
    <row r="46" spans="1:9" ht="24">
      <c r="A46" s="67" t="s">
        <v>41</v>
      </c>
      <c r="B46" s="66"/>
      <c r="C46" s="66"/>
      <c r="D46" s="66"/>
      <c r="E46" s="66"/>
      <c r="F46" s="66"/>
      <c r="G46" s="68">
        <v>231000</v>
      </c>
      <c r="H46" s="65">
        <f>SUM(B46:G46)</f>
        <v>231000</v>
      </c>
      <c r="I46" s="66" t="s">
        <v>8</v>
      </c>
    </row>
    <row r="47" spans="1:9" ht="24">
      <c r="A47" s="67" t="s">
        <v>43</v>
      </c>
      <c r="B47" s="66"/>
      <c r="C47" s="68">
        <v>100074</v>
      </c>
      <c r="D47" s="66"/>
      <c r="E47" s="66"/>
      <c r="F47" s="66"/>
      <c r="G47" s="68"/>
      <c r="H47" s="65">
        <f>SUM(B47:G47)</f>
        <v>100074</v>
      </c>
      <c r="I47" s="66" t="s">
        <v>8</v>
      </c>
    </row>
    <row r="48" spans="1:9" ht="24">
      <c r="A48" s="67" t="s">
        <v>42</v>
      </c>
      <c r="B48" s="68">
        <v>1926600</v>
      </c>
      <c r="C48" s="74"/>
      <c r="D48" s="66"/>
      <c r="E48" s="66"/>
      <c r="F48" s="66"/>
      <c r="G48" s="68"/>
      <c r="H48" s="65">
        <f>SUM(B48:G48)</f>
        <v>1926600</v>
      </c>
      <c r="I48" s="66" t="s">
        <v>8</v>
      </c>
    </row>
    <row r="49" spans="1:9" ht="24">
      <c r="A49" s="62" t="s">
        <v>10</v>
      </c>
      <c r="B49" s="66"/>
      <c r="C49" s="68"/>
      <c r="D49" s="68"/>
      <c r="E49" s="68"/>
      <c r="F49" s="68"/>
      <c r="G49" s="68"/>
      <c r="H49" s="68"/>
      <c r="I49" s="66"/>
    </row>
    <row r="50" spans="1:9" ht="24">
      <c r="A50" s="67" t="s">
        <v>49</v>
      </c>
      <c r="B50" s="68">
        <v>423000</v>
      </c>
      <c r="C50" s="68">
        <v>992637.67</v>
      </c>
      <c r="D50" s="66"/>
      <c r="E50" s="66"/>
      <c r="F50" s="66"/>
      <c r="G50" s="66"/>
      <c r="H50" s="68">
        <f>SUM(B50:G50)</f>
        <v>1415637.67</v>
      </c>
      <c r="I50" s="66" t="s">
        <v>59</v>
      </c>
    </row>
    <row r="51" spans="1:9" ht="24">
      <c r="A51" s="62" t="s">
        <v>31</v>
      </c>
      <c r="B51" s="68"/>
      <c r="C51" s="68"/>
      <c r="D51" s="66"/>
      <c r="E51" s="66"/>
      <c r="F51" s="66"/>
      <c r="G51" s="68"/>
      <c r="H51" s="65"/>
      <c r="I51" s="74"/>
    </row>
    <row r="52" spans="1:9" ht="24">
      <c r="A52" s="67" t="s">
        <v>38</v>
      </c>
      <c r="B52" s="68">
        <v>64288</v>
      </c>
      <c r="C52" s="68">
        <v>64288</v>
      </c>
      <c r="D52" s="66"/>
      <c r="E52" s="66"/>
      <c r="F52" s="66"/>
      <c r="G52" s="68">
        <f>462340.2+257152-462340.2</f>
        <v>257151.99999999994</v>
      </c>
      <c r="H52" s="65">
        <f>SUM(B52:G52)</f>
        <v>385727.99999999994</v>
      </c>
      <c r="I52" s="66" t="s">
        <v>44</v>
      </c>
    </row>
    <row r="53" spans="1:9" ht="24">
      <c r="A53" s="72" t="s">
        <v>111</v>
      </c>
      <c r="B53" s="66"/>
      <c r="C53" s="66"/>
      <c r="D53" s="66"/>
      <c r="E53" s="66"/>
      <c r="F53" s="66"/>
      <c r="G53" s="66">
        <f>355455.1+106885.1</f>
        <v>462340.19999999995</v>
      </c>
      <c r="H53" s="65">
        <f>SUM(B53:G53)</f>
        <v>462340.19999999995</v>
      </c>
      <c r="I53" s="66" t="s">
        <v>27</v>
      </c>
    </row>
    <row r="54" spans="1:9" ht="24">
      <c r="A54" s="62" t="s">
        <v>19</v>
      </c>
      <c r="B54" s="66"/>
      <c r="C54" s="66"/>
      <c r="D54" s="66"/>
      <c r="E54" s="66"/>
      <c r="F54" s="66"/>
      <c r="G54" s="68"/>
      <c r="H54" s="65"/>
      <c r="I54" s="66"/>
    </row>
    <row r="55" spans="1:9" ht="24">
      <c r="A55" s="67" t="s">
        <v>38</v>
      </c>
      <c r="B55" s="66"/>
      <c r="C55" s="66"/>
      <c r="D55" s="66"/>
      <c r="E55" s="66"/>
      <c r="F55" s="66"/>
      <c r="G55" s="68">
        <v>104450</v>
      </c>
      <c r="H55" s="65">
        <f>SUM(B55:G55)</f>
        <v>104450</v>
      </c>
      <c r="I55" s="66" t="s">
        <v>40</v>
      </c>
    </row>
    <row r="56" spans="1:9" ht="24">
      <c r="A56" s="67" t="s">
        <v>39</v>
      </c>
      <c r="B56" s="66"/>
      <c r="C56" s="66"/>
      <c r="D56" s="66"/>
      <c r="E56" s="66"/>
      <c r="F56" s="66"/>
      <c r="G56" s="68">
        <v>233040</v>
      </c>
      <c r="H56" s="65">
        <f>SUM(B56:G56)</f>
        <v>233040</v>
      </c>
      <c r="I56" s="66" t="s">
        <v>56</v>
      </c>
    </row>
    <row r="57" spans="1:9" ht="24">
      <c r="A57" s="62" t="s">
        <v>7</v>
      </c>
      <c r="B57" s="66"/>
      <c r="C57" s="66"/>
      <c r="D57" s="66"/>
      <c r="E57" s="66"/>
      <c r="F57" s="66"/>
      <c r="G57" s="66"/>
      <c r="H57" s="65"/>
      <c r="I57" s="66"/>
    </row>
    <row r="58" spans="1:9" ht="24">
      <c r="A58" s="67" t="s">
        <v>45</v>
      </c>
      <c r="B58" s="66"/>
      <c r="C58" s="68">
        <v>136091</v>
      </c>
      <c r="D58" s="68">
        <v>171685</v>
      </c>
      <c r="E58" s="66"/>
      <c r="F58" s="66"/>
      <c r="G58" s="66"/>
      <c r="H58" s="65">
        <f>SUM(B58:G58)</f>
        <v>307776</v>
      </c>
      <c r="I58" s="66" t="s">
        <v>8</v>
      </c>
    </row>
    <row r="59" spans="1:9" ht="24">
      <c r="A59" s="62" t="s">
        <v>16</v>
      </c>
      <c r="B59" s="66"/>
      <c r="C59" s="66"/>
      <c r="D59" s="66"/>
      <c r="E59" s="66"/>
      <c r="F59" s="66"/>
      <c r="G59" s="84"/>
      <c r="H59" s="65"/>
      <c r="I59" s="66"/>
    </row>
    <row r="60" spans="1:9" ht="24">
      <c r="A60" s="67" t="s">
        <v>38</v>
      </c>
      <c r="B60" s="66"/>
      <c r="C60" s="66"/>
      <c r="D60" s="66"/>
      <c r="E60" s="66"/>
      <c r="F60" s="66"/>
      <c r="G60" s="85">
        <v>31740</v>
      </c>
      <c r="H60" s="65">
        <f>SUM(B60:G60)</f>
        <v>31740</v>
      </c>
      <c r="I60" s="66" t="s">
        <v>27</v>
      </c>
    </row>
    <row r="61" spans="1:9" ht="24">
      <c r="A61" s="86" t="s">
        <v>86</v>
      </c>
      <c r="B61" s="87"/>
      <c r="C61" s="68"/>
      <c r="D61" s="66"/>
      <c r="E61" s="68"/>
      <c r="F61" s="68"/>
      <c r="G61" s="68"/>
      <c r="H61" s="65"/>
      <c r="I61" s="66"/>
    </row>
    <row r="62" spans="1:9" ht="24">
      <c r="A62" s="88" t="s">
        <v>34</v>
      </c>
      <c r="B62" s="89"/>
      <c r="C62" s="89"/>
      <c r="D62" s="90"/>
      <c r="E62" s="89"/>
      <c r="F62" s="89"/>
      <c r="G62" s="89">
        <f>300000+200000+300000+700000+250000+200000+50000+100000+30000+20000+50000+345000+70000</f>
        <v>2615000</v>
      </c>
      <c r="H62" s="91">
        <f>SUM(B62:G62)</f>
        <v>2615000</v>
      </c>
      <c r="I62" s="82" t="s">
        <v>87</v>
      </c>
    </row>
    <row r="63" spans="1:9" ht="24">
      <c r="A63" s="88" t="s">
        <v>33</v>
      </c>
      <c r="B63" s="89"/>
      <c r="C63" s="89"/>
      <c r="D63" s="89">
        <f>3181540+300000</f>
        <v>3481540</v>
      </c>
      <c r="E63" s="89">
        <v>1725000</v>
      </c>
      <c r="F63" s="89"/>
      <c r="G63" s="89">
        <f>162500+326300+647800+647800+315500+157750</f>
        <v>2257650</v>
      </c>
      <c r="H63" s="91">
        <f>SUM(B63:G63)</f>
        <v>7464190</v>
      </c>
      <c r="I63" s="66" t="s">
        <v>27</v>
      </c>
    </row>
    <row r="64" spans="1:9" ht="24">
      <c r="A64" s="88" t="s">
        <v>76</v>
      </c>
      <c r="B64" s="89">
        <v>2000000</v>
      </c>
      <c r="C64" s="89">
        <v>866000</v>
      </c>
      <c r="D64" s="89">
        <v>4990000</v>
      </c>
      <c r="E64" s="89"/>
      <c r="F64" s="89"/>
      <c r="G64" s="89">
        <v>6818500</v>
      </c>
      <c r="H64" s="91">
        <f>SUM(B64:G64)</f>
        <v>14674500</v>
      </c>
      <c r="I64" s="82" t="s">
        <v>84</v>
      </c>
    </row>
    <row r="65" spans="1:9" ht="24">
      <c r="A65" s="92" t="s">
        <v>38</v>
      </c>
      <c r="B65" s="89">
        <f>2485500+600000</f>
        <v>3085500</v>
      </c>
      <c r="C65" s="89">
        <v>993850</v>
      </c>
      <c r="D65" s="90"/>
      <c r="E65" s="89">
        <v>583736</v>
      </c>
      <c r="F65" s="89"/>
      <c r="G65" s="89"/>
      <c r="H65" s="91">
        <f>SUM(B65:G65)</f>
        <v>4663086</v>
      </c>
      <c r="I65" s="82" t="s">
        <v>20</v>
      </c>
    </row>
    <row r="66" spans="1:9" ht="24">
      <c r="A66" s="93" t="s">
        <v>82</v>
      </c>
      <c r="B66" s="89"/>
      <c r="C66" s="89"/>
      <c r="D66" s="90"/>
      <c r="E66" s="89"/>
      <c r="F66" s="89"/>
      <c r="G66" s="89">
        <v>261199547</v>
      </c>
      <c r="H66" s="91">
        <f>SUM(B66:G66)</f>
        <v>261199547</v>
      </c>
      <c r="I66" s="66" t="s">
        <v>27</v>
      </c>
    </row>
    <row r="67" spans="1:9" ht="24">
      <c r="A67" s="94" t="s">
        <v>83</v>
      </c>
      <c r="B67" s="89"/>
      <c r="C67" s="89"/>
      <c r="D67" s="90"/>
      <c r="E67" s="89"/>
      <c r="F67" s="89"/>
      <c r="G67" s="89"/>
      <c r="H67" s="91"/>
      <c r="I67" s="66"/>
    </row>
    <row r="68" spans="1:9" ht="24">
      <c r="A68" s="73" t="s">
        <v>32</v>
      </c>
      <c r="B68" s="68">
        <v>5430000</v>
      </c>
      <c r="C68" s="68">
        <v>19699000</v>
      </c>
      <c r="D68" s="68">
        <v>9753000</v>
      </c>
      <c r="E68" s="68">
        <v>2034000</v>
      </c>
      <c r="F68" s="68">
        <f>65000+121000</f>
        <v>186000</v>
      </c>
      <c r="G68" s="68">
        <v>50220000</v>
      </c>
      <c r="H68" s="65">
        <f aca="true" t="shared" si="1" ref="H68:H86">SUM(B68:G68)</f>
        <v>87322000</v>
      </c>
      <c r="I68" s="66" t="s">
        <v>67</v>
      </c>
    </row>
    <row r="69" spans="1:11" ht="24">
      <c r="A69" s="73" t="s">
        <v>47</v>
      </c>
      <c r="B69" s="68"/>
      <c r="C69" s="68">
        <v>1323000</v>
      </c>
      <c r="D69" s="68"/>
      <c r="E69" s="68"/>
      <c r="F69" s="68">
        <v>148000</v>
      </c>
      <c r="G69" s="68">
        <v>756000</v>
      </c>
      <c r="H69" s="65">
        <f t="shared" si="1"/>
        <v>2227000</v>
      </c>
      <c r="I69" s="66" t="s">
        <v>85</v>
      </c>
      <c r="K69" s="8"/>
    </row>
    <row r="70" spans="1:9" ht="24">
      <c r="A70" s="73" t="s">
        <v>68</v>
      </c>
      <c r="B70" s="68">
        <v>341000</v>
      </c>
      <c r="C70" s="68"/>
      <c r="D70" s="68">
        <v>349000</v>
      </c>
      <c r="E70" s="68">
        <v>210000</v>
      </c>
      <c r="F70" s="68"/>
      <c r="G70" s="68">
        <v>10034000</v>
      </c>
      <c r="H70" s="65">
        <f t="shared" si="1"/>
        <v>10934000</v>
      </c>
      <c r="I70" s="66"/>
    </row>
    <row r="71" spans="1:9" ht="24">
      <c r="A71" s="73" t="s">
        <v>34</v>
      </c>
      <c r="B71" s="68">
        <v>23810000</v>
      </c>
      <c r="C71" s="68">
        <v>10584000</v>
      </c>
      <c r="D71" s="68">
        <v>5133000</v>
      </c>
      <c r="E71" s="68">
        <v>12438000</v>
      </c>
      <c r="F71" s="68">
        <v>2171000</v>
      </c>
      <c r="G71" s="68">
        <v>7225000</v>
      </c>
      <c r="H71" s="65">
        <f t="shared" si="1"/>
        <v>61361000</v>
      </c>
      <c r="I71" s="66"/>
    </row>
    <row r="72" spans="1:9" ht="24">
      <c r="A72" s="73" t="s">
        <v>69</v>
      </c>
      <c r="B72" s="68"/>
      <c r="C72" s="68">
        <v>537000</v>
      </c>
      <c r="D72" s="68">
        <v>899000</v>
      </c>
      <c r="E72" s="68"/>
      <c r="F72" s="68"/>
      <c r="G72" s="68">
        <v>0</v>
      </c>
      <c r="H72" s="65">
        <f t="shared" si="1"/>
        <v>1436000</v>
      </c>
      <c r="I72" s="66"/>
    </row>
    <row r="73" spans="1:9" ht="24">
      <c r="A73" s="73" t="s">
        <v>50</v>
      </c>
      <c r="B73" s="68">
        <v>234000</v>
      </c>
      <c r="C73" s="68">
        <v>585000</v>
      </c>
      <c r="D73" s="68">
        <v>917000</v>
      </c>
      <c r="E73" s="68"/>
      <c r="F73" s="68"/>
      <c r="G73" s="68">
        <v>0</v>
      </c>
      <c r="H73" s="65">
        <f t="shared" si="1"/>
        <v>1736000</v>
      </c>
      <c r="I73" s="66"/>
    </row>
    <row r="74" spans="1:9" ht="24">
      <c r="A74" s="73" t="s">
        <v>70</v>
      </c>
      <c r="B74" s="68">
        <v>88000</v>
      </c>
      <c r="C74" s="68">
        <v>1265000</v>
      </c>
      <c r="D74" s="68">
        <v>863000</v>
      </c>
      <c r="E74" s="68">
        <v>435000</v>
      </c>
      <c r="F74" s="68"/>
      <c r="G74" s="68">
        <v>1369000</v>
      </c>
      <c r="H74" s="65">
        <f t="shared" si="1"/>
        <v>4020000</v>
      </c>
      <c r="I74" s="66"/>
    </row>
    <row r="75" spans="1:9" ht="24">
      <c r="A75" s="73" t="s">
        <v>71</v>
      </c>
      <c r="B75" s="68">
        <v>190000</v>
      </c>
      <c r="C75" s="68"/>
      <c r="D75" s="68">
        <v>1114000</v>
      </c>
      <c r="E75" s="68"/>
      <c r="F75" s="68"/>
      <c r="G75" s="68">
        <v>1411000</v>
      </c>
      <c r="H75" s="65">
        <f t="shared" si="1"/>
        <v>2715000</v>
      </c>
      <c r="I75" s="66"/>
    </row>
    <row r="76" spans="1:9" ht="24">
      <c r="A76" s="73" t="s">
        <v>72</v>
      </c>
      <c r="B76" s="68"/>
      <c r="C76" s="68">
        <v>6129000</v>
      </c>
      <c r="D76" s="68"/>
      <c r="E76" s="68"/>
      <c r="F76" s="68"/>
      <c r="G76" s="68">
        <v>0</v>
      </c>
      <c r="H76" s="65">
        <f t="shared" si="1"/>
        <v>6129000</v>
      </c>
      <c r="I76" s="66"/>
    </row>
    <row r="77" spans="1:9" ht="24">
      <c r="A77" s="73" t="s">
        <v>73</v>
      </c>
      <c r="B77" s="68">
        <v>2785000</v>
      </c>
      <c r="C77" s="68">
        <v>831000</v>
      </c>
      <c r="D77" s="68"/>
      <c r="E77" s="68"/>
      <c r="F77" s="68"/>
      <c r="G77" s="68">
        <v>2343000</v>
      </c>
      <c r="H77" s="65">
        <f t="shared" si="1"/>
        <v>5959000</v>
      </c>
      <c r="I77" s="66"/>
    </row>
    <row r="78" spans="1:9" ht="24">
      <c r="A78" s="73" t="s">
        <v>74</v>
      </c>
      <c r="B78" s="68">
        <v>626000</v>
      </c>
      <c r="C78" s="68">
        <v>2512000</v>
      </c>
      <c r="D78" s="68">
        <v>1621000</v>
      </c>
      <c r="E78" s="68">
        <v>900000</v>
      </c>
      <c r="F78" s="68">
        <f>476000+21000</f>
        <v>497000</v>
      </c>
      <c r="G78" s="68">
        <v>11770000</v>
      </c>
      <c r="H78" s="65">
        <f t="shared" si="1"/>
        <v>17926000</v>
      </c>
      <c r="I78" s="66"/>
    </row>
    <row r="79" spans="1:9" ht="24">
      <c r="A79" s="73" t="s">
        <v>75</v>
      </c>
      <c r="B79" s="68">
        <v>7336000</v>
      </c>
      <c r="C79" s="68">
        <v>8832000</v>
      </c>
      <c r="D79" s="68">
        <v>1519000</v>
      </c>
      <c r="E79" s="68">
        <v>1299000</v>
      </c>
      <c r="F79" s="68">
        <f>272000</f>
        <v>272000</v>
      </c>
      <c r="G79" s="68">
        <v>16542000</v>
      </c>
      <c r="H79" s="65">
        <f t="shared" si="1"/>
        <v>35800000</v>
      </c>
      <c r="I79" s="66"/>
    </row>
    <row r="80" spans="1:9" ht="24">
      <c r="A80" s="73" t="s">
        <v>76</v>
      </c>
      <c r="B80" s="68">
        <v>7102000</v>
      </c>
      <c r="C80" s="68">
        <v>20268000</v>
      </c>
      <c r="D80" s="68">
        <v>6428000</v>
      </c>
      <c r="E80" s="68">
        <v>3055000</v>
      </c>
      <c r="F80" s="68">
        <f>509000+103000+368000</f>
        <v>980000</v>
      </c>
      <c r="G80" s="68">
        <v>27828000</v>
      </c>
      <c r="H80" s="65">
        <f t="shared" si="1"/>
        <v>65661000</v>
      </c>
      <c r="I80" s="66"/>
    </row>
    <row r="81" spans="1:9" ht="24">
      <c r="A81" s="73" t="s">
        <v>77</v>
      </c>
      <c r="B81" s="68">
        <v>566000</v>
      </c>
      <c r="C81" s="68">
        <v>636000</v>
      </c>
      <c r="D81" s="68">
        <v>3335000</v>
      </c>
      <c r="E81" s="68"/>
      <c r="F81" s="68"/>
      <c r="G81" s="68">
        <v>1756000</v>
      </c>
      <c r="H81" s="65">
        <f t="shared" si="1"/>
        <v>6293000</v>
      </c>
      <c r="I81" s="66"/>
    </row>
    <row r="82" spans="1:11" ht="24">
      <c r="A82" s="73" t="s">
        <v>78</v>
      </c>
      <c r="B82" s="68">
        <v>3180000</v>
      </c>
      <c r="C82" s="68">
        <v>4200000</v>
      </c>
      <c r="D82" s="68">
        <v>998000</v>
      </c>
      <c r="E82" s="68">
        <v>1268000</v>
      </c>
      <c r="F82" s="68"/>
      <c r="G82" s="68">
        <v>16661000</v>
      </c>
      <c r="H82" s="65">
        <f t="shared" si="1"/>
        <v>26307000</v>
      </c>
      <c r="I82" s="95"/>
      <c r="J82" s="16"/>
      <c r="K82" s="17"/>
    </row>
    <row r="83" spans="1:11" ht="24">
      <c r="A83" s="73" t="s">
        <v>79</v>
      </c>
      <c r="B83" s="68">
        <v>1758000</v>
      </c>
      <c r="C83" s="68">
        <v>613000</v>
      </c>
      <c r="D83" s="68">
        <v>1014000</v>
      </c>
      <c r="E83" s="68">
        <v>1006000</v>
      </c>
      <c r="F83" s="68"/>
      <c r="G83" s="68">
        <v>9652000</v>
      </c>
      <c r="H83" s="65">
        <f t="shared" si="1"/>
        <v>14043000</v>
      </c>
      <c r="I83" s="74"/>
      <c r="J83" s="16"/>
      <c r="K83" s="17"/>
    </row>
    <row r="84" spans="1:9" ht="24">
      <c r="A84" s="73" t="s">
        <v>80</v>
      </c>
      <c r="B84" s="68">
        <v>2040000</v>
      </c>
      <c r="C84" s="68">
        <v>4856000</v>
      </c>
      <c r="D84" s="68">
        <v>2008000</v>
      </c>
      <c r="E84" s="68">
        <v>213000</v>
      </c>
      <c r="F84" s="68">
        <v>157000</v>
      </c>
      <c r="G84" s="68">
        <v>9125000</v>
      </c>
      <c r="H84" s="65">
        <f t="shared" si="1"/>
        <v>18399000</v>
      </c>
      <c r="I84" s="66"/>
    </row>
    <row r="85" spans="1:9" ht="24">
      <c r="A85" s="73" t="s">
        <v>81</v>
      </c>
      <c r="B85" s="68">
        <v>1021000</v>
      </c>
      <c r="C85" s="68">
        <v>307000</v>
      </c>
      <c r="D85" s="68">
        <v>854000</v>
      </c>
      <c r="E85" s="68"/>
      <c r="F85" s="68"/>
      <c r="G85" s="68">
        <f>2182000-854000-C85-B85</f>
        <v>0</v>
      </c>
      <c r="H85" s="65">
        <f t="shared" si="1"/>
        <v>2182000</v>
      </c>
      <c r="I85" s="66"/>
    </row>
    <row r="86" spans="1:9" ht="24">
      <c r="A86" s="96" t="s">
        <v>82</v>
      </c>
      <c r="B86" s="68"/>
      <c r="C86" s="68">
        <v>4308000</v>
      </c>
      <c r="D86" s="68"/>
      <c r="E86" s="68"/>
      <c r="F86" s="68"/>
      <c r="G86" s="68">
        <v>32062300</v>
      </c>
      <c r="H86" s="65">
        <f t="shared" si="1"/>
        <v>36370300</v>
      </c>
      <c r="I86" s="66" t="s">
        <v>27</v>
      </c>
    </row>
    <row r="87" spans="1:9" ht="24.75" thickBot="1">
      <c r="A87" s="97" t="s">
        <v>2</v>
      </c>
      <c r="B87" s="98">
        <f>SUM(B5:B86)</f>
        <v>566783537.1099999</v>
      </c>
      <c r="C87" s="98">
        <f aca="true" t="shared" si="2" ref="C87:H87">SUM(C5:C86)</f>
        <v>4044062482.71</v>
      </c>
      <c r="D87" s="98">
        <f t="shared" si="2"/>
        <v>73968100.17</v>
      </c>
      <c r="E87" s="98">
        <f t="shared" si="2"/>
        <v>29956328.17</v>
      </c>
      <c r="F87" s="98">
        <f t="shared" si="2"/>
        <v>6501329.83</v>
      </c>
      <c r="G87" s="98">
        <f t="shared" si="2"/>
        <v>1652118558.96</v>
      </c>
      <c r="H87" s="98">
        <f t="shared" si="2"/>
        <v>6373390336.950001</v>
      </c>
      <c r="I87" s="99"/>
    </row>
    <row r="88" spans="1:9" ht="24.75" thickTop="1">
      <c r="A88" s="100"/>
      <c r="B88" s="100"/>
      <c r="C88" s="100"/>
      <c r="D88" s="100"/>
      <c r="E88" s="100"/>
      <c r="F88" s="100"/>
      <c r="G88" s="100"/>
      <c r="H88" s="101"/>
      <c r="I88" s="102"/>
    </row>
    <row r="89" spans="5:7" ht="24">
      <c r="E89" s="9"/>
      <c r="G89" s="8"/>
    </row>
  </sheetData>
  <sheetProtection/>
  <mergeCells count="5">
    <mergeCell ref="A1:I1"/>
    <mergeCell ref="A3:A4"/>
    <mergeCell ref="B3:G3"/>
    <mergeCell ref="H3:H4"/>
    <mergeCell ref="I3:I4"/>
  </mergeCells>
  <printOptions/>
  <pageMargins left="0.2362204724409449" right="0.4330708661417323" top="0.1968503937007874" bottom="0.15748031496062992" header="0.31496062992125984" footer="0.118110236220472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sirikulp</dc:creator>
  <cp:keywords/>
  <dc:description/>
  <cp:lastModifiedBy>DELL</cp:lastModifiedBy>
  <cp:lastPrinted>2013-08-02T09:02:18Z</cp:lastPrinted>
  <dcterms:created xsi:type="dcterms:W3CDTF">2007-11-05T05:52:17Z</dcterms:created>
  <dcterms:modified xsi:type="dcterms:W3CDTF">2020-04-23T07:33:37Z</dcterms:modified>
  <cp:category/>
  <cp:version/>
  <cp:contentType/>
  <cp:contentStatus/>
</cp:coreProperties>
</file>