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20" windowWidth="19860" windowHeight="4410" tabRatio="778" firstSheet="5" activeTab="16"/>
  </bookViews>
  <sheets>
    <sheet name="ApI" sheetId="1" r:id="rId1"/>
    <sheet name="AnII" sheetId="2" r:id="rId2"/>
    <sheet name="ApIII" sheetId="3" r:id="rId3"/>
    <sheet name="ApIV" sheetId="4" r:id="rId4"/>
    <sheet name="ApV" sheetId="5" r:id="rId5"/>
    <sheet name="ApVI" sheetId="6" r:id="rId6"/>
    <sheet name="ApVII" sheetId="7" r:id="rId7"/>
    <sheet name="ApVIII" sheetId="8" r:id="rId8"/>
    <sheet name="ApIX" sheetId="9" r:id="rId9"/>
    <sheet name="AnX" sheetId="10" r:id="rId10"/>
    <sheet name="ApXI" sheetId="11" r:id="rId11"/>
    <sheet name="ApXII" sheetId="12" r:id="rId12"/>
    <sheet name="ApXIV" sheetId="13" r:id="rId13"/>
    <sheet name="Sheet1" sheetId="14" state="hidden" r:id="rId14"/>
    <sheet name="Sheet2" sheetId="15" state="hidden" r:id="rId15"/>
    <sheet name="Sheet3" sheetId="16" state="hidden" r:id="rId16"/>
    <sheet name="Framework" sheetId="17" r:id="rId17"/>
  </sheets>
  <definedNames>
    <definedName name="country">#REF!</definedName>
    <definedName name="_xlnm.Print_Area" localSheetId="9">'AnX'!$A$1:$F$43</definedName>
    <definedName name="_xlnm.Print_Area" localSheetId="0">'ApI'!$A$4:$O$131</definedName>
    <definedName name="_xlnm.Print_Area" localSheetId="2">'ApIII'!$A$5:$U$51</definedName>
    <definedName name="_xlnm.Print_Area" localSheetId="3">'ApIV'!$A$4:$AK$48</definedName>
    <definedName name="_xlnm.Print_Area" localSheetId="8">'ApIX'!$A$4:$Y$116</definedName>
    <definedName name="_xlnm.Print_Area" localSheetId="4">'ApV'!$A$4:$N$188</definedName>
    <definedName name="_xlnm.Print_Area" localSheetId="5">'ApVI'!$A$1:$AA$46</definedName>
    <definedName name="_xlnm.Print_Area" localSheetId="6">'ApVII'!$A$1:$S$10</definedName>
    <definedName name="_xlnm.Print_Area" localSheetId="7">'ApVIII'!$A$1:$K$15</definedName>
    <definedName name="_xlnm.Print_Area" localSheetId="10">'ApXI'!$A$1:$AC$38</definedName>
    <definedName name="_xlnm.Print_Area" localSheetId="11">'ApXII'!$A$4:$N$46</definedName>
    <definedName name="_xlnm.Print_Area" localSheetId="12">'ApXIV'!$A$1:$W$17</definedName>
    <definedName name="_xlnm.Print_Area" localSheetId="16">'Framework'!$A$1:$N$14</definedName>
    <definedName name="_xlnm.Print_Area" localSheetId="13">'Sheet1'!$A$1:$E$8</definedName>
    <definedName name="_xlnm.Print_Area" localSheetId="14">'Sheet2'!$A$11:$C$21</definedName>
    <definedName name="_xlnm.Print_Area" localSheetId="15">'Sheet3'!$A$1:$C$46</definedName>
    <definedName name="_xlnm.Print_Titles" localSheetId="1">'AnII'!$A:$A,'AnII'!$1:$2</definedName>
    <definedName name="_xlnm.Print_Titles" localSheetId="9">'AnX'!$1:$2</definedName>
    <definedName name="_xlnm.Print_Titles" localSheetId="0">'ApI'!$1:$3</definedName>
    <definedName name="_xlnm.Print_Titles" localSheetId="2">'ApIII'!$1:$4</definedName>
    <definedName name="_xlnm.Print_Titles" localSheetId="3">'ApIV'!$A:$A,'ApIV'!$2:$3</definedName>
    <definedName name="_xlnm.Print_Titles" localSheetId="8">'ApIX'!$1:$3</definedName>
    <definedName name="_xlnm.Print_Titles" localSheetId="4">'ApV'!$1:$3</definedName>
    <definedName name="_xlnm.Print_Titles" localSheetId="5">'ApVI'!$A:$A,'ApVI'!$1:$3</definedName>
    <definedName name="_xlnm.Print_Titles" localSheetId="7">'ApVIII'!$1:$4</definedName>
    <definedName name="_xlnm.Print_Titles" localSheetId="10">'ApXI'!$A:$A,'ApXI'!$1:$3</definedName>
    <definedName name="_xlnm.Print_Titles" localSheetId="11">'ApXII'!$1:$3</definedName>
    <definedName name="_xlnm.Print_Titles" localSheetId="12">'ApXIV'!$1:$1</definedName>
    <definedName name="_xlnm.Print_Titles" localSheetId="16">'Framework'!$1:$3</definedName>
    <definedName name="_xlnm.Print_Titles" localSheetId="14">'Sheet2'!$1:$3</definedName>
  </definedNames>
  <calcPr fullCalcOnLoad="1"/>
</workbook>
</file>

<file path=xl/comments5.xml><?xml version="1.0" encoding="utf-8"?>
<comments xmlns="http://schemas.openxmlformats.org/spreadsheetml/2006/main">
  <authors>
    <author>User01</author>
  </authors>
  <commentList>
    <comment ref="A166" authorId="0">
      <text>
        <r>
          <rPr>
            <b/>
            <sz val="9"/>
            <rFont val="Tahoma"/>
            <family val="2"/>
          </rPr>
          <t>User01:</t>
        </r>
        <r>
          <rPr>
            <sz val="9"/>
            <rFont val="Tahoma"/>
            <family val="2"/>
          </rPr>
          <t xml:space="preserve">
</t>
        </r>
      </text>
    </comment>
  </commentList>
</comments>
</file>

<file path=xl/sharedStrings.xml><?xml version="1.0" encoding="utf-8"?>
<sst xmlns="http://schemas.openxmlformats.org/spreadsheetml/2006/main" count="1768" uniqueCount="724">
  <si>
    <t>(No. : Persons, Value : '000 Baht)</t>
  </si>
  <si>
    <t>Country</t>
  </si>
  <si>
    <t>Bilateral</t>
  </si>
  <si>
    <t>TIPP</t>
  </si>
  <si>
    <t>AITC</t>
  </si>
  <si>
    <t>TCDC</t>
  </si>
  <si>
    <t>Trilateral</t>
  </si>
  <si>
    <t>Total TICP</t>
  </si>
  <si>
    <t>No.*</t>
  </si>
  <si>
    <t>Value</t>
  </si>
  <si>
    <t>No.</t>
  </si>
  <si>
    <t xml:space="preserve">   - Cambodia</t>
  </si>
  <si>
    <t xml:space="preserve">   - Lao PDR</t>
  </si>
  <si>
    <t xml:space="preserve">   - Myanmar</t>
  </si>
  <si>
    <t xml:space="preserve">   - Vietnam</t>
  </si>
  <si>
    <t>2. SOUTHEAST ASIA</t>
  </si>
  <si>
    <t xml:space="preserve">   - Indonesia</t>
  </si>
  <si>
    <t xml:space="preserve">   - Malaysia</t>
  </si>
  <si>
    <t xml:space="preserve">   - Philippines</t>
  </si>
  <si>
    <t xml:space="preserve">   - Timor Leste</t>
  </si>
  <si>
    <t>3. EAST ASIA</t>
  </si>
  <si>
    <t xml:space="preserve">   - China</t>
  </si>
  <si>
    <t xml:space="preserve">   - Mongolia</t>
  </si>
  <si>
    <t>4. SOUTH ASIA AND MIDDLE EAST</t>
  </si>
  <si>
    <t xml:space="preserve">   - Bangladesh</t>
  </si>
  <si>
    <t xml:space="preserve">   - Bhutan</t>
  </si>
  <si>
    <t xml:space="preserve">   - India</t>
  </si>
  <si>
    <t xml:space="preserve">   - Jordan</t>
  </si>
  <si>
    <t xml:space="preserve">   - Maldives</t>
  </si>
  <si>
    <t xml:space="preserve">   - Nepal</t>
  </si>
  <si>
    <t xml:space="preserve">   - Pakistan</t>
  </si>
  <si>
    <t xml:space="preserve">   - Sri Lanka</t>
  </si>
  <si>
    <t>5. THE PACIFIC</t>
  </si>
  <si>
    <t xml:space="preserve">   - Tajikistan</t>
  </si>
  <si>
    <t xml:space="preserve">   - Uzbekistan</t>
  </si>
  <si>
    <t xml:space="preserve">   - Egypt</t>
  </si>
  <si>
    <t xml:space="preserve">   - Gambia</t>
  </si>
  <si>
    <t xml:space="preserve">   - Kenya</t>
  </si>
  <si>
    <t xml:space="preserve">   - Madagascar</t>
  </si>
  <si>
    <t xml:space="preserve">   - Malawi</t>
  </si>
  <si>
    <t xml:space="preserve">   - Mauritius</t>
  </si>
  <si>
    <t xml:space="preserve">   - Morocco</t>
  </si>
  <si>
    <t xml:space="preserve">   - Mozambique</t>
  </si>
  <si>
    <t xml:space="preserve">   - Nigeria</t>
  </si>
  <si>
    <t xml:space="preserve">   - Senegal</t>
  </si>
  <si>
    <t xml:space="preserve">   - Sudan</t>
  </si>
  <si>
    <t xml:space="preserve">   - Tanzania</t>
  </si>
  <si>
    <t xml:space="preserve">   - Uganda</t>
  </si>
  <si>
    <t xml:space="preserve">   - Zambia</t>
  </si>
  <si>
    <t xml:space="preserve">   - Chile</t>
  </si>
  <si>
    <t xml:space="preserve">   - Colombia</t>
  </si>
  <si>
    <t xml:space="preserve">   - Mexico</t>
  </si>
  <si>
    <t xml:space="preserve">   - Peru</t>
  </si>
  <si>
    <t>GRAND TOTAL</t>
  </si>
  <si>
    <t>Development Project</t>
  </si>
  <si>
    <t>Equipment</t>
  </si>
  <si>
    <t>Others</t>
  </si>
  <si>
    <t>TOTAL</t>
  </si>
  <si>
    <t>Study</t>
  </si>
  <si>
    <t>Expert/Mission</t>
  </si>
  <si>
    <t>1. THE FOUR NEIGHBOURING COUNTRIES</t>
  </si>
  <si>
    <t>6. AFRICA</t>
  </si>
  <si>
    <t>Agriculture</t>
  </si>
  <si>
    <t>Education</t>
  </si>
  <si>
    <t>Information Technology</t>
  </si>
  <si>
    <t>Infrastructure &amp; Public Utilities</t>
  </si>
  <si>
    <t>Labour &amp; Employment</t>
  </si>
  <si>
    <t>Natural Resources &amp; Environment</t>
  </si>
  <si>
    <t>Public Administration</t>
  </si>
  <si>
    <t>Public Health</t>
  </si>
  <si>
    <t>Science &amp; Technology</t>
  </si>
  <si>
    <t>Social Development &amp; Welfare</t>
  </si>
  <si>
    <t>Tourism</t>
  </si>
  <si>
    <t>Economics</t>
  </si>
  <si>
    <t>Energy</t>
  </si>
  <si>
    <t>1. THE FOUR NEIGHBOURING COUNTRIES :</t>
  </si>
  <si>
    <t xml:space="preserve">    - Cambodia</t>
  </si>
  <si>
    <t xml:space="preserve">    - Lao PDR</t>
  </si>
  <si>
    <t xml:space="preserve">    - Myanmar</t>
  </si>
  <si>
    <t xml:space="preserve">    - Vietnam</t>
  </si>
  <si>
    <t xml:space="preserve">    - Timor Leste</t>
  </si>
  <si>
    <t>Trade, Services &amp; Investment</t>
  </si>
  <si>
    <t xml:space="preserve">    - Bhutan</t>
  </si>
  <si>
    <t xml:space="preserve">    - China</t>
  </si>
  <si>
    <t xml:space="preserve">    - Indonesia</t>
  </si>
  <si>
    <t xml:space="preserve">    - Philippines</t>
  </si>
  <si>
    <t xml:space="preserve">    - Bangladesh</t>
  </si>
  <si>
    <t xml:space="preserve">    - Nepal</t>
  </si>
  <si>
    <t xml:space="preserve">    - Sri Lanka</t>
  </si>
  <si>
    <t xml:space="preserve">  (No. : Persons, Value : '000 Baht)</t>
  </si>
  <si>
    <t>Project</t>
  </si>
  <si>
    <t>Cambodia</t>
  </si>
  <si>
    <t xml:space="preserve"> - Special Project</t>
  </si>
  <si>
    <t xml:space="preserve"> - Development Project</t>
  </si>
  <si>
    <t>Sub-Total</t>
  </si>
  <si>
    <t>Lao PDR</t>
  </si>
  <si>
    <t>Vietnam</t>
  </si>
  <si>
    <t xml:space="preserve">   - Education</t>
  </si>
  <si>
    <t>The Teaching Thai Language at the University of Danang</t>
  </si>
  <si>
    <t>Natural Resources and Environment</t>
  </si>
  <si>
    <t xml:space="preserve"> </t>
  </si>
  <si>
    <t>1. EAST ASIA</t>
  </si>
  <si>
    <t xml:space="preserve">   - Thai to China</t>
  </si>
  <si>
    <t>Training</t>
  </si>
  <si>
    <t>Total</t>
  </si>
  <si>
    <t xml:space="preserve">    - Malaysia</t>
  </si>
  <si>
    <t xml:space="preserve">    - Maldives</t>
  </si>
  <si>
    <t xml:space="preserve">    - Pakistan</t>
  </si>
  <si>
    <t xml:space="preserve">    - Kenya</t>
  </si>
  <si>
    <t>Cooperation Partner</t>
  </si>
  <si>
    <t>Project/Course</t>
  </si>
  <si>
    <t>Sector</t>
  </si>
  <si>
    <t>Beneficiary</t>
  </si>
  <si>
    <t>JICA</t>
  </si>
  <si>
    <t xml:space="preserve"> (No. : Persons, Value : '000 Baht)</t>
  </si>
  <si>
    <t>1. THE FOUR NEIGHBORING COUNTRIES :</t>
  </si>
  <si>
    <t>Project Name</t>
  </si>
  <si>
    <t>2. OTHERS</t>
  </si>
  <si>
    <t xml:space="preserve">      (No. : Person, Value : '000 Baht)</t>
  </si>
  <si>
    <t>Cooperation Framework**</t>
  </si>
  <si>
    <t>7. CIS</t>
  </si>
  <si>
    <t>8. LATIN AMERICA</t>
  </si>
  <si>
    <t>*  :  Only Fellowships</t>
  </si>
  <si>
    <t xml:space="preserve"> *  :  Only Fellowship</t>
  </si>
  <si>
    <t xml:space="preserve"> ****  :  DC &amp; LDC Meeting, Study and Research, Thai Participants</t>
  </si>
  <si>
    <t xml:space="preserve"> ***  :  No. of Participants facilitated by TICA</t>
  </si>
  <si>
    <t xml:space="preserve">1. THE FOUR NEIGHBOURING COUNTRIES </t>
  </si>
  <si>
    <t xml:space="preserve">   - Fiji</t>
  </si>
  <si>
    <t>Industry</t>
  </si>
  <si>
    <t xml:space="preserve">    - Fiji</t>
  </si>
  <si>
    <t>Justice</t>
  </si>
  <si>
    <t xml:space="preserve">  - Education</t>
  </si>
  <si>
    <t xml:space="preserve">  - Public Health</t>
  </si>
  <si>
    <t xml:space="preserve">  - Agriculture</t>
  </si>
  <si>
    <t xml:space="preserve">   - Swaziland</t>
  </si>
  <si>
    <t>Communication</t>
  </si>
  <si>
    <t xml:space="preserve">   - Botswana</t>
  </si>
  <si>
    <t>The Teaching Thai Language at the College of Foreign Languages, VNU, Hanoi</t>
  </si>
  <si>
    <t xml:space="preserve">   - Argentina</t>
  </si>
  <si>
    <t xml:space="preserve">** :  DC &amp; LDC Meeting, Study and Research, Thai Participants </t>
  </si>
  <si>
    <t>10. OTHERS****</t>
  </si>
  <si>
    <t>ACMECS</t>
  </si>
  <si>
    <t>GMS</t>
  </si>
  <si>
    <t>Sub Total</t>
  </si>
  <si>
    <t xml:space="preserve">Energy </t>
  </si>
  <si>
    <t>โครงการพัฒนาหลักสูตรนานาชาติระดับปริญญาโท สาขาการศึกษาทางด้านการพัฒนาของมหาวิทยาลัยแห่งชาติลาว</t>
  </si>
  <si>
    <t>The Project on Training Program in Technology of Medicine &amp; Public Health Personnel from Lao PDR initiated by HRH Princess Maha Chakri Sirindhorn Phrase II</t>
  </si>
  <si>
    <t>Curriculum Development in Teaching Thai Language at Yangon University of Foreign Language</t>
  </si>
  <si>
    <t xml:space="preserve">   - Costa Rica</t>
  </si>
  <si>
    <t>โครงการพัฒนาศักยภาพในด้านการเกษตรของมหาวิทยาลัยจำปาสัก</t>
  </si>
  <si>
    <t>โครงการพัฒนาบุคลากรคณะเกษตรนาบง มหาวิทยาลัยแห่งชาติลาว</t>
  </si>
  <si>
    <t xml:space="preserve">  - Social Development &amp; Welfare</t>
  </si>
  <si>
    <t xml:space="preserve">   - El Salvador</t>
  </si>
  <si>
    <t xml:space="preserve">   - Paraguay</t>
  </si>
  <si>
    <t>* Unclassified Recipient Country</t>
  </si>
  <si>
    <t xml:space="preserve">   - Cook Islands</t>
  </si>
  <si>
    <t xml:space="preserve">   - Ethiopia</t>
  </si>
  <si>
    <t>โครงการพัฒนาคณะพยาบาลศาสตร์ มหาวิทยาลัยวิทยาศาสตร์ สุขภาพ</t>
  </si>
  <si>
    <t>โครงการพัฒนาหลักสูตรการสอนภาษาไทย ณ ม. พนมเปญ</t>
  </si>
  <si>
    <t>Fellowship (IR)</t>
  </si>
  <si>
    <r>
      <t>No.</t>
    </r>
    <r>
      <rPr>
        <b/>
        <vertAlign val="superscript"/>
        <sz val="14"/>
        <rFont val="Cordia New"/>
        <family val="2"/>
      </rPr>
      <t>***</t>
    </r>
  </si>
  <si>
    <t xml:space="preserve">   - Seychelles</t>
  </si>
  <si>
    <t xml:space="preserve">    - Eritrea</t>
  </si>
  <si>
    <t xml:space="preserve">  - Natural Resources &amp; Environment</t>
  </si>
  <si>
    <t>แผนงานโครงการความร่วมมือมหาวิทยาลัยเชียงใหม่ กับ มหาวิทยาลัยสุพานุวง</t>
  </si>
  <si>
    <t>- โครงการพัฒนาหลักสูตรปรุงแต่งกสิกรรม (Agro- Processing) มหาวิทยาลัยสุพานุวง</t>
  </si>
  <si>
    <t>โครงการพัฒนาวิทยาลัยพลศึกษา สาขาการจัดการกีฬา และการสอนกีฬา</t>
  </si>
  <si>
    <t>โครงการพัฒนาวิทยาลัยศิลปศึกษา</t>
  </si>
  <si>
    <t>โครงการพัฒนาห้องปฎิบัติการวิจัยโรคปลา</t>
  </si>
  <si>
    <t>โครงการตามแผนงานความร่วมมือระยะยาวด้านอาชีวศึกษา</t>
  </si>
  <si>
    <t>โครงการพัฒนาห้องปฏิบัติการวิเคราะห์คุณภาพอาหารสัตว์</t>
  </si>
  <si>
    <t>โครงการความร่วมมือไทย-ลาว เพื่อพัฒนาทรัพยากรธรณีอย่างยั่งยืน</t>
  </si>
  <si>
    <t>โครงการพระราชทานความช่วยเหลือแก่กัมพูชาด้านสาธารณสุข (มาเลเรีย)</t>
  </si>
  <si>
    <t>Cooperation Framework</t>
  </si>
  <si>
    <t xml:space="preserve"> - Education</t>
  </si>
  <si>
    <t xml:space="preserve"> - Agriculture</t>
  </si>
  <si>
    <t xml:space="preserve"> - Sciences &amp; Technology</t>
  </si>
  <si>
    <t xml:space="preserve">    - Malawi</t>
  </si>
  <si>
    <t xml:space="preserve">   - Eritrea</t>
  </si>
  <si>
    <t xml:space="preserve">   - Guinea</t>
  </si>
  <si>
    <t xml:space="preserve">   - Palestine</t>
  </si>
  <si>
    <t>\\\\\\\\\\\\\\\\\\\\\\\\\\\\\\\\\\\\\\\\\\\\\\\\\\\\\\\\\\\\\\\\\\\\\\\\\\\\\\\\\\\\\\\\\\\\\\\\\\\\\\\\\\\\\\\\\\\\\\\\\\\\\\\\\\\\\\\\\\\\\\\\\\\\\\\\\\\\\\\\\\\\\\\\\\\\\\\\\\\\\\\\\\\\\\\\\\\\\\\\\\\\\\\\\\\\\\\\\\\\\\\\\\\\\\\\\\\\\\\\\\\\\\\\\\\\\\\\\\\\\\\\\\\\\\\\\\\\\\\\\\\\\\\\\\\\\\\\\\\\\\\\\\\\\\\\\\\\\\\\\\\\\\\\\\\\\\\\\\\\\\\\\\\\\\\\\\\\\\\\\\\\\\\\\\\\\\\\\\\\\\\\\\\\\\\\\\\\\\\\\\\\\\\\\\\\\\\\\\\\\\\\\\\\\\\\\\\\\\\\\\\\\\\\\\\\\\\\\\\\\\\\\\\\\\\\\\\\\\\\\\\\\\\\\\\\\\\\\\\\\\\\\\\\\\\\\\\\\\\\\\\\\\\\\\\\\\\\\\\\\\\\\\\\\\\\\\\\\\\\\\\\\\\\\\\\\\\\\\\\\\\\\\\\\\\\\\\\\\\\\\\\\\\\\\\\\\\\\\\\\\\\\\\\\\\\\\\\\\\\\\\\\\\\\\\\\\\\\\\\\\\\\\\\\\\\\\\\\\\\\\\\\\\\\\\\\\\\\\\\\\\\\\\\\\\\\\\\\\\\\\\\\\\\\\\\\\\\\\\\\\\\\\\\\\\\\\\\\\\\\\\\\\\\\\\\\\\\\\\\\\\\\\\\\\\\\\\\\\\\\\\\\\\\\\\\\\\\\\\\\\\\\\\\\\\\\\\\\\\\\\\\\\\\\\\\\\\\\\\\\\\\\\\\\\\\\\\\\\\\\\\\\\\\\\\\\\\\\\\\\\\\\\\\\\\\\\\\\\\\\\\\\\\\\\\\\\\\\\\\\\\\\\\\\\\\\\\\\\\\\\\\\\\\\\\\\\\\\\\\\\\\\\\\\\\\\\\\\\\\\\\\\\\\\\\\\\\\\\\\\\\\\\\\\\\\\\\\\\\\\\\\\\\\\\\\\\\\\\\\\\\\\\\\\\\\\\\\\\\\\\\\\\\\\\\\\\\\\\\\\\\\\\\\\\\\\\\\\\\\\\\\\\\\\\\\\\\\\\\\\\\\\\\\\\\\\\\\\\\\\\\\\\\\\\\\\\\\\\\\\\\\\\\\\\\\\\\\\\\\\\\\\\\\\\\\\\\\\\\\\\\\\\\\\\\\\\\\\\\\\\\\\\\\\\\\\\\\\\\\\\\\\\\\\\\\\\\\\\\\\\\\\\\\\\\\\\\\\\\\\\\\\\\\\\\\\\\\\\\\\\\\\\\\\\\\\\\\\\\\\\\\\\\\\\\\\\\\\\\\\\\\\\\\\\\\\\\\\\\\\\\\\\\\\\\\\\\\\\\\\\\\\\\\\\\\\\\\\\\\\\\\\\\\\\\\\\\\\\\\\\\\\\\\\\\\\\\\\\\\\\\\\\\\\\\\\\\\\\\\\\</t>
  </si>
  <si>
    <t>\\\\\\\\\\\\\\\\\\\\\\\\\\\\\\\\\\\\\\\\\\\\\\\\\\\\\\\\\\\\\\\\\\\\\\\\\\\\\\\\\\\\\\\\\\\\\\\\\\\\\\\\\\\\\\\\\\\\\\\\\\\\\\\\\\\\\\\\\\\\\\\\\\\\\\\\\\\\\\\\\\\\\\\\\\\\\\\\\\\\\\\\\\\\\\\\\\\\\\\\\\\\\\\\\\\\\\\\\\\\\\\\\\\\\\\\\\\\\\\\\\\\\\\\\\\\\\\\\\\\\\\\\\\\\\\\\\\\\\\\\\\\\\\\\\\\\\\\\\\\\\\\\\\\\\\\\\\\\\\\\\\\\\\\\\\\\\\\\\\\\\\\\\\\\\\\\\\\\\\\\\\\\\\\\\\\\\\\\\\\\\\\\\\\\\\\\\\\\\\\\\\\\\\\\\\\\\\\\\\\\\\\\\\\\\\\\\\\\\\\\\\\\\\\\\\\\\\\\\\\\\\\\\\\\\\\\\\\\\\\\\\\\\\\</t>
  </si>
  <si>
    <t>\\\\\\\\\\\\\\\\\\\\\\\\\\\\\\\\\\\\\\\\\\\\\\\\\\\\\\\\\</t>
  </si>
  <si>
    <t>\\\\\\\\\\\\\\\\\\\\\\\\\\\\\\\\\\\\\\\\\\\\\\\\\\\\\\\\\\\\\\\\\\\\\\\\\\\\\\\\\\\\\\\\\\\\\\\\\\\\\\\\\\\\\\\\\\\\\\\\\\\\\\\\\\\\\\\\\\\\\\\\\\\\\\\\\\\\\\\\\\\\\\\\\\\\\\\\\\\\\\\\\\\\\\\\\\\\\\\\\\\\\\\\\\\\\\\\\\\\\\\\\\\\\\\\\\\\\\\\\\\\\\\\\\\\\\\\\\\\\\\\\\\\\\\\\\\\\\\\\\\\\\\\\\\\\\\\\\\\\\\\\\\\\\\\\\\\\\\\\\\\\\\\\\\\\\\\\\\\\\\\\\\\\\\\\\\\\\\\\\\\\\\\\\\\\\\\\\\\\\\\\\\\\\\\\\\\\\\\\\\\\\\\\\\\\\\\\\\\\\\\\\\\\</t>
  </si>
  <si>
    <t>\\\\\\\\\\\\\\\\\\\\\\\\\\\\\\\\\\\\\\\\\\\\\\\\\\\\\\\\\\\\\\\\\\\\\\\\\\\\\\\\\\\\\\\\\\\\\\\\\\\\\\\\\\\\\\\\\\\\\\\\\\\\\\\\\\\\\\\\\\\\\\\\\\\\\\\\\\\\\\\\\\\\\\\\\\\\\\\\\\\\\\\\\\\\\\\\\\\\\\\\\\\\\\\\\\\\\\\\\\\\\\\\\\\\\\\\\\\\\\\\\\\\\\\\\\\\\\\\\\\\\\\\\\\\\\\\\\\\\\\\\\\\\\\\\\\\\\\\\\\\\\\\\\\\\\\\\\\\\\\\\\\\\\\\\\\\\\\\\\\\\\\\\\\\\\\\\\\\\\\\\\\\\\\\\\\\\\\\\\\\\\\\\\\\\\\\\\\\\\\\\\\\\\\\\\\\\\\\\\\\\\\\\\\\\\\\\\\\\\\\\\\\\\\\\\\\\\\\\\\\\\\\\\\\\\\\\\\\\\\\\\\\\\\\\\\\\\\\\\\\\\\\\\\\\\\\\\\\\\\\\\\\\\\\\\\\\\\\\\\\\\\\\\\\\\\\\\\\\\\\\\\\\\\\\\\\\\\\\\\\\\\\\\\\\\\\\\\\\\\\\\\\\\\\\\\\\\\\\\\\\\\\\\\\\\\\\\\\\\\\\\\\\\\\\\\\\\\\\\\\\\\\\\\\\\\\\\\\\\</t>
  </si>
  <si>
    <t xml:space="preserve">   - Cuba</t>
  </si>
  <si>
    <t xml:space="preserve">   - Samoa</t>
  </si>
  <si>
    <t>โครงการพัฒนาสื่ออิเล็กทรอนิกส์เพื่อการเรียนการสอนระดับมัธยมศึกษาตอนปลาย</t>
  </si>
  <si>
    <t>โครงการพัฒนาโรงพยาบาลเมืองปากซอง</t>
  </si>
  <si>
    <t xml:space="preserve">  - Public Administration</t>
  </si>
  <si>
    <t>Transportation</t>
  </si>
  <si>
    <t>School under Her Royal Highness Princess Maha Chakri Sirindhorn Sponsorship to Contribute to Education for the Kingdom of Cambodia  (วิทยาลัยกำปงเฌอเตียล)</t>
  </si>
  <si>
    <t xml:space="preserve">   - Oman</t>
  </si>
  <si>
    <t>Myanmar</t>
  </si>
  <si>
    <t>-  Agricuture</t>
  </si>
  <si>
    <t>Global Warming Mitigation and Adaptation by Balancing Sustainable Energy Management (GSEM)</t>
  </si>
  <si>
    <t xml:space="preserve">   - Georgia</t>
  </si>
  <si>
    <t>3. SOUTH ASIA AND MIDDLE EAST</t>
  </si>
  <si>
    <t>5. AFRICA</t>
  </si>
  <si>
    <t>4. THE PACIFIC</t>
  </si>
  <si>
    <t>โครงการโรงเรียนมัธยมสมบูรณ์เมืองเวียงไช แขวงหัวพัน</t>
  </si>
  <si>
    <t>โครงการพัฒนาโรงพยาบาลเมืองโพนโฮง</t>
  </si>
  <si>
    <t xml:space="preserve">  - Information Technology</t>
  </si>
  <si>
    <t>โครงการปรับปรุงระบบสื่อสารข้อมูลข่าวสารอุตุนิยมวิทยาด้วยเทคนิค Web-Base และระบบพื้นฐานโครงร่าง IT</t>
  </si>
  <si>
    <t>โครงการพัฒนาสถาบันผู้บริหารการพัฒนาการศึกษา</t>
  </si>
  <si>
    <t>โครงการพัฒนาโรงเรียนเทคนิควิชาชีพแขวงสะหวันนะเขต</t>
  </si>
  <si>
    <t xml:space="preserve">  - Communication</t>
  </si>
  <si>
    <t>โครงการสอนภาษาไทย ณ ม. เมียนเจย</t>
  </si>
  <si>
    <t>โครงการ Buffalo Development in Myanmar</t>
  </si>
  <si>
    <t>โครงการ Foot and Mouth Disease (FMD) Vaccine</t>
  </si>
  <si>
    <t>The Teaching Thai Language at the University of Hojiminh</t>
  </si>
  <si>
    <t xml:space="preserve">- ค่าใช้จ่ายในการหารือการจัดตั้ง Thai Center </t>
  </si>
  <si>
    <t xml:space="preserve">   - Trade, Services &amp; Investment</t>
  </si>
  <si>
    <t>โครงการพัฒนาบุคลากรศูนย์เทคโนโลยีข่าวสารการศึกษาและกีฬา</t>
  </si>
  <si>
    <t>โครงการการจัดทำโรงเรียนต้นแบบการพัฒนาคุณภาพชีวิตเด็กและเยาวชนสำหรับครูจากเมียนมาร์ ในการพัฒนาเด็กและเยาวชนตามพระราชดำริฯ</t>
  </si>
  <si>
    <t xml:space="preserve">   - Panama</t>
  </si>
  <si>
    <t xml:space="preserve">    - Nigeria</t>
  </si>
  <si>
    <t>6. LATIN AMERICA</t>
  </si>
  <si>
    <t xml:space="preserve">   - Vanuatu</t>
  </si>
  <si>
    <t xml:space="preserve">   - Bahamas</t>
  </si>
  <si>
    <t>Tropical Medicine Community Health Care and Research</t>
  </si>
  <si>
    <t xml:space="preserve">    - Afghanistan</t>
  </si>
  <si>
    <t xml:space="preserve">    - Comoros</t>
  </si>
  <si>
    <t xml:space="preserve">   - Ghana</t>
  </si>
  <si>
    <t>+</t>
  </si>
  <si>
    <t>โครงการพัฒนาโรงพยาบาลแขวงบ่อแก้ว ระยะที่ 2</t>
  </si>
  <si>
    <t>โครงการก่อสร้างศูนย์แรกรับผู้เสียหายจากการค้ามนุษย์ไทย-ลาว</t>
  </si>
  <si>
    <t xml:space="preserve">โครงการพัฒนาวิทยาลัยเทคนิคแขวงเวียงจันทน์ </t>
  </si>
  <si>
    <t>โครงการหมู่บ้านเข้มแข็งคู่ขนานตามแนวชายแดนไทย-กัมพูชา</t>
  </si>
  <si>
    <t xml:space="preserve">  - Labour &amp; Employment</t>
  </si>
  <si>
    <t>โครงการจัดตั้งศูนย์พัฒนาฝีมือแรงงานไทย-กัมพูชา</t>
  </si>
  <si>
    <t>โครงการจัดตั้งศูนย์แรกรับเหยื่อค้ามนุษย์และกลุ่มเสี่ยง</t>
  </si>
  <si>
    <t>โครงการพัฒนาหลักสูตรการเรียนการสอนภาษาไทย ณ พระตะบอง</t>
  </si>
  <si>
    <t>Farmer Group Development for Improving Vegetable and Fruit Production Standard in Cambodia</t>
  </si>
  <si>
    <t>โครงการเสริมสร้างความสามารถในการจัดการและใช้ประโยชน์จากไผ่</t>
  </si>
  <si>
    <t>โครงการสำรวจพื้นที่ชายแดนฝั่งเมียนมาร์ที่มีศักยภาพในการเชื่อมโยงกับประทศไทย</t>
  </si>
  <si>
    <t>แผนงานด้านการส่งเสริมการค้าชายแดนไทย-ลาว-เวียดนาม และไทย-เมียนมาร์</t>
  </si>
  <si>
    <t>แผนงานส่งเสริมการลงทุนจากต่างประเทศของเมียนมาร์</t>
  </si>
  <si>
    <t xml:space="preserve">   -  Agriculture</t>
  </si>
  <si>
    <t>โครงการสร้างศูนย์กลางการผลิตผักคุณภาพ</t>
  </si>
  <si>
    <t>Argentina</t>
  </si>
  <si>
    <t>- Agriculture</t>
  </si>
  <si>
    <t>Bangladesh</t>
  </si>
  <si>
    <t>โครงการปรับปรุงพัฒนาหน่วยจัดทำขาเทียม ณ ร.พ. National Institute of Traumatology and Orthopedic Rehabilitation</t>
  </si>
  <si>
    <t>Bhutan</t>
  </si>
  <si>
    <t xml:space="preserve">  -  Eduaction</t>
  </si>
  <si>
    <t>โครงการพัฒนาคุณภาพชีวิตเด็กและเยาวชนสำหรับครูภูฏานตามพระราชดำริฯ</t>
  </si>
  <si>
    <t xml:space="preserve">  -  Agriculture</t>
  </si>
  <si>
    <t>โครงการส่งเสริมด้านการเกษตร โดยเน้นพัฒนาผลิตภัณฑ์ OTOP</t>
  </si>
  <si>
    <t>Capacity Development of the College of Natural Resources</t>
  </si>
  <si>
    <t>โครงการอาสาสมัครเพื่อนไทย</t>
  </si>
  <si>
    <t>Colombia</t>
  </si>
  <si>
    <t xml:space="preserve">Jordan </t>
  </si>
  <si>
    <t>- Social Development &amp; Welfare</t>
  </si>
  <si>
    <t>โครงการทำฝนหลวง</t>
  </si>
  <si>
    <t>Mozambique</t>
  </si>
  <si>
    <t>โครงการเพาะเลี้ยงปลานิลแดง</t>
  </si>
  <si>
    <t xml:space="preserve">  - Development Project</t>
  </si>
  <si>
    <t>Timor-Leste</t>
  </si>
  <si>
    <t xml:space="preserve">   - Public Administration</t>
  </si>
  <si>
    <t xml:space="preserve">โครงการจัดตั้งหมู่บ้านต้นแบบตามหลักปรัชญาเศรษฐกิจพอเพียง ณ เมืองเฮร่า </t>
  </si>
  <si>
    <t>Malaysia</t>
  </si>
  <si>
    <t>Exchange of Teachers and School Administrative for the Promote</t>
  </si>
  <si>
    <t>Tonga</t>
  </si>
  <si>
    <t>โครงการความร่วมมือด้านการเกษตรตามหลักปรัชญาของเศรษฐกิจพอเพียงในพื้นที่สำนักพระราชวังตองกา</t>
  </si>
  <si>
    <t>Indonesia</t>
  </si>
  <si>
    <t>แผนงานความร่วมมือเพื่อการพัฒนาไทย-ภูฏานปี 57- 59</t>
  </si>
  <si>
    <t>โครงการพืชอาหารสัตว์และเพิ่มผลผลิตโคเนื้อ</t>
  </si>
  <si>
    <t>โครงการด้านการเลี้ยงผึ้ง ผลิตภัณฑ์ผึ้งและการตลาด</t>
  </si>
  <si>
    <t xml:space="preserve">โครงการ RNAi or Related Techniques in Plant Biotechnology </t>
  </si>
  <si>
    <t xml:space="preserve">โครงการความร่วมมือด้าน Rural Development </t>
  </si>
  <si>
    <t>โครงการพัฒนาศักยภาพด้านนิติวิทยาศาสตร์ระหว่างไทย - อาร์เจนตินา</t>
  </si>
  <si>
    <t>Philippines</t>
  </si>
  <si>
    <t>โครงการพัฒนาเด็กและเยาวชนสำหรับคณะผู้บริหารและครูจากฟิลิปปินส์</t>
  </si>
  <si>
    <t>Ethiopia (1), Ghana (1), Jamaica (2), Kazakhstan (1), Mexico (1), Nepal (1), Pakistan (1), Paraguay (1), Sri Lanka (1), Sudan (1), Uzbekistan(1)</t>
  </si>
  <si>
    <t>Buakaew Roundtable International 2015 สำหรับผู้บริหารระดับสูงของประเทศหมู่เกาะแปซิฟิก</t>
  </si>
  <si>
    <t>Fiji(2), Kiribati (2), Palau (1), Samoa (2), Slomom Islands (2), Tonga (3), Vanuatu (4)</t>
  </si>
  <si>
    <t>บัวแก้วสัมพันธ์ปี 2014 เศรษฐกิจพอเพียงและ OTOP ให้กลุ่มประเทศเอเซียใต้ ตะวันออกกลาง แอฟริกา และลาตินอเมริกา</t>
  </si>
  <si>
    <t>Chile (1), Colombia (2), Costa Rica (1), Dominican Republic (1), El Salvador (1), Guatemala (1), Loa PDR (1), Mexico (1), Myanmar (1), Panama (1), Paraguay (1), Peru (1)</t>
  </si>
  <si>
    <t>Buakaew Roundtable International 2013 ( Sufficiency Economy and OTOP)</t>
  </si>
  <si>
    <t>Afganistan (1), Argentina (1), Bangladesh (1), Bhutan (1) Chile (1), Colombia (1), Egypt (1), El Salvador (1), Guinea (1), Iran (1), Jordan (1), Kenya (1), Madagascar(1), Maldives(1), Mexico (1),Nepal (1), Oman (1), Palestine (1),  Paraguay (1), Sri Lanka (1), Uganda (1), Yemen (1)</t>
  </si>
  <si>
    <t xml:space="preserve">Sufficiency Economy </t>
  </si>
  <si>
    <t>Passage from Sufficiency Economy to Sustainable Development of Africa</t>
  </si>
  <si>
    <t>Kenya (5), Madagascar (2), Rwanda (1), Tanzania (2), Uganda(2)</t>
  </si>
  <si>
    <t>Buakaew Roundtable International 2015 (Sufficiency Economy and Crop Substitution 2015 ให้กลุ่มประเทศเอเซียใต้ ตะวันออกกลาง แอฟริกา และลาตินอเมริกา)</t>
  </si>
  <si>
    <t xml:space="preserve">   - Tonga</t>
  </si>
  <si>
    <t xml:space="preserve">   - Kiribati</t>
  </si>
  <si>
    <t xml:space="preserve">   - Kazakhstan</t>
  </si>
  <si>
    <t xml:space="preserve">   - Kyrgyzstan</t>
  </si>
  <si>
    <t xml:space="preserve">   - Comoros</t>
  </si>
  <si>
    <t xml:space="preserve">   - Lesotho</t>
  </si>
  <si>
    <t xml:space="preserve">   - Afghanistan</t>
  </si>
  <si>
    <t xml:space="preserve">   - Palau</t>
  </si>
  <si>
    <t xml:space="preserve">   - Brunei</t>
  </si>
  <si>
    <t xml:space="preserve">   - Solomon Islands</t>
  </si>
  <si>
    <t xml:space="preserve">   - Cameroon</t>
  </si>
  <si>
    <t xml:space="preserve">   - Togo</t>
  </si>
  <si>
    <t xml:space="preserve">   - Congo</t>
  </si>
  <si>
    <t xml:space="preserve">   - Mauritania</t>
  </si>
  <si>
    <t xml:space="preserve">   - Russia</t>
  </si>
  <si>
    <t xml:space="preserve">   - Trinidad and Tobago</t>
  </si>
  <si>
    <t xml:space="preserve">   - Zimbabwe</t>
  </si>
  <si>
    <t>โครงการสนับสนุนการสร้างอาชีพ สำหรับผู้ได้รับผลกระทบจากสถานการณ์รัฐยะไข่</t>
  </si>
  <si>
    <t>โครงการพัฒนาเขตเศรษฐกิจพิเศษทวายและพื้นที่โครงการที่เกี่ยวข้อง</t>
  </si>
  <si>
    <t>-  Study Visit on Hospital Management and Health Service System for Administrators</t>
  </si>
  <si>
    <t>Other *</t>
  </si>
  <si>
    <t>โครงการพระราชดำริเพื่อร่วมมือและแลกเปลี่ยนประสบการณ์ด้านวิชาการกับต่างประเทศของสถาบันวิจัยจุฬาภรณ์</t>
  </si>
  <si>
    <t xml:space="preserve"> -  Social Development &amp; Welfare</t>
  </si>
  <si>
    <t>โครงการพัฒนาทรัพยากรมนุษย์ด้านกีฬา</t>
  </si>
  <si>
    <t xml:space="preserve">  - Economic</t>
  </si>
  <si>
    <t>โครงการศึกษาทางไกลพระราชทานระบบ eDLTV</t>
  </si>
  <si>
    <t>- Education</t>
  </si>
  <si>
    <t xml:space="preserve">5. PACIFIC </t>
  </si>
  <si>
    <t>Others * : DC LDC Meeting, Study and Research , Thai Participants and Unclassified Recipient Country</t>
  </si>
  <si>
    <t xml:space="preserve">   - Cote D'lvoire</t>
  </si>
  <si>
    <t xml:space="preserve"> Project under Bilateral Programme (TICP FY 2015)                                                                                                                            </t>
  </si>
  <si>
    <t>โครงการใช้เทคโนโลยีข่าวสารและการสื่อสารสำหรับการศึกษาทางไกลผ่านโทรทัศน์และ CD/DVCD/VCD</t>
  </si>
  <si>
    <t>.</t>
  </si>
  <si>
    <t xml:space="preserve">   - Singapore</t>
  </si>
  <si>
    <t xml:space="preserve">   - Bahrain</t>
  </si>
  <si>
    <t xml:space="preserve">   - Iran</t>
  </si>
  <si>
    <t xml:space="preserve">   - Iraq</t>
  </si>
  <si>
    <t xml:space="preserve">   - Lebanon</t>
  </si>
  <si>
    <t xml:space="preserve">   - Turkey</t>
  </si>
  <si>
    <t xml:space="preserve">   - United Arab Emirates</t>
  </si>
  <si>
    <t xml:space="preserve">   - Yemen</t>
  </si>
  <si>
    <t xml:space="preserve">   - Marshall Islands</t>
  </si>
  <si>
    <t xml:space="preserve">   - Micronesia</t>
  </si>
  <si>
    <t xml:space="preserve">   - Papua new Guinea</t>
  </si>
  <si>
    <t xml:space="preserve">   - Tuvalu</t>
  </si>
  <si>
    <t xml:space="preserve">   - Angola</t>
  </si>
  <si>
    <t xml:space="preserve">   - Benin</t>
  </si>
  <si>
    <t xml:space="preserve">   - Bukina Faso</t>
  </si>
  <si>
    <t xml:space="preserve">   - Burundi</t>
  </si>
  <si>
    <t xml:space="preserve">   - Djibouti</t>
  </si>
  <si>
    <t xml:space="preserve">   - Gabon</t>
  </si>
  <si>
    <t xml:space="preserve">   - Liberia</t>
  </si>
  <si>
    <t xml:space="preserve">   - Libya</t>
  </si>
  <si>
    <t xml:space="preserve">   - Mali</t>
  </si>
  <si>
    <t xml:space="preserve">   - Namibia</t>
  </si>
  <si>
    <t xml:space="preserve">   - Niger Republic</t>
  </si>
  <si>
    <t xml:space="preserve">   - Rwanda</t>
  </si>
  <si>
    <t xml:space="preserve">   - Somalia</t>
  </si>
  <si>
    <t xml:space="preserve">   - South Africa</t>
  </si>
  <si>
    <t xml:space="preserve">   - Tunisia</t>
  </si>
  <si>
    <t xml:space="preserve">   - Armenia</t>
  </si>
  <si>
    <t xml:space="preserve">   - Azerbaijan</t>
  </si>
  <si>
    <t xml:space="preserve">   - Belarus</t>
  </si>
  <si>
    <t xml:space="preserve">   - Moldova</t>
  </si>
  <si>
    <t xml:space="preserve">   - Turkmenistan</t>
  </si>
  <si>
    <t xml:space="preserve">   - Ukraine</t>
  </si>
  <si>
    <t xml:space="preserve">   - Czech</t>
  </si>
  <si>
    <t xml:space="preserve">   - Poland</t>
  </si>
  <si>
    <t xml:space="preserve">   - Slovakia</t>
  </si>
  <si>
    <t xml:space="preserve">   - Belize</t>
  </si>
  <si>
    <t xml:space="preserve">   - Bolivia</t>
  </si>
  <si>
    <t xml:space="preserve">   - Brazil</t>
  </si>
  <si>
    <t xml:space="preserve">   - Dominica</t>
  </si>
  <si>
    <t xml:space="preserve">   - Ecuador</t>
  </si>
  <si>
    <t xml:space="preserve">   - Guatemala</t>
  </si>
  <si>
    <t xml:space="preserve">   - Korea Republic</t>
  </si>
  <si>
    <t xml:space="preserve">   - Israel</t>
  </si>
  <si>
    <t>8. EASTERN EUROPE</t>
  </si>
  <si>
    <t>Research and Development of Biofertilizer and Biocontrol to increase Cash Crop Production</t>
  </si>
  <si>
    <t>CPS</t>
  </si>
  <si>
    <t xml:space="preserve">   - South Sudan</t>
  </si>
  <si>
    <t xml:space="preserve">    - Rwanda</t>
  </si>
  <si>
    <t xml:space="preserve">    - South Sudan</t>
  </si>
  <si>
    <t>โครงการพัฒนาความสามารถด้านการประมงแก่วิทยาลัยกสิกรรมและป่าไม้ จำปาสัก</t>
  </si>
  <si>
    <t>โครงการพัฒนาวิทยาลัยเทคนิคสรรพวิชา</t>
  </si>
  <si>
    <t>โครงการศูนย์พัฒนาฝีมือแรงงานไทย-กัมพูชา</t>
  </si>
  <si>
    <t>Volunteer</t>
  </si>
  <si>
    <t>Senegal</t>
  </si>
  <si>
    <t>โครงการตั้งหน่วยผลิตขาเทียม ณ ร.พ. ทหารผ่านศึก เซเนกัล</t>
  </si>
  <si>
    <t xml:space="preserve">Labour &amp; Employment </t>
  </si>
  <si>
    <t>แผนงานโครงการพัฒนาเขตเศรษฐกิจพิเศษทวายและพื้นที่โครงการที่เกี่ยวข้อง</t>
  </si>
  <si>
    <t>Dairy Development in Myanmar</t>
  </si>
  <si>
    <t>IMT-GT</t>
  </si>
  <si>
    <t>9. Europe</t>
  </si>
  <si>
    <t>10. OTHERS*</t>
  </si>
  <si>
    <t>Others * :  Thai Participants and Unclassified Recipient Country</t>
  </si>
  <si>
    <t>10. OTHERS</t>
  </si>
  <si>
    <t>โครงการส่งเสริมด้านการเกษตร โดยเน้นพัฒนาผลิตภัณฑ์ OGOP</t>
  </si>
  <si>
    <t>Capacity Development of College of Natural Resources</t>
  </si>
  <si>
    <t>Sri Lanka</t>
  </si>
  <si>
    <t>โครงการความร่วมมือไทย-ตองกา</t>
  </si>
  <si>
    <t>Theme</t>
  </si>
  <si>
    <t>Climate Change</t>
  </si>
  <si>
    <t>Adapting to Climate Change : Facing the Consequence</t>
  </si>
  <si>
    <t>Natural Disasters Management</t>
  </si>
  <si>
    <t>Food Security</t>
  </si>
  <si>
    <t>Management of Antiretroviral Treatment (ART) and Long - Term Adherance to ART</t>
  </si>
  <si>
    <t>Toward a One Health Approach to Antimicrobial Resistance</t>
  </si>
  <si>
    <t>Sufficiency Economy Philisophy</t>
  </si>
  <si>
    <t>Integration of Sufficiency Economy for Empowerment on Mobilizing Sustainable Development</t>
  </si>
  <si>
    <t>Sufficiency Economy Philosophy towards a Sustainable Development</t>
  </si>
  <si>
    <t>Modern Technology for Sustainable Agricultural Systems</t>
  </si>
  <si>
    <t>Sustainable Animal Production and Resource Management for Sustainable Agriculture and Food Safety</t>
  </si>
  <si>
    <t>- โครงการสร้างทักษะแรงงาน/วิชาชีพ (นครพนม)</t>
  </si>
  <si>
    <t xml:space="preserve">   - Guyana</t>
  </si>
  <si>
    <t xml:space="preserve">   - Algeria</t>
  </si>
  <si>
    <t xml:space="preserve">   - Niger </t>
  </si>
  <si>
    <t xml:space="preserve">   - Sierra Leone </t>
  </si>
  <si>
    <t xml:space="preserve">   - Suriname</t>
  </si>
  <si>
    <t>Trade, Services and Investment</t>
  </si>
  <si>
    <t>Train the Trainer : Food Safety Management</t>
  </si>
  <si>
    <t>Economic</t>
  </si>
  <si>
    <t xml:space="preserve">    - Egypt</t>
  </si>
  <si>
    <t xml:space="preserve">    - Papua New Guinea</t>
  </si>
  <si>
    <t xml:space="preserve">    - Burundi</t>
  </si>
  <si>
    <t xml:space="preserve">    - Guyana</t>
  </si>
  <si>
    <t xml:space="preserve">    - Brunei</t>
  </si>
  <si>
    <t xml:space="preserve">    - India</t>
  </si>
  <si>
    <t>5.  THE PACIFIC</t>
  </si>
  <si>
    <t xml:space="preserve">   - Montenegro</t>
  </si>
  <si>
    <t>Social Development and Welfare</t>
  </si>
  <si>
    <t>UNFPA</t>
  </si>
  <si>
    <t>โครงการจัดตั้งคณะศาลปกครองสูงสุด</t>
  </si>
  <si>
    <t>โครงการยกระดับวิชาชีพเฉพาะให้ครูผู้สอนสายอาชีวศึกษา</t>
  </si>
  <si>
    <t>โครงการพัฒนาชุมชนต้นแบบการพัฒนาอย่างยั่งยืน ตะโบกวิน- บันเตียนเมียนเจย</t>
  </si>
  <si>
    <t>Promoting Climate Resilience in Farming Communities of Cambodia</t>
  </si>
  <si>
    <t>The Use of Mobile Hatcherry as a Tool for Promotion of Aquaculture and Fisheries</t>
  </si>
  <si>
    <t>Improvement of the Quality of Rice Seed Production</t>
  </si>
  <si>
    <t>โครงการโรงเรียนประถมสมบูรณ์ห้วยแสนคำ เมืองไชยะบุรี</t>
  </si>
  <si>
    <t>โครงการฝึกอบรมอาสาสมัครผู้ช่วยสอนภาษาไทยในเวียดนาม</t>
  </si>
  <si>
    <t>Fiji</t>
  </si>
  <si>
    <t>Best Available Technique (BAT) and Best Environmental Practice (BEP) under the Context of United Nations Industrial Development Organization (UNIDO)</t>
  </si>
  <si>
    <t>Green Freight and Logistics Development</t>
  </si>
  <si>
    <t>Food Security - Postharvest, Processing and Quality Assurance of Selected Agro - Industrial Products</t>
  </si>
  <si>
    <t>Sufficiency Economy Philosophy : Tool for Sustainable Rural Development</t>
  </si>
  <si>
    <t>Sufficiency Economy Practices in Community - based and Economic Development</t>
  </si>
  <si>
    <t>โครงการสร้างความตระหนักฯ โรคอุบัติใหม่ (สาธารณสุขชายแดน สสจ. ตราด สสจ. มุกดาหาร สสจ.สระแก้ว)</t>
  </si>
  <si>
    <t>โครงการสร้างความตระหนักฯ โรคอุบัติใหม่ (สาธารณสุขชายแดน สสจ. หนองคาย สสจ. นครพนม)</t>
  </si>
  <si>
    <t xml:space="preserve">   - Albania</t>
  </si>
  <si>
    <t xml:space="preserve">   - Bosnia and Herzegovina</t>
  </si>
  <si>
    <t xml:space="preserve">   - Cote D'ivoire</t>
  </si>
  <si>
    <t xml:space="preserve">   - Haiti</t>
  </si>
  <si>
    <t xml:space="preserve">   - Uruguay</t>
  </si>
  <si>
    <t>8. Others</t>
  </si>
  <si>
    <t>Chile</t>
  </si>
  <si>
    <t>MASHAV</t>
  </si>
  <si>
    <t xml:space="preserve">    - Singapore</t>
  </si>
  <si>
    <t>- ถ่ายทำรายการ TICA พัฒนาทั่วโลก</t>
  </si>
  <si>
    <t>Mongolia</t>
  </si>
  <si>
    <t>Lesotho</t>
  </si>
  <si>
    <t>GTZ</t>
  </si>
  <si>
    <t>ติดตามประเมินผลโครงการพัฒนาศักยภาพการผดุงครรภ์ ของ สปป. ลาว</t>
  </si>
  <si>
    <t>Sweden</t>
  </si>
  <si>
    <t>FRA</t>
  </si>
  <si>
    <t xml:space="preserve">Science &amp; Technology 
</t>
  </si>
  <si>
    <t>Social Development &amp; welfare</t>
  </si>
  <si>
    <t>Sustainable Community Development</t>
  </si>
  <si>
    <t>โครงการจัดตั้งศูนย์เรียนรู้เพื่อการพัฒนาแบบยั่งยืน รร. เทคนิควิชาชีพ แขวงคำม่วน</t>
  </si>
  <si>
    <t>โครงการจัดตั้งศูนย์เรียนรู้เพื่อการพัฒนาแบบยั่งยืน  รร. เทคนิคฯ แขวงเซกอง</t>
  </si>
  <si>
    <t xml:space="preserve"> โครงการพัฒนาการเรียนการสอนที่มหาวิทยาลัยเทคโนโลยีทวายและโรงเรียนเทคนิคทวาย</t>
  </si>
  <si>
    <t>โครงการพัฒนาแผนกฉุกเฉินโรงพยาบาลทวาย</t>
  </si>
  <si>
    <t>โครงการพระราชทานความช่วยเหลือแก่กัมพูชาด้านสาธารณสุข (มาลาเรีย)</t>
  </si>
  <si>
    <t>industry</t>
  </si>
  <si>
    <t>Infrastructure</t>
  </si>
  <si>
    <t xml:space="preserve">    - Ethiopia</t>
  </si>
  <si>
    <t xml:space="preserve">    - Haiti</t>
  </si>
  <si>
    <t xml:space="preserve">    - Liberia</t>
  </si>
  <si>
    <t xml:space="preserve">    - Madagasgar</t>
  </si>
  <si>
    <t xml:space="preserve">    - Mozambique</t>
  </si>
  <si>
    <t xml:space="preserve">    - Uganda</t>
  </si>
  <si>
    <t xml:space="preserve">    - Zambia</t>
  </si>
  <si>
    <t xml:space="preserve">    - Mongolia</t>
  </si>
  <si>
    <t xml:space="preserve">   - Eswatini</t>
  </si>
  <si>
    <t xml:space="preserve">  -  Eswatini</t>
  </si>
  <si>
    <t>9. EUROPE</t>
  </si>
  <si>
    <t xml:space="preserve">    - Eswatini</t>
  </si>
  <si>
    <t>8. OTHERS</t>
  </si>
  <si>
    <t xml:space="preserve">Appendix I : Total Value of Thai International Cooperation Programme by type of Programme (TICP FY 2019)      </t>
  </si>
  <si>
    <t xml:space="preserve">Appendix V : Project under Bilateral Programme (TICP FY 2019)                                                                                                                            </t>
  </si>
  <si>
    <t xml:space="preserve">Appendix III : Bilateral Programme (TICP FY 2019)                                                                                                                                              </t>
  </si>
  <si>
    <t xml:space="preserve">Appendix VI : Fellowship under TIPP Programme (TICP FY 2019)                                                                                                                                    </t>
  </si>
  <si>
    <t xml:space="preserve">Appendix VII : Technical Cooperation among Developing Countries Programmes by Sector (TICP FY 2019)                                                                                                                                    </t>
  </si>
  <si>
    <t xml:space="preserve">Appendix VIII  : Technical Cooperation among Developing Countries Programmes for Joint Research Projects (TICP FY 2019)                                                                                                                                    </t>
  </si>
  <si>
    <t xml:space="preserve">Appendix IX : Annual International Training Courses Programme (TICP FY 2019)                                                                                                                                     </t>
  </si>
  <si>
    <t>Appendix X : Annual International Training Courses (TICP FY 2019)</t>
  </si>
  <si>
    <t>Appendix XI : Trilateral and Regional Cooperation Programme (TICP FY 2019)</t>
  </si>
  <si>
    <t>Appendix XII : Trilateral and Regional Cooperation Programme (TICP FY 2019 )</t>
  </si>
  <si>
    <t>Appendix XIV : Fellowship/Expert under Cooperation Framework (TICP FY 2019)</t>
  </si>
  <si>
    <t>Appendix XIII : Project / Course under Cooperation Framework (TICP FY 2019 )</t>
  </si>
  <si>
    <t>โครงการ Monitoring Forecasting and Warning Outbreak Situation on Rice
-หลักสูตร Pathogens and Mitigration routes of Rice Planthoppers Transmitted Virus Diseases in the Greater Mekong Sub-region</t>
  </si>
  <si>
    <t>โครงการ Integration of Sericulture, Fish Farming and Mushroom  Production</t>
  </si>
  <si>
    <t>โครงการ Medical Plant DNA Barcoding Technology</t>
  </si>
  <si>
    <t>ค่าใช้จ่ายในการจัดประชุม คกร. ไทย-จีน และการดูงานคณะรัฐมนตรีช่วย กระทรวงวิทยาศาสตร์จีน</t>
  </si>
  <si>
    <t xml:space="preserve">โครงการ Chinese -Thai Neural Machine Translation </t>
  </si>
  <si>
    <t>โครงการ Thailand Rubber Research and Technology Exchange Visits</t>
  </si>
  <si>
    <t>โครงการ Rice Seed Production Technology</t>
  </si>
  <si>
    <t xml:space="preserve"> - Energy</t>
  </si>
  <si>
    <t>โครงการ Micro Energy Management System of Micro Grid with Renewable Energy</t>
  </si>
  <si>
    <t xml:space="preserve">โครงการ Ni-based Advanced Catalysts for Dry Refoeming of Methane </t>
  </si>
  <si>
    <t>โครงการโรงเรียนมัธยมตอนต้นนาซอน เมืองสบเบา แขวงหัวพัน สปป.ลาว</t>
  </si>
  <si>
    <t>ค่าใช้จ่ายในการดำเนินกิจกรรม (สถาบันพระบรมราชชนก)</t>
  </si>
  <si>
    <t>ค่าใช้จ่ายในการดำเนินกิจกรรม (กรมควบคุมโรค)</t>
  </si>
  <si>
    <t>เข้าร่วมประชุมสรุปผลการดำเนินงานตามแผนงานโครงการ Development and Improvement of CLCs</t>
  </si>
  <si>
    <t>ค่าใช้จ่าย ผู้เชี่ยวชาญ อ.พรโชค และ อ. วุฒินันท์</t>
  </si>
  <si>
    <t>โครงการ The Establishment of OVOP Regional Promoting Center</t>
  </si>
  <si>
    <t>Development of Program on Cassava in Border Province (Farm and Soil Management Project)</t>
  </si>
  <si>
    <t>โครงการความร่วมมือเพื่อการพัฒนาสะเต็มศึกษาไทย-กพช.</t>
  </si>
  <si>
    <t>ค่าใช้จ่ายในการดำเนินกิจกรรม (กองบริหารสาธารณสุข)</t>
  </si>
  <si>
    <t>ค่าใช้จ่ายในการเดินทางของผู้เชี่ยวชาญกรมพัฒนาฝีมือแรงงานไปสำรวจข้อมูลและหารือเพื่อจัดทำรายละเอียดแผนปฏิบัติโครงการฯ</t>
  </si>
  <si>
    <t>Curriculum Development in Teaching Thai Language at Yangon University of Foreign Language ผู้เชี่ยวชาญสอนภาษา 5 ราย (กฤษกร จักรภพ สุภัค จรสจันทร์ วิศัลย์ศยา)</t>
  </si>
  <si>
    <t>โครงการเสริมสร้างความสามารถในการจัดการและใช้ประโยชน์จากไผ่ Cultivation and Plantation Management to Support Sustainable Use of Bamboo
(ผู้เชี่ยวชาญ 3 ราย กิตติศักดิ์ สราวุธ ปฏิมา)</t>
  </si>
  <si>
    <t>Curriculum Development in Teaching Thai Language at Mandalay University of Foreign Language
(อาสาสมัคร 2 ราย ทิพวัลย์ ปฏิวัติ)</t>
  </si>
  <si>
    <t xml:space="preserve">โครงการฝึกอบรมทักษะอาชีพและอาชีวศึกษาแก่ เมียนมา </t>
  </si>
  <si>
    <t>โครงการจัดสร้างปะการังเทียมที่ จ.ก่าเมา ประเทศเวียดนาม</t>
  </si>
  <si>
    <t>กิจกรรมวิจัยเพื่อพัฒนาหนังสือ ตำรา สื่อการเรียนการสอนสำหรับน.ศ.เวียดนาม ปีที่ 1</t>
  </si>
  <si>
    <t xml:space="preserve">ฝึกอบรมภาษาไทยระยะสั้นแบบเข้มสำหรับนักศึกษาเวียดนาม ประจำปี 2562  </t>
  </si>
  <si>
    <t>อบรมหลักสูตร International Journalism and Diplomacy</t>
  </si>
  <si>
    <t>หารือเพื่อจัดทำแผนความร่วมมือไทย-ติมอร์</t>
  </si>
  <si>
    <t>โครงการความร่วมมือไทย-ฟิจิ         
จัดกิจกรรมศึกษาดูงานให้แก่ผู้แทนจากฟิจิ 8 คนและหมู่เกาะโซโลมอน 7 คน</t>
  </si>
  <si>
    <t xml:space="preserve">เข้าร่วมประชุมความร่วมมือเพื่อการพัฒนาไทย - ฟิลิปปินส์ ครั้งที่ 4  ณ เมืองเซบู สาธารณรัฐฟิลิปปินส์ </t>
  </si>
  <si>
    <t>ประชุม Mid-term Review  และการหารือกับ RCSC</t>
  </si>
  <si>
    <t xml:space="preserve">กิจกรรมด้านการเกษตรและศึกษาดูงานในหมู่บ้านOTOP
 ดูงานการพัฒนาชุมชนด้วยหลักปรัชญาของเศรษฐกิจพอเพียงและส่งเสริมการท่องเที่ยวเชิงวัฒนธรรม OTOP นวัตวิถี  จัดหลักสูตร Food&amp;Packaging และ Rural Beekeeping Enterprise Development </t>
  </si>
  <si>
    <t>Armenia, China, Czech, Kyrgyz, Malaysia, Maldives, Montenegro (2), Morocco, Nigeria, Peru, Samoa, Sri Lanka, Tunisia (2), Uganda, Uzbekistan</t>
  </si>
  <si>
    <t>Energy Efficiency and Conservation for Global Warming Mitigation</t>
  </si>
  <si>
    <t>Azerbaijan, Bangladesh (2), Bosnia and Herzegovina, Chile, Indonesia, Jordan (2), Kiribati, Kyrgyz Republic (2), Madagascar, Maldives (2), Morocco (2), Samoa, Sri Lanka, Vietnam</t>
  </si>
  <si>
    <t>Green Energy Low Carbon Society</t>
  </si>
  <si>
    <t>Albania, Armenia, Bhutan, Ecuador, Hondurus, Kyrgyzstan, Lao PDR (2), Myanmar, Nigeria(2), Peru, Rwanda, Samoa, Sudan, Tajikistan, Tonga, Tunisia, Uganda, Ukraine</t>
  </si>
  <si>
    <t>Azerbaijan (2), Bangladesh, Burundi, Ethiopia, Malaysia, Mauritius, Mexico, Mongolia (2), Morocco, Myanmar (2),Nigeria, Palestine, Philippines, Samoa, Sri Lanka, Tajikistan</t>
  </si>
  <si>
    <t>Low Carbon City Scenario Development and  Implementation</t>
  </si>
  <si>
    <t>Argentina, Bangladesh, Jordan, Kyrgzstan, Lao PDR (2), Mali, Nigeria, Pakistan, Philippines, Sri Lanka(2), Thailand(2), Timor-Leste, Uganda</t>
  </si>
  <si>
    <t>Armenia,  Burkina  Faso, Chile,  Côte d'Ivoire, Ethiopia, Guinea, Jordan, Kyrgyzstan, Myanmar, Nepal,  Nigeria, Philippines, Sudan, Tajikistan, Timor- Leste,  Tunisia, Turkey, Vanuatu</t>
  </si>
  <si>
    <t>Bangladesh, Burundi, Ecuador,Georgia, Kenya, Malawi, Myanmar, Nepal, Nigeria, Peru, Philippines, Samoa (2), Serbia, Sri Lanka, Thailand(2), Tonga, Tunisia, Uganda</t>
  </si>
  <si>
    <t>Argentina, Azerbaijan, Bangladesh, Burundi, Iran, Jordan, Kenya, Malawi, Mauritius, Myanmar, Nepal, Niger, Samoa, Sri Lanka, Turkey, Uganda, Vietnam, Zimbabwe</t>
  </si>
  <si>
    <t>Argentina, Congo, Equador, Kyrgyzstan, Morocco, Myanmar, Nepal, Nigeria, Oman, Palestine, Panama, Samoa, Sri Lanka, Sudan, Suriname, Turkey, Uganda</t>
  </si>
  <si>
    <t xml:space="preserve">Bhutan, Ecuador, Egypt, Kyrgyzstan, Malawi, Maldives, Myanmar, Nepal, Panama, Paraguay, Sri Lanka, Tajikistan, Tunisia, Ukraine, Vietnam </t>
  </si>
  <si>
    <t>Algeria, Azerbaijan, Bangladesh, Bhutan, Cambodia, China, Eswatini, Kyrgyzstan, Madagascar, Myanmar, Nepal, Nigeria, Paraguay, Somalia, Tonga, Turkey, Ukraine, Vietnam</t>
  </si>
  <si>
    <t>Cambodia(4), Lao PDR(3), Myanmar (3), Vietnam (4)</t>
  </si>
  <si>
    <t>Achieving SDG via Community Welfare Fund</t>
  </si>
  <si>
    <t>Aemenia,Bangladesh, Colombia, Eritrea, Iran, Kenya, Kyrgyzstan, Lao PDR, Madagascar, Malawi, Maldives, Mauritius, Myanmar, Nigeria, Sri Lanka, Tanzania, Togo, Tunisia, Uganda</t>
  </si>
  <si>
    <t>Forest based  Ecotourism Management in Thailand</t>
  </si>
  <si>
    <t>Argentina, Bhutan, Colombia, Egypt, Fiji, Georgia, Indonesia, Kazakhstan, Madagascar, Malawi, Maldives, Mexico, Nicaragua, Niger, Palestine, Thailand, Timor-Leste, Togo, Uruguay</t>
  </si>
  <si>
    <t>Gender Equality and Women Empowerment : Sharing Good Practices ans Experiences of Thailand ครั้งที่ 1</t>
  </si>
  <si>
    <t>Gender Equality and Women Empowerment : Sharing Good Practices ans Experiences of Thailand ครั้งที่ 2</t>
  </si>
  <si>
    <t>Armenia, Bhutan, Chile, China, Congo, Ecuador, Georgia, Lao PDR, Mauritius, Morocco, Mozambique, Myanmar, Nigeria, Tajikistan, Tanzania, Togo, Tunisia, Uganda</t>
  </si>
  <si>
    <t>Belize, Cambodia, Chile, Cuba, Ecuador, Kenya, Lao PDR, Madagascar, Maldives, Mauritius, Moldova, Niger, Oman, Panama, Sierra Leone, Sri Lanka, Uganda, Vietnam</t>
  </si>
  <si>
    <t>Community Empowerment to Promote Healthy Pregnancy and Children in the First Five Years of Life</t>
  </si>
  <si>
    <t>Azerbaijan, Bosnia and Herzegovina (2), Eswatini, Jordan, Madagascar, Maldives, Mauritius, Mongolia, Nigeria, Samoa (2),Sudan, Thailand (2), Tonga, Zambia</t>
  </si>
  <si>
    <t>Comprehensive Care Management for Children and Adolescents Living with HIV/AIDS</t>
  </si>
  <si>
    <t>Algeria, Bosnia and Herzegovina (2), Gabon, Iran (2), Maldives, Mexico, Nepal(2), Philippines, Sierra Leone, Sri Lanka (2), Thailand (2), Timor Leste (2), Tonga, Vietnam</t>
  </si>
  <si>
    <t>Burundi, China, Congo,  Cote D'lvoire,  Eswatini, Gambia, Iran, Kyrgyzstan, Malaysia, Maldives, Mauritius, Morocco, Nigeria, Pakistan, Philippines, Samoa, Sudan, Uganda</t>
  </si>
  <si>
    <t>Algeria, Belarus (2), Burundi (2), Georgia, Iran, Malaysia, Maldives, Mauritius (2), Mexico (2), Nigeria, Palestine, Thailand (2), Timor-Leste (2)</t>
  </si>
  <si>
    <t>Principle Concept and Practice of One Health for Emerging Disease Management</t>
  </si>
  <si>
    <t xml:space="preserve">Bhutan, Costa Rica, Gambia, Kiribati, Kyrgyzstan, Maldives, Mexico, Morocco, Myanmar, Peru, Somalia, Sri Lanka, Sudan, Thailand (2), Tonga, Tunisia, Vietnam </t>
  </si>
  <si>
    <t>Strengthening Health System : The Key Contributing to  Achieve Sustainable Development (SDGs)</t>
  </si>
  <si>
    <t>Armenia(2), Bhutan, Burundi, China, Georgia, Maldives, Montenegro, Nigeria (2), Palestine, Peru, Philippines, Sierra Leone, Sri Lanka, Togo, Timor-Leste</t>
  </si>
  <si>
    <t>The Universal Health Coverage (UHC) in Action 2019</t>
  </si>
  <si>
    <t>Argentina, Belarus, Butan, Egypt, Gabon, Gambia, Iran, Jordan, Madagascar, Malawi, Maldives, Nigeria, Oman, Samoa, Sri Lanka, Togo, Uruguay, Vietnam</t>
  </si>
  <si>
    <t>Other Sustainable Development Goals</t>
  </si>
  <si>
    <t>Benin, Cambodia, Eswatini, Gambia, Georgia, Jordan, Kyrgyzstan, Lao PDR, Malaysia, Myanmar, Niger, Nigeria, Paraguay, Sri Lanka, Togo, Ukraine, Vietnam, Zambia</t>
  </si>
  <si>
    <t>Knowledge of Diplomacy : Sustainable Developmennt and the Sufficiency Economy</t>
  </si>
  <si>
    <t>Cambodia, Djibouti, Fiji, Kiribati, Lao PDR, Libya, Myanmar, Pakistan, Paraguay, Senegal, Thailand, Uganda, Ukraine, Vanuatu, Vietnam</t>
  </si>
  <si>
    <t>Moving Local Agricultural Products from Self-Sufficiency Production and Household Consumption to Market</t>
  </si>
  <si>
    <t>Cambodia (6), Lao PDR (2), Myanmar (5), Vietnam (5)</t>
  </si>
  <si>
    <t>Argentina, Cambodia, Ecuador, Indonesia, Iraq, Morocco, Myanmar, Nigeria, Paraguay, Philippines, Russia, Samoa, Sierra Leone, Sudan, Tajikistan, Togo</t>
  </si>
  <si>
    <t>Armenia, Bangladesh, Bhutan, Cambodia, Indonesia, Kiribati, Madagascar, Myanmar, Nepal,Nigeria, Rwanda, South Sudan, Thailand, Togo, Uganda, Ukraine, Vietnam(2)</t>
  </si>
  <si>
    <t>Sufficiency Economy to Sustainable and Disability-Inclusive Development</t>
  </si>
  <si>
    <t>Bhutan (6), Nepal (4), Sri Lanka (5), Thailand (5)</t>
  </si>
  <si>
    <t>Sustainable Community-based Ecotourism Development</t>
  </si>
  <si>
    <t>Chile,  Cote D'lvore, Egypt, India, Kazakhstan, Malawi, Malaysia, Mauritius, Myanmar, Namibia, Niger, Philippines, Sri Lanka, Thailand, Timor-Leste, Togo, Vietnam, Zimbabwe</t>
  </si>
  <si>
    <t>- Sustainable Community Development</t>
  </si>
  <si>
    <t>ประชุมความร่วมมือเพื่อการพัฒนาไทย -ภูฏาน ปี 2562 และวางแผนพัฒนาบุคลากรด้านการแพทย์</t>
  </si>
  <si>
    <t>Jordan</t>
  </si>
  <si>
    <t>โครงการดัดแปลงสภาพอากาศโดยเทคโนโลยีฝนหลวง</t>
  </si>
  <si>
    <t>Morocco</t>
  </si>
  <si>
    <t xml:space="preserve">  - Science and Technology</t>
  </si>
  <si>
    <t>โครงการโรงอบแห้งพลังงานแสงอาทิตย์</t>
  </si>
  <si>
    <t>Peru</t>
  </si>
  <si>
    <t>ผู้รับทุนปริญญาเอก
Beneficiary : Vietnam (1)</t>
  </si>
  <si>
    <t>ผู้รับทุนปริญญาเอก
Beneficiary : Myanmar (5)</t>
  </si>
  <si>
    <t>Training on Mosquito Taxonomy</t>
  </si>
  <si>
    <t>- โครงการสร้างทักษะแรงงาน/วิชาชีพ (ตาก กาญจนบุรี)</t>
  </si>
  <si>
    <t>โครงการสร้างความตระหนักฯ โรคอุบัติใหม่ (สาธารณสุขชายแดน สสจ. เชียงราย สสจ. ตาก ระนอง)</t>
  </si>
  <si>
    <t xml:space="preserve">    - El Salvador</t>
  </si>
  <si>
    <t xml:space="preserve">    - Gambia</t>
  </si>
  <si>
    <t xml:space="preserve">   - St. Vincent &amp; Grenadines</t>
  </si>
  <si>
    <t xml:space="preserve">    - St. Vincent &amp; Grenadines</t>
  </si>
  <si>
    <t xml:space="preserve">    - Solomon Islands</t>
  </si>
  <si>
    <t xml:space="preserve">    - Tanzania</t>
  </si>
  <si>
    <t xml:space="preserve">   - Burkina Faso</t>
  </si>
  <si>
    <t xml:space="preserve">   - Czech Republic</t>
  </si>
  <si>
    <t xml:space="preserve">   - Guinea Bissau</t>
  </si>
  <si>
    <t xml:space="preserve">   - Honduras</t>
  </si>
  <si>
    <t xml:space="preserve">   - Nicaragua</t>
  </si>
  <si>
    <t xml:space="preserve">   - Serbia</t>
  </si>
  <si>
    <t>Workshop on Strategic and Financial Intelligence : Best Practices for Enhancing FIU's Role in Preventing and Detecting of Money  Laundering/TF
Beneficiary : Brunei Darussalam (10), Cambodia (4), Indonesia(4), Lao PDR (4), Malaysia (4), Myanmar (4), Philippines (2), Thailand (2)</t>
  </si>
  <si>
    <t>Community - based Microcredit and Sufficiency Economy Development
Beneficiary : Bangladesh (3), Bhutan , India (2), Indonesia (3),Pakistan (2), Sri Lanka (5)</t>
  </si>
  <si>
    <t>Inclusive Development through Disability - Inclusive Sports ปีที่ 3
Beneficiary : Cambodia (4), Lao PDR (2), Malaysia (2), Myanmar (2), Philippines (4), Vietnam (4)</t>
  </si>
  <si>
    <t>International Road Infrastructure Develoopment for ASEAN and BIMSTEC Networks
Beneficiary : Bangladesh (2), Bhutan (2), Cambodia (2), Lao PDR (3), Myanmar (3), Nepal (3), Philippines (2), Sri Lanka (2), Thailand (3), Vietnam (1)</t>
  </si>
  <si>
    <t>Promotion and Dissemination of High Quality Biofels Production Technology for Automotive Utilization in ASEAN ปีที่ 3
Beneficiary : Cambodia (4), Lao PDR (5), Myanmar (4), Thailand (2), Vietnam (2)</t>
  </si>
  <si>
    <t>Labour and Employment</t>
  </si>
  <si>
    <t>Skill Development for Material Processing for Mekong Countries ปีที่ 4
Beneficiary : Cambodia (4), Lao PDR (3), Myanmar (8), Vietnam (2)</t>
  </si>
  <si>
    <t>Development of Effective Communty - Based Treatment of Offenders in the CLMV Countries
Beneficiary : Cambodia (4), Lao PDR (2), Myanmar (4), Vietnam (4)</t>
  </si>
  <si>
    <t>Introduction to Industrial Production Indices for Mekong Countries
 Beneficiary : Cambodia (3), Lao PDR (7), Myanmar (7), Vietnam (2)</t>
  </si>
  <si>
    <t>Workshop on Investment Promotion for Mekong Countries towards AEC and Beyond ปีที่ 2
Beneficiary : Cambodai (10), Lao PDR (10), Myanmar (10), Vietnam (10)</t>
  </si>
  <si>
    <t>โครงการพัฒนาศักยภาพด้านการเพาะเลี้ยงสัตว์น้ำให้เมียนมา หลักสูตร intensive Technology Transfer for Giant Butter Catfish Culture และ Shrimp Culture Technology
Beneficiary :  Myanmar (5)</t>
  </si>
  <si>
    <t>Overcoming the Challenges of Early Chidhood Education (ECE) 21 Century
Beneficiary : Cambodia(3), Lao PDR(3), Myanmar (4), Philippines (3),Thailand(4), Timor-Leste (3), Vietnam (4)</t>
  </si>
  <si>
    <t>Sustainable Community Health Development through Community Health Volunteers : Monitoring, Evaluation and Supervision
Beneficiary : Cambodia (2),China (3), Indonesia (2), Lao PDR, Mongolia (3), Myanmar (3), Pakistan</t>
  </si>
  <si>
    <t>Community Empowerment to Strengthen Maternal and Newborn Health Care
Beneficiary : Bangladesh (2), Bhutan (2), Cambodia (4). Guinea (2), Indonesia (2), Lao PDR (2), Myanmar (2), Timor-Leste (2), Vietnam (2)</t>
  </si>
  <si>
    <t>UNICEF</t>
  </si>
  <si>
    <t xml:space="preserve">Workshop on Elimination of Mother to Child Transmission
Beneficiary :Kazahstan(5), Tajikistan (5), Ukraine (2), Uzbekistan (8) </t>
  </si>
  <si>
    <t>Announcement of South -South Cooperation on Elimination of Mother to child Transmission (EMTCT) of HIV and Syphilis  : Sharing Thailand's  EMTCT Best Practices</t>
  </si>
  <si>
    <t>China</t>
  </si>
  <si>
    <t>Sampling Methods for Rice Planthoppers and Rice Virus
Beneficiary : Cambodia(3), Lao PDR (3),Myanmar (3), Vietnam(3)</t>
  </si>
  <si>
    <t>ฝึกอบรมนักการทูตระดับต้น ระดับกลาง
Beneficiary : Cambodia (5), Lao PDR (5), Myanmar (5)</t>
  </si>
  <si>
    <t>South - South Cooperation Solution on Preventable Causes of Maternal Death
Beneficiary : Afghanistan (2), Bangladesh (2), Bhutan (2), Cambodia (2). Indonesia (2), Lao PDR (2), Myanmar (2), Nepal (2), Papua New Guinea</t>
  </si>
  <si>
    <t>จัดทำแผนความร่วมมือเพื่อพัฒนาไทย-เมียนมา ระยะ 3 ปี</t>
  </si>
  <si>
    <t>ค่าใช้จ่ายในการประเมินผลโครงการด้านการศึกษา สปป.ลาว</t>
  </si>
  <si>
    <t>ค่าใช้จ่ายในการประเมินผลโครงการด้านสาธารณสุข สปป.ลาว</t>
  </si>
  <si>
    <t>PGTF (Perez - Guerrero Trust Fund for South - South Cooperation)</t>
  </si>
  <si>
    <t>ค่าใช้จ่ายในการประเมินผลโครงการด้านการเกษตร สปป. ลาว</t>
  </si>
  <si>
    <t>ค่าใช้จ่ายในการสำรวจจัดทำแผนการดำเนินโครงการด้านการศึกษา</t>
  </si>
  <si>
    <t>- Natural Resources &amp; Environment</t>
  </si>
  <si>
    <t>นักเรียนทุนพระราชทาน</t>
  </si>
  <si>
    <t>โครงการด้านการพัฒนาเด็กและเยาวชน
- ฝึกอบรมหลักสูตร การเสริมสร้างศักยภาพด้านการพัฒนาเด็กและเยาวชนด้านการเกษตร โภชนาการ และสุขภาพอนามัย จ.อุบลราชธานี</t>
  </si>
  <si>
    <t>โครงการความร่วมมือในการพัฒนาคุณภาพชีวิตเด็กและเยาวชนในสาธารณรัฐฟิลิปปินส์ ตามพระราชดำริฯ</t>
  </si>
  <si>
    <t>โครงการความร่วมมือในการพัฒนาคุณภาพชีวิตเด็กและเยาวชนในติมอร์ เลสเต ตามพระราชดำริฯ</t>
  </si>
  <si>
    <t xml:space="preserve">  - Tourism</t>
  </si>
  <si>
    <t xml:space="preserve"> - Sustainable Community Development</t>
  </si>
  <si>
    <t>การก่อสร้างอาคารเรียนในรัฐยะไข่</t>
  </si>
  <si>
    <t xml:space="preserve">แผนงานความร่วมมือด้านการพัฒนาทรัพยากรมนุษย์ไทย - เมียนมา ปี 2562
</t>
  </si>
  <si>
    <t>โครงการจัดตั้งศูนย์เรียนรู้เพื่อการพัฒนาการเกษตรแบบยั่งยืน รร. เทคนิคกสิกรรมดงคำช้าง</t>
  </si>
  <si>
    <t>สัมมนาเชิงปฏิบัติการการบริหารโครงการอย่างมีประสิทธิภาพและเกิดผลสัมฤทธิ์ตามหลักปรัชญาของเศรษฐกิจพอเพียง
Beneficiary : Thailand</t>
  </si>
  <si>
    <t>KOICA</t>
  </si>
  <si>
    <t>Sustainable Agriculture and Environmental Management based on Suffiiciiency Economy Philosophy 
Beneficiary :   Indonesia (2), Lao PDR (2), Malaysia (2), Myanmar (2), Timor-Leste (2), Vietnam (3)</t>
  </si>
  <si>
    <t xml:space="preserve">โครงการ Sustainable Tourism Management and Sufficiency Economy :  Ecotourism:Destination Management and Income Generation by Local Communities </t>
  </si>
  <si>
    <t>Benin</t>
  </si>
  <si>
    <t>โครงการพัฒนาชุมชนอย่างยั่งยืน ณ สาธารณรัฐเบนิน</t>
  </si>
  <si>
    <t>โครงการพัฒนาชุมชนภายใต้หลักปรัชญาของเศรษฐกิจพอเพียง (อาสาสมัคร น.ส.สุจิดานันท์ บุญทอง)</t>
  </si>
  <si>
    <t>โครงการพัฒนาชุมชนต้นแบบเพื่อเผยแพร่หลักปรัชญาของเศรษฐกิจพอเพียง</t>
  </si>
  <si>
    <t xml:space="preserve">โครงการพัฒนาการเกษตรอย่างยั่งยืนในเลโซโท ระยะที่ 2 </t>
  </si>
  <si>
    <t>โครงการเผยแพร่หลักปรัชญาของเศรษฐกิจพอเพียง สำรวจความต้องการในพื้นที่รัฐคะยา ของผู้บริหารระดับสูง</t>
  </si>
  <si>
    <t>โครงการจัดตั้งศูนย์เรียนรู้เพื่อเผยแพร่หลักปรัชญาของเศรษฐกิจพอเพียง ที่รัฐยะไข่</t>
  </si>
  <si>
    <t>ออท ฟิจิ กรุงกัวลาลัมเปอร์ ดูงานเศรษฐกิจพอเพียง</t>
  </si>
  <si>
    <t>- ทำวิดีทัศน์ตอน 2 SEP Travel around the World</t>
  </si>
  <si>
    <t xml:space="preserve">Sufficiency Thinking in Sustainable Development รุ่นที่ 2 </t>
  </si>
  <si>
    <t>Bangladesh, Brunei, Cambodia (2), , Germany, Lao PDR,  Malaysia, Philippines (2), Singapore, Sri Lanka (4), Vietnam (2)</t>
  </si>
  <si>
    <t xml:space="preserve">   - Germany</t>
  </si>
  <si>
    <t>- ค่าใช้จ่ายในการจัดดูงานโครงการที่นำหลักเศรษฐกิจพอเพียงไปประยุกต์ใช้ที่ จ.เชียงราย</t>
  </si>
  <si>
    <t>- ค่าใช้จ่ายในการเข้าร่วมการสัมมนาการบูรณาการข้อมูลงานโครงการอันเนื่องมาจากพระราชดำริ</t>
  </si>
  <si>
    <t>- ค่าใช้จ่ายในการประชาสัมพันธ์ในการประชุม Second High - level United Nations Conference on South - South Cooperation ณ กรุงบัวโนสไอเรส</t>
  </si>
  <si>
    <t>- ค่าใช้จ่ายในการเดินทางเข้าร่วมสังเกตการณ์และสัมภาษณ์ผู้รับทุนนานาชาติหลักสูตร Sustainable Community - based Eco - tourism Development</t>
  </si>
  <si>
    <t>- ค่าใช้จ่ายในการจัดดูงานสำหรับโครงการเสริมสร้างความเข้มแข็งแก่ผู้ปฏิบัติงานของ TICA จ.ฉะเชิงเทรา และ สระแก้ว</t>
  </si>
  <si>
    <t xml:space="preserve">Sustainable Agriculture and Environmental Management based on Sufficiency Economy Philosophy ครั้งที่ 2
Beneficiary : Cambodia, Lao PDR (2), Myanmar, Timor -leste (11), Vietnam 
</t>
  </si>
  <si>
    <t>จัดทำแผนความร่วมมือเพื่อพัฒนาไทย-ลาว ระยะ 3 ปี (2563-2565)</t>
  </si>
  <si>
    <t>-การประชุมคณะกรรมการการจ้างผู้อำนวยการแผนงานความร่วมมือเพื่อการพัฒนาไทย-ประเทศเพื่อนบ้าน สาขาสาธารณสุข</t>
  </si>
  <si>
    <t xml:space="preserve">- จัดทำรายงานพัฒนาคนของประเทศไทยให้กับ UNDP </t>
  </si>
  <si>
    <t xml:space="preserve">ร่วมประชุมระดับรัฐมนตรี ครั้งที่ 25 </t>
  </si>
  <si>
    <t>- จัดนิทรรศการเกี่ยวกับการดำเนินโครงการความร่วมมือเพื่อการพัฒนาของไทยในภูมิภาคแอฟริกา</t>
  </si>
  <si>
    <t>-ค่าใช้จ่ายในการจัดสัมมนาเชิงปฏิบัติการ เรื่องการส่งเสริมสถาบันอุดมศึกษาไทยสู่ความเป็นนานาชาติผ่านความร่วมมือเพื่อการพัฒนาระหว่างประเทศ</t>
  </si>
  <si>
    <t>ค่าเดินทางไปสอบสัมภาษณ์ข้อเขียนภาษาอังกฤษในลาว</t>
  </si>
  <si>
    <t>- Public Administration</t>
  </si>
  <si>
    <t>- การประชุมเชิงปฏิบัติการเรื่องแนวทางการดำเนินงานความร่วมมือเพื่อการพัฒนาสาขาเศรษฐกิจและสังคมระหว่างหน่วยงานอื่น</t>
  </si>
  <si>
    <t>ASEAN</t>
  </si>
  <si>
    <t>ประชุม Director - General Forum of ASEAN Countries on Development Cooperation 
Beneficiary :  Cambodia(2), Indonesia (3), Lao PRD (3), Myanmar (2), Singapore (3), Vietnam (3)</t>
  </si>
  <si>
    <t>จัดประชุมเชิงปฏิบัติการเพื่อหารือข้อเสนอหลักสูตรนานาชาติ (AITC)</t>
  </si>
  <si>
    <t xml:space="preserve">- จัดนิทรรศการที่งาน European Development Day 2019 </t>
  </si>
  <si>
    <t>- จัด The 16 th ODA Evaluation Workshop ร่วมกับสอท ญี่ปุ่น</t>
  </si>
  <si>
    <t>- ค่าใช้จ่ายในการพัฒนาเว็บไซด์และแอพพลิเคชั่นและe-magazine</t>
  </si>
  <si>
    <t xml:space="preserve">- สัมมนาโครงการเพิ่มประสิทธิภาพบุคลากรในการดำเนินโครงการความร่วมมือเพื่อการพัฒนาระหว่างประเทศบนพื้นฐานปรัชญาของเศรษฐกิจพอเพียง </t>
  </si>
  <si>
    <t>- ค่าใช้จ่ายในการจัดงานเทิดพระเกียรติในหลวงรัชกาลที่ 9 กษัตริย์นักพัฒนากับความร่วมมือเพื่อการพัฒนาระหว่างประเทศ</t>
  </si>
  <si>
    <t>CSEP</t>
  </si>
  <si>
    <t>วิทยากรร่วมในหลักสูตร Strengthening Knowledge Property</t>
  </si>
  <si>
    <t xml:space="preserve">วิทยากรร่วมในหลักสูตร Public Health and Health Promotion </t>
  </si>
  <si>
    <t>ประชุมความร่วมมือทางวิชาการไทย -สิงคโปร์ ครั้งที่ 9  ภายใต้โครงการความร่วมมือ Thailand-Singapore Civil Service Exchange Programme:</t>
  </si>
  <si>
    <t xml:space="preserve"> - Natural Resources &amp; Environment</t>
  </si>
  <si>
    <t>อาสาสมัครเพื่อนไทย</t>
  </si>
  <si>
    <t>21.1 - โครงการสร้างทักษะแรงงานวิชาชีพ (ตราด)</t>
  </si>
  <si>
    <t>กิจกรรมเผยแพร่หลักปรัชญาของเศรษฐกืจพอเพียง</t>
  </si>
  <si>
    <t>กิจกรรมอื่น ๆ</t>
  </si>
  <si>
    <t xml:space="preserve">7. Latin America </t>
  </si>
  <si>
    <t xml:space="preserve">   - Timor - leste</t>
  </si>
  <si>
    <t>6.  AFRICA</t>
  </si>
  <si>
    <t xml:space="preserve">    - Guinea</t>
  </si>
  <si>
    <t>7.  CIS</t>
  </si>
  <si>
    <t>8. OTHERS*</t>
  </si>
  <si>
    <t>8.  Europe</t>
  </si>
  <si>
    <t xml:space="preserve">   - Papua New Guinea</t>
  </si>
  <si>
    <t>Strategic Management to Labor Migration in the Greater Mekong Sub-region
Beneficiary : Cambodia (4), Lao PDR(4), Myanmar (4), Thailand (4). Vietnam(4)</t>
  </si>
  <si>
    <t>สนับสนุนการประชุมวิชาการสถาบันพระปกเกล้าครั้งที่ 20
Beneficiary : Bhutan, Myanmar (2), Vietnam, Thailand (5)</t>
  </si>
  <si>
    <t>ผู้รับทุนศึกษาคณะทันตแพทย์
Bemeficiary :  Lao PDR (2)</t>
  </si>
  <si>
    <t>สาขาบริหารธุรกิจ (UTCC- ASEAN ACMECS Partial Grant)
Beneficiary : Cambodia, Myanmar (3)</t>
  </si>
  <si>
    <t>4. OTHERS</t>
  </si>
  <si>
    <t>7. Latin America</t>
  </si>
  <si>
    <t xml:space="preserve">   - St.  Vincent &amp; Grenadines</t>
  </si>
  <si>
    <t xml:space="preserve">   - Maldova</t>
  </si>
  <si>
    <t xml:space="preserve">  -  Eritrea</t>
  </si>
  <si>
    <t>**  :  ACMECS, BIMSTEC, GMS, FEALAC, MASHAV, IORA, CICA, MGC, OIC</t>
  </si>
  <si>
    <t>กิจกรรมแลกเปลี่ยนผู้เชี่ยวชาญ ภายใต้ความร่วมมือด้านการปลูกถั่วเหลืองไทย-อาร์เจนตินา Potentail Enhancement for Sustainable Soybean Production and Utilization Project</t>
  </si>
  <si>
    <t xml:space="preserve">กิจกรรมแลกเปลี่ยนผู้เชี่ยวชาญ ภายใต้ความร่วมมือด้านนิติวิทยาศาสตร์ ไทย- อาร์เจนตินา Missing Migrants and Non Identified Human Skeletal Remains: exhumation and analysis skills development Project </t>
  </si>
  <si>
    <t>กิจกรรมแลกเปลี่ยนผู้เชี่ยวชาญภายใต้ความร่วมมือด้านการพัฒนาการท่องเที่ยวชุมชนอย่างยั่งยืน ไทย- เปรู ระยะที่ ๒ Project of Sustainable Development of Tourism with Community Involvement</t>
  </si>
  <si>
    <t>\</t>
  </si>
  <si>
    <t>โครงการความร่วมมือไทย-บังกลาเทศ ตามพระราชดำริสมเด็จพระกนิษฐาธิราชเจ้า กรมสมเด็จพระเทพรัตนราชสุดาฯ สยามบรมราชกุมารี (3.1 โครงการพัฒนาคุณภาพชีวิตเด็กและเยาวชน
3.2 โครงการศูนย์เรียนรู้เศรษฐกิจพอเพียง)</t>
  </si>
  <si>
    <t xml:space="preserve">Sustainable Community Development Model Based on the Application of Sufficiency Economy Philosophy (SEP) for OGOP Villager in Bhutan </t>
  </si>
  <si>
    <t>Sustainable Community Development  Model Based on the Application of the Philosophy of Sufficiency Economy for Sri Lanka</t>
  </si>
  <si>
    <t>Albania, Bhutan, Cambodia, Costa Rica, Ecuador, El Salvador, Ethiopia, Iran, Kenya, Maldives, Mauritius, Morocco, Nepal, Nigeria, Sri Lanka, Tajikistan, Thailand (2), Tunisia, Turkey</t>
  </si>
  <si>
    <t>Postharvest Technology of Fruit and Vegetable Crops for Developing Countries</t>
  </si>
  <si>
    <t>Bangladesh, Burundi, Chile, China, Djibouti, El Salvador, Ethiopia, Gambia (2), Indonesia,  Malaysia (2), Maldives,  Mauritius (2), Myanmar, Paraguay, Ukraine</t>
  </si>
  <si>
    <t>Egypt, Guinea-Bissau, India (2), Iran, Kenya (7), Maldives, Mauritius, Montenegro, Morocco (2), Nigeria, Philippines(2), Samoa, Sri Lanka, Uganda (2), Vietnam (2)</t>
  </si>
  <si>
    <t>Bangladesh, Bhutan, Egypt, Ethiopia, Gabon, Indonesia, Maldives, Mali, Mauritius, Myanmar, Nigeria, Sri Lanka, Suriname, Tajikistan, Tanzania, Thailand, Tunisia, Vietnam</t>
  </si>
  <si>
    <t xml:space="preserve">Health Promotion and Health Care Management for Preschool Children </t>
  </si>
  <si>
    <t>โครงการพระราชทานความช่วยเหลือด้านการศึกษาแก่กัมพูชา  (วิทยาลัยกำปงเฌอเตียล)</t>
  </si>
  <si>
    <t>โครงการพระราชทานความช่วยเหลือด้านการศึกษาแก่กัมพูชา  (วิทยาลัยกำปงสปือ)</t>
  </si>
  <si>
    <t>แผนงานสาขาเกษตร</t>
  </si>
  <si>
    <t>Development of Agricultural Cooperative Business in Cambodia</t>
  </si>
  <si>
    <t>โครงการพัฒนาหลักสูตรการเรียนการสอนภาษาไทย ณ มหาวิทยาลัยภูมินท์ พนมเปญ</t>
  </si>
  <si>
    <t>โครงการพัฒนาหลักสูตรการเรียนการสอนภาษาไทย ณ ม.พระตะบอง</t>
  </si>
  <si>
    <t>โครงการภายใต้แผนความร่วมมือเพื่อการพัฒนาไทย-กัมพูชา ระยะ 3 ปี สาขาการศึกษา</t>
  </si>
  <si>
    <t>กิจกรรมศึกษาดูงานศูนย์เรียนรู้ชุมชน ให้แก่ คณะผู้แทนกระทรวงศึกษาธิการกัมพูชา</t>
  </si>
  <si>
    <t>โครงการภายใต้แผนงานความร่วมมือเพื่อพัฒนาไทย-กัมพูชา สาขาสาธารณสุข 60-62 (9 โครงการย่อย)</t>
  </si>
  <si>
    <t>โครงการจัดตั้งศูนย์แรกรับเหยื่อค้ามนุษย์และกลุ่มเสี่ยง จ. บันเตียเมียนเจย</t>
  </si>
  <si>
    <t>- จัดหลักสูตร Web Development  ให้แก่ เจ้าหน้าที่จากสำนักงานเลขาธิการวุฒิสภากัมพูชา</t>
  </si>
  <si>
    <t xml:space="preserve">- ศึกษาดูงานด้านการบริหารงานและประสานงานเกี่ยวกับ OTOP ในไทย </t>
  </si>
  <si>
    <t xml:space="preserve">โครงการจัตตั้งศูนย์พัฒนาสังคมมิตรภาพ ลาว-ไทย </t>
  </si>
  <si>
    <t>The Teaching Thai Language at the College of Foreign Languages (University of Languages and International Studies), VNU, Hanoi</t>
  </si>
  <si>
    <t>โครงการพัฒนาชุมชนต้นแบบอย่างยั่งยืนบนพื้นฐานการประยุกต์ใช้หลักปรัชญาของเศรษฐกิจพอเพียงใน จ. Thai Nyuyen</t>
  </si>
  <si>
    <t>โครงการพัฒนาวิทยาลัยพลศึกษา (ทุนสาขาการจัดการกีฬา และการสอนกีฬา)</t>
  </si>
  <si>
    <t>โครงการพัฒนาโรงเรียนกสิกรรมดงคำช้าง</t>
  </si>
  <si>
    <t>โครงการออกหน่วยบริการทางการแพทย์แก่ประชากรในรัฐยะไข่ 
2 ครั้ง</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</si>
</sst>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 #,##0.0_-;_-* &quot;-&quot;??_-;_-@_-"/>
    <numFmt numFmtId="173" formatCode="_-* #,##0_-;\-* #,##0_-;_-* &quot;-&quot;??_-;_-@_-"/>
    <numFmt numFmtId="174" formatCode="0.0"/>
    <numFmt numFmtId="175" formatCode="#,##0.0"/>
    <numFmt numFmtId="176" formatCode="_(* #,##0.000_);_(* \(#,##0.000\);_(* &quot;-&quot;??_);_(@_)"/>
    <numFmt numFmtId="177" formatCode="_(* #,##0.0_);_(* \(#,##0.0\);_(* &quot;-&quot;??_);_(@_)"/>
    <numFmt numFmtId="178" formatCode="_(* #,##0_);_(* \(#,##0\);_(* &quot;-&quot;??_);_(@_)"/>
    <numFmt numFmtId="179" formatCode="_-* #,##0.0_-;\-* #,##0.0_-;_-* &quot;-&quot;?_-;_-@_-"/>
    <numFmt numFmtId="180" formatCode="#,##0.0_);\(#,##0.0\)"/>
    <numFmt numFmtId="181" formatCode="_(* #,##0.0_);_(* \(#,##0.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000_-;\-* #,##0.000_-;_-* &quot;-&quot;??_-;_-@_-"/>
    <numFmt numFmtId="187" formatCode="0.000"/>
    <numFmt numFmtId="188" formatCode="_-* #,##0_-;\-* #,##0_-;_-* &quot;-&quot;?_-;_-@_-"/>
    <numFmt numFmtId="189" formatCode="_-* #,##0.0000_-;\-* #,##0.0000_-;_-* &quot;-&quot;??_-;_-@_-"/>
  </numFmts>
  <fonts count="75">
    <font>
      <sz val="10"/>
      <name val="Arial"/>
      <family val="0"/>
    </font>
    <font>
      <sz val="11"/>
      <color indexed="8"/>
      <name val="Calibri"/>
      <family val="2"/>
    </font>
    <font>
      <sz val="8"/>
      <name val="Arial"/>
      <family val="2"/>
    </font>
    <font>
      <u val="single"/>
      <sz val="10"/>
      <color indexed="12"/>
      <name val="Arial"/>
      <family val="2"/>
    </font>
    <font>
      <sz val="14"/>
      <name val="Cordia New"/>
      <family val="2"/>
    </font>
    <font>
      <b/>
      <sz val="14"/>
      <name val="Cordia New"/>
      <family val="2"/>
    </font>
    <font>
      <b/>
      <sz val="10"/>
      <name val="Cordia New"/>
      <family val="2"/>
    </font>
    <font>
      <b/>
      <sz val="12"/>
      <name val="Cordia New"/>
      <family val="2"/>
    </font>
    <font>
      <b/>
      <sz val="10"/>
      <name val="Arial"/>
      <family val="2"/>
    </font>
    <font>
      <b/>
      <sz val="9"/>
      <name val="Arial"/>
      <family val="2"/>
    </font>
    <font>
      <sz val="12"/>
      <name val="Cordia New"/>
      <family val="2"/>
    </font>
    <font>
      <b/>
      <sz val="13.5"/>
      <name val="Cordia New"/>
      <family val="2"/>
    </font>
    <font>
      <sz val="10"/>
      <name val="Cordia New"/>
      <family val="2"/>
    </font>
    <font>
      <sz val="13"/>
      <name val="Cordia New"/>
      <family val="2"/>
    </font>
    <font>
      <b/>
      <sz val="11"/>
      <name val="Cordia New"/>
      <family val="2"/>
    </font>
    <font>
      <sz val="14"/>
      <name val="Arial"/>
      <family val="2"/>
    </font>
    <font>
      <b/>
      <sz val="13"/>
      <name val="Cordia New"/>
      <family val="2"/>
    </font>
    <font>
      <b/>
      <sz val="8"/>
      <name val="Comic Sans MS"/>
      <family val="4"/>
    </font>
    <font>
      <sz val="8"/>
      <name val="Comic Sans MS"/>
      <family val="4"/>
    </font>
    <font>
      <b/>
      <sz val="16"/>
      <name val="Cordia New"/>
      <family val="2"/>
    </font>
    <font>
      <b/>
      <sz val="9"/>
      <name val="Arial Narrow"/>
      <family val="2"/>
    </font>
    <font>
      <b/>
      <sz val="8"/>
      <name val="Arial Narrow"/>
      <family val="2"/>
    </font>
    <font>
      <b/>
      <sz val="12"/>
      <color indexed="10"/>
      <name val="Cordia New"/>
      <family val="2"/>
    </font>
    <font>
      <sz val="12"/>
      <name val="Arial"/>
      <family val="2"/>
    </font>
    <font>
      <sz val="13.5"/>
      <name val="Cordia New"/>
      <family val="2"/>
    </font>
    <font>
      <sz val="13.5"/>
      <name val="Arial"/>
      <family val="2"/>
    </font>
    <font>
      <b/>
      <sz val="8"/>
      <name val="Arial"/>
      <family val="2"/>
    </font>
    <font>
      <b/>
      <sz val="15"/>
      <name val="Cordia New"/>
      <family val="2"/>
    </font>
    <font>
      <sz val="16"/>
      <name val="Arial"/>
      <family val="2"/>
    </font>
    <font>
      <b/>
      <sz val="13.5"/>
      <color indexed="10"/>
      <name val="Cordia New"/>
      <family val="2"/>
    </font>
    <font>
      <b/>
      <sz val="13.5"/>
      <color indexed="8"/>
      <name val="Cordia New"/>
      <family val="2"/>
    </font>
    <font>
      <sz val="13.5"/>
      <color indexed="8"/>
      <name val="Cordia New"/>
      <family val="2"/>
    </font>
    <font>
      <b/>
      <sz val="14"/>
      <name val="Arial"/>
      <family val="2"/>
    </font>
    <font>
      <b/>
      <vertAlign val="superscript"/>
      <sz val="14"/>
      <name val="Cordia New"/>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3.5"/>
      <color indexed="10"/>
      <name val="Cordia New"/>
      <family val="2"/>
    </font>
    <font>
      <b/>
      <sz val="14"/>
      <color indexed="8"/>
      <name val="Cordia Ne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3.5"/>
      <color theme="1"/>
      <name val="Cordia New"/>
      <family val="2"/>
    </font>
    <font>
      <sz val="13.5"/>
      <color theme="1"/>
      <name val="Cordia New"/>
      <family val="2"/>
    </font>
    <font>
      <sz val="13.5"/>
      <color rgb="FFFF0000"/>
      <name val="Cordia New"/>
      <family val="2"/>
    </font>
    <font>
      <b/>
      <sz val="14"/>
      <color theme="1"/>
      <name val="Cordia Ne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66FF"/>
        <bgColor indexed="64"/>
      </patternFill>
    </fill>
    <fill>
      <patternFill patternType="solid">
        <fgColor theme="5" tint="0.599960029125213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style="medium"/>
    </border>
    <border>
      <left>
        <color indexed="63"/>
      </left>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color indexed="63"/>
      </right>
      <top style="medium"/>
      <bottom>
        <color indexed="63"/>
      </bottom>
    </border>
    <border>
      <left>
        <color indexed="63"/>
      </left>
      <right style="hair"/>
      <top style="medium"/>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hair"/>
      <right style="hair"/>
      <top style="hair"/>
      <bottom style="hair"/>
    </border>
    <border>
      <left>
        <color indexed="63"/>
      </left>
      <right style="hair"/>
      <top style="hair"/>
      <bottom style="hair"/>
    </border>
    <border>
      <left>
        <color indexed="63"/>
      </left>
      <right style="hair"/>
      <top style="medium"/>
      <bottom style="medium"/>
    </border>
    <border>
      <left style="hair"/>
      <right style="hair"/>
      <top style="medium"/>
      <bottom style="medium"/>
    </border>
    <border>
      <left style="hair"/>
      <right style="hair"/>
      <top style="medium"/>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medium"/>
    </border>
    <border>
      <left>
        <color indexed="63"/>
      </left>
      <right style="hair"/>
      <top style="hair"/>
      <bottom>
        <color indexed="63"/>
      </bottom>
    </border>
    <border>
      <left>
        <color indexed="63"/>
      </left>
      <right>
        <color indexed="63"/>
      </right>
      <top style="medium"/>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0" fillId="0" borderId="0">
      <alignment/>
      <protection/>
    </xf>
  </cellStyleXfs>
  <cellXfs count="1428">
    <xf numFmtId="0" fontId="0" fillId="0" borderId="0" xfId="0" applyAlignment="1">
      <alignment/>
    </xf>
    <xf numFmtId="0" fontId="5" fillId="0" borderId="0" xfId="62" applyFont="1" applyAlignment="1">
      <alignment vertical="center"/>
      <protection/>
    </xf>
    <xf numFmtId="0" fontId="6" fillId="0" borderId="0" xfId="62" applyFont="1" applyAlignment="1">
      <alignment horizontal="center"/>
      <protection/>
    </xf>
    <xf numFmtId="0" fontId="6" fillId="0" borderId="0" xfId="62" applyFont="1">
      <alignment/>
      <protection/>
    </xf>
    <xf numFmtId="173" fontId="6" fillId="0" borderId="0" xfId="46" applyNumberFormat="1" applyFont="1" applyAlignment="1">
      <alignment horizontal="center"/>
    </xf>
    <xf numFmtId="173" fontId="6" fillId="0" borderId="0" xfId="46" applyNumberFormat="1" applyFont="1" applyAlignment="1">
      <alignment/>
    </xf>
    <xf numFmtId="0" fontId="4" fillId="0" borderId="0" xfId="62">
      <alignment/>
      <protection/>
    </xf>
    <xf numFmtId="0" fontId="10" fillId="0" borderId="0" xfId="62" applyFont="1">
      <alignment/>
      <protection/>
    </xf>
    <xf numFmtId="0" fontId="5" fillId="0" borderId="0" xfId="62" applyFont="1" applyBorder="1">
      <alignment/>
      <protection/>
    </xf>
    <xf numFmtId="0" fontId="7" fillId="0" borderId="0" xfId="62" applyFont="1" applyBorder="1">
      <alignment/>
      <protection/>
    </xf>
    <xf numFmtId="0" fontId="11" fillId="0" borderId="0" xfId="62" applyFont="1" applyBorder="1">
      <alignment/>
      <protection/>
    </xf>
    <xf numFmtId="173" fontId="11" fillId="0" borderId="0" xfId="46" applyNumberFormat="1" applyFont="1" applyBorder="1" applyAlignment="1">
      <alignment horizontal="right"/>
    </xf>
    <xf numFmtId="173" fontId="11" fillId="0" borderId="0" xfId="46" applyNumberFormat="1" applyFont="1" applyBorder="1" applyAlignment="1">
      <alignment/>
    </xf>
    <xf numFmtId="0" fontId="11" fillId="0" borderId="0" xfId="62" applyFont="1" applyBorder="1" applyAlignment="1">
      <alignment horizontal="right"/>
      <protection/>
    </xf>
    <xf numFmtId="173" fontId="11" fillId="0" borderId="0" xfId="46" applyNumberFormat="1" applyFont="1" applyBorder="1" applyAlignment="1">
      <alignment horizontal="center"/>
    </xf>
    <xf numFmtId="0" fontId="11" fillId="0" borderId="10" xfId="62" applyFont="1" applyBorder="1">
      <alignment/>
      <protection/>
    </xf>
    <xf numFmtId="173" fontId="11" fillId="0" borderId="10" xfId="46" applyNumberFormat="1" applyFont="1" applyBorder="1" applyAlignment="1">
      <alignment horizontal="right"/>
    </xf>
    <xf numFmtId="173" fontId="11" fillId="0" borderId="10" xfId="46" applyNumberFormat="1" applyFont="1" applyBorder="1" applyAlignment="1">
      <alignment horizontal="center"/>
    </xf>
    <xf numFmtId="0" fontId="7" fillId="0" borderId="0" xfId="62" applyFont="1" applyBorder="1" applyAlignment="1">
      <alignment horizontal="right"/>
      <protection/>
    </xf>
    <xf numFmtId="0" fontId="10" fillId="0" borderId="0" xfId="62" applyFont="1" applyBorder="1" applyAlignment="1">
      <alignment horizontal="center"/>
      <protection/>
    </xf>
    <xf numFmtId="0" fontId="10" fillId="0" borderId="0" xfId="62" applyFont="1" applyBorder="1">
      <alignment/>
      <protection/>
    </xf>
    <xf numFmtId="173" fontId="10" fillId="0" borderId="0" xfId="46" applyNumberFormat="1" applyFont="1" applyBorder="1" applyAlignment="1">
      <alignment horizontal="center"/>
    </xf>
    <xf numFmtId="173" fontId="10" fillId="0" borderId="0" xfId="46" applyNumberFormat="1" applyFont="1" applyBorder="1" applyAlignment="1">
      <alignment/>
    </xf>
    <xf numFmtId="173" fontId="12" fillId="0" borderId="0" xfId="46" applyNumberFormat="1" applyFont="1" applyAlignment="1">
      <alignment/>
    </xf>
    <xf numFmtId="0" fontId="12" fillId="0" borderId="0" xfId="62" applyFont="1" applyAlignment="1">
      <alignment horizontal="center"/>
      <protection/>
    </xf>
    <xf numFmtId="0" fontId="12" fillId="0" borderId="0" xfId="62" applyFont="1">
      <alignment/>
      <protection/>
    </xf>
    <xf numFmtId="178" fontId="5" fillId="0" borderId="0" xfId="42" applyNumberFormat="1" applyFont="1" applyAlignment="1">
      <alignment/>
    </xf>
    <xf numFmtId="178" fontId="10" fillId="0" borderId="0" xfId="42" applyNumberFormat="1" applyFont="1" applyBorder="1" applyAlignment="1">
      <alignment horizontal="center"/>
    </xf>
    <xf numFmtId="178" fontId="10" fillId="0" borderId="0" xfId="42" applyNumberFormat="1" applyFont="1" applyAlignment="1">
      <alignment/>
    </xf>
    <xf numFmtId="178" fontId="10" fillId="0" borderId="0" xfId="42" applyNumberFormat="1" applyFont="1" applyBorder="1" applyAlignment="1">
      <alignment/>
    </xf>
    <xf numFmtId="173" fontId="12" fillId="0" borderId="0" xfId="46" applyNumberFormat="1" applyFont="1" applyAlignment="1">
      <alignment horizontal="center"/>
    </xf>
    <xf numFmtId="173" fontId="10" fillId="0" borderId="0" xfId="62" applyNumberFormat="1" applyFont="1" applyBorder="1" applyAlignment="1">
      <alignment horizontal="center"/>
      <protection/>
    </xf>
    <xf numFmtId="173" fontId="12" fillId="0" borderId="0" xfId="62" applyNumberFormat="1" applyFont="1">
      <alignment/>
      <protection/>
    </xf>
    <xf numFmtId="0" fontId="5" fillId="0" borderId="0" xfId="61" applyFont="1">
      <alignment/>
      <protection/>
    </xf>
    <xf numFmtId="0" fontId="13" fillId="0" borderId="0" xfId="61" applyFont="1" applyAlignment="1">
      <alignment horizontal="center"/>
      <protection/>
    </xf>
    <xf numFmtId="173" fontId="13" fillId="0" borderId="0" xfId="46" applyNumberFormat="1" applyFont="1" applyAlignment="1">
      <alignment/>
    </xf>
    <xf numFmtId="0" fontId="13" fillId="0" borderId="0" xfId="61" applyFont="1" applyAlignment="1">
      <alignment horizontal="left"/>
      <protection/>
    </xf>
    <xf numFmtId="0" fontId="14" fillId="0" borderId="0" xfId="61" applyFont="1">
      <alignment/>
      <protection/>
    </xf>
    <xf numFmtId="0" fontId="13" fillId="0" borderId="0" xfId="61" applyFont="1">
      <alignment/>
      <protection/>
    </xf>
    <xf numFmtId="0" fontId="4" fillId="0" borderId="0" xfId="61" applyFont="1" applyAlignment="1">
      <alignment horizontal="left"/>
      <protection/>
    </xf>
    <xf numFmtId="0" fontId="4" fillId="0" borderId="0" xfId="61" applyFont="1" applyAlignment="1">
      <alignment horizontal="center"/>
      <protection/>
    </xf>
    <xf numFmtId="0" fontId="16" fillId="0" borderId="0" xfId="61" applyFont="1" applyBorder="1">
      <alignment/>
      <protection/>
    </xf>
    <xf numFmtId="173" fontId="7" fillId="0" borderId="0" xfId="69" applyNumberFormat="1" applyFont="1" applyBorder="1">
      <alignment/>
      <protection/>
    </xf>
    <xf numFmtId="0" fontId="16" fillId="0" borderId="10" xfId="61" applyFont="1" applyBorder="1">
      <alignment/>
      <protection/>
    </xf>
    <xf numFmtId="173" fontId="7" fillId="0" borderId="0" xfId="69" applyNumberFormat="1" applyFont="1" applyBorder="1" applyAlignment="1">
      <alignment horizontal="right"/>
      <protection/>
    </xf>
    <xf numFmtId="173" fontId="7" fillId="0" borderId="0" xfId="61" applyNumberFormat="1" applyFont="1" applyBorder="1">
      <alignment/>
      <protection/>
    </xf>
    <xf numFmtId="0" fontId="16" fillId="0" borderId="0" xfId="61" applyFont="1">
      <alignment/>
      <protection/>
    </xf>
    <xf numFmtId="0" fontId="16" fillId="0" borderId="0" xfId="61" applyFont="1">
      <alignment/>
      <protection/>
    </xf>
    <xf numFmtId="173" fontId="10" fillId="0" borderId="0" xfId="69" applyNumberFormat="1" applyFont="1">
      <alignment/>
      <protection/>
    </xf>
    <xf numFmtId="177" fontId="17" fillId="0" borderId="0" xfId="42" applyNumberFormat="1" applyFont="1" applyAlignment="1">
      <alignment/>
    </xf>
    <xf numFmtId="177" fontId="18" fillId="0" borderId="0" xfId="42" applyNumberFormat="1" applyFont="1" applyAlignment="1">
      <alignment/>
    </xf>
    <xf numFmtId="0" fontId="2" fillId="0" borderId="0" xfId="0" applyFont="1" applyAlignment="1">
      <alignment/>
    </xf>
    <xf numFmtId="0" fontId="4" fillId="0" borderId="0" xfId="61" applyAlignment="1">
      <alignment horizontal="center"/>
      <protection/>
    </xf>
    <xf numFmtId="0" fontId="12" fillId="0" borderId="0" xfId="61" applyFont="1">
      <alignment/>
      <protection/>
    </xf>
    <xf numFmtId="0" fontId="7" fillId="0" borderId="0" xfId="61" applyFont="1" applyBorder="1">
      <alignment/>
      <protection/>
    </xf>
    <xf numFmtId="0" fontId="12" fillId="0" borderId="0" xfId="61" applyFont="1" applyBorder="1" applyAlignment="1">
      <alignment horizontal="center"/>
      <protection/>
    </xf>
    <xf numFmtId="173" fontId="12" fillId="0" borderId="0" xfId="46" applyNumberFormat="1" applyFont="1" applyBorder="1" applyAlignment="1">
      <alignment/>
    </xf>
    <xf numFmtId="173" fontId="12" fillId="0" borderId="0" xfId="46" applyNumberFormat="1" applyFont="1" applyBorder="1" applyAlignment="1">
      <alignment horizontal="center"/>
    </xf>
    <xf numFmtId="0" fontId="0" fillId="0" borderId="0" xfId="0" applyFont="1" applyAlignment="1">
      <alignment/>
    </xf>
    <xf numFmtId="0" fontId="7" fillId="0" borderId="0" xfId="61" applyFont="1" applyBorder="1">
      <alignment/>
      <protection/>
    </xf>
    <xf numFmtId="0" fontId="4" fillId="0" borderId="0" xfId="61">
      <alignment/>
      <protection/>
    </xf>
    <xf numFmtId="0" fontId="5" fillId="0" borderId="0" xfId="61" applyFont="1">
      <alignment/>
      <protection/>
    </xf>
    <xf numFmtId="0" fontId="12" fillId="0" borderId="0" xfId="61" applyFont="1" applyAlignment="1">
      <alignment horizontal="center"/>
      <protection/>
    </xf>
    <xf numFmtId="173" fontId="12" fillId="0" borderId="0" xfId="46" applyNumberFormat="1" applyFont="1" applyFill="1" applyAlignment="1">
      <alignment/>
    </xf>
    <xf numFmtId="0" fontId="10" fillId="0" borderId="0" xfId="61" applyFont="1">
      <alignment/>
      <protection/>
    </xf>
    <xf numFmtId="0" fontId="10" fillId="0" borderId="0" xfId="61" applyFont="1">
      <alignment/>
      <protection/>
    </xf>
    <xf numFmtId="0" fontId="7" fillId="0" borderId="0" xfId="61" applyFont="1">
      <alignment/>
      <protection/>
    </xf>
    <xf numFmtId="0" fontId="5" fillId="0" borderId="0" xfId="61" applyFont="1" applyBorder="1">
      <alignment/>
      <protection/>
    </xf>
    <xf numFmtId="0" fontId="11" fillId="0" borderId="0" xfId="61" applyFont="1" applyBorder="1">
      <alignment/>
      <protection/>
    </xf>
    <xf numFmtId="173" fontId="13" fillId="0" borderId="0" xfId="46" applyNumberFormat="1" applyFont="1" applyBorder="1" applyAlignment="1">
      <alignment horizontal="center"/>
    </xf>
    <xf numFmtId="0" fontId="13" fillId="0" borderId="0" xfId="61" applyFont="1" applyBorder="1">
      <alignment/>
      <protection/>
    </xf>
    <xf numFmtId="0" fontId="13" fillId="0" borderId="0" xfId="61" applyFont="1">
      <alignment/>
      <protection/>
    </xf>
    <xf numFmtId="0" fontId="5" fillId="0" borderId="11" xfId="61" applyFont="1" applyBorder="1">
      <alignment/>
      <protection/>
    </xf>
    <xf numFmtId="172" fontId="13" fillId="0" borderId="0" xfId="46" applyNumberFormat="1" applyFont="1" applyAlignment="1">
      <alignment/>
    </xf>
    <xf numFmtId="0" fontId="14" fillId="0" borderId="0" xfId="61" applyFont="1" applyBorder="1" applyAlignment="1">
      <alignment horizontal="center"/>
      <protection/>
    </xf>
    <xf numFmtId="173" fontId="14" fillId="0" borderId="0" xfId="46" applyNumberFormat="1" applyFont="1" applyBorder="1" applyAlignment="1">
      <alignment/>
    </xf>
    <xf numFmtId="173" fontId="14" fillId="0" borderId="0" xfId="46" applyNumberFormat="1" applyFont="1" applyBorder="1" applyAlignment="1">
      <alignment horizontal="center"/>
    </xf>
    <xf numFmtId="0" fontId="23" fillId="0" borderId="0" xfId="0" applyFont="1" applyAlignment="1">
      <alignment/>
    </xf>
    <xf numFmtId="0" fontId="5" fillId="0" borderId="0" xfId="61" applyFont="1" applyBorder="1" applyAlignment="1">
      <alignment horizontal="center"/>
      <protection/>
    </xf>
    <xf numFmtId="173" fontId="5" fillId="0" borderId="0" xfId="46" applyNumberFormat="1" applyFont="1" applyBorder="1" applyAlignment="1">
      <alignment horizontal="center"/>
    </xf>
    <xf numFmtId="0" fontId="5" fillId="0" borderId="12" xfId="61" applyFont="1" applyBorder="1" applyAlignment="1">
      <alignment horizontal="center"/>
      <protection/>
    </xf>
    <xf numFmtId="0" fontId="12" fillId="0" borderId="0" xfId="61" applyFont="1" applyBorder="1">
      <alignment/>
      <protection/>
    </xf>
    <xf numFmtId="0" fontId="25" fillId="0" borderId="0" xfId="0" applyFont="1" applyAlignment="1">
      <alignment/>
    </xf>
    <xf numFmtId="0" fontId="11" fillId="0" borderId="0" xfId="61" applyFont="1" applyBorder="1" applyAlignment="1">
      <alignment horizontal="left"/>
      <protection/>
    </xf>
    <xf numFmtId="173" fontId="10" fillId="0" borderId="0" xfId="47" applyNumberFormat="1" applyFont="1" applyAlignment="1">
      <alignment/>
    </xf>
    <xf numFmtId="173" fontId="7" fillId="0" borderId="0" xfId="47" applyNumberFormat="1" applyFont="1" applyBorder="1" applyAlignment="1">
      <alignment/>
    </xf>
    <xf numFmtId="0" fontId="7" fillId="0" borderId="0" xfId="61" applyFont="1" applyBorder="1" applyAlignment="1">
      <alignment horizontal="center"/>
      <protection/>
    </xf>
    <xf numFmtId="0" fontId="20" fillId="0" borderId="13" xfId="61" applyFont="1" applyBorder="1" applyAlignment="1">
      <alignment horizontal="right"/>
      <protection/>
    </xf>
    <xf numFmtId="173" fontId="20" fillId="0" borderId="13" xfId="46" applyNumberFormat="1" applyFont="1" applyBorder="1" applyAlignment="1">
      <alignment horizontal="right"/>
    </xf>
    <xf numFmtId="0" fontId="5" fillId="0" borderId="0" xfId="61" applyFont="1" applyBorder="1">
      <alignment/>
      <protection/>
    </xf>
    <xf numFmtId="173" fontId="12" fillId="0" borderId="0" xfId="45" applyNumberFormat="1" applyFont="1" applyAlignment="1">
      <alignment/>
    </xf>
    <xf numFmtId="0" fontId="4" fillId="0" borderId="0" xfId="61" applyFont="1">
      <alignment/>
      <protection/>
    </xf>
    <xf numFmtId="0" fontId="4" fillId="0" borderId="0" xfId="62" applyBorder="1" applyAlignment="1">
      <alignment horizontal="center" vertical="center"/>
      <protection/>
    </xf>
    <xf numFmtId="0" fontId="14" fillId="0" borderId="0" xfId="62" applyFont="1" applyBorder="1" applyAlignment="1">
      <alignment horizontal="right"/>
      <protection/>
    </xf>
    <xf numFmtId="0" fontId="7" fillId="0" borderId="0" xfId="62" applyFont="1" applyBorder="1" applyAlignment="1">
      <alignment horizontal="left"/>
      <protection/>
    </xf>
    <xf numFmtId="0" fontId="14" fillId="0" borderId="0" xfId="62" applyFont="1" applyBorder="1" applyAlignment="1">
      <alignment horizontal="center"/>
      <protection/>
    </xf>
    <xf numFmtId="0" fontId="6" fillId="0" borderId="0" xfId="62" applyFont="1" applyBorder="1" applyAlignment="1">
      <alignment horizontal="center"/>
      <protection/>
    </xf>
    <xf numFmtId="0" fontId="6" fillId="0" borderId="0" xfId="62" applyFont="1" applyBorder="1" applyAlignment="1">
      <alignment horizontal="center" vertical="center"/>
      <protection/>
    </xf>
    <xf numFmtId="0" fontId="12" fillId="0" borderId="0" xfId="62" applyFont="1" applyAlignment="1">
      <alignment horizontal="center" vertical="center"/>
      <protection/>
    </xf>
    <xf numFmtId="0" fontId="4" fillId="0" borderId="0" xfId="62" applyAlignment="1">
      <alignment horizontal="center"/>
      <protection/>
    </xf>
    <xf numFmtId="0" fontId="4" fillId="0" borderId="0" xfId="62" applyAlignment="1">
      <alignment horizontal="center" vertical="center"/>
      <protection/>
    </xf>
    <xf numFmtId="0" fontId="7" fillId="0" borderId="0" xfId="62" applyFont="1">
      <alignment/>
      <protection/>
    </xf>
    <xf numFmtId="0" fontId="24" fillId="0" borderId="0" xfId="62" applyFont="1">
      <alignment/>
      <protection/>
    </xf>
    <xf numFmtId="0" fontId="11" fillId="0" borderId="0" xfId="62" applyFont="1" applyBorder="1" applyAlignment="1">
      <alignment vertical="center"/>
      <protection/>
    </xf>
    <xf numFmtId="0" fontId="11" fillId="0" borderId="10" xfId="62" applyFont="1" applyBorder="1" applyAlignment="1">
      <alignment vertical="center"/>
      <protection/>
    </xf>
    <xf numFmtId="0" fontId="5" fillId="0" borderId="13" xfId="62" applyFont="1" applyBorder="1" applyAlignment="1">
      <alignment horizontal="center" vertical="center"/>
      <protection/>
    </xf>
    <xf numFmtId="173" fontId="5" fillId="0" borderId="13" xfId="47" applyNumberFormat="1" applyFont="1" applyBorder="1" applyAlignment="1">
      <alignment vertical="center"/>
    </xf>
    <xf numFmtId="0" fontId="5" fillId="0" borderId="13" xfId="62" applyFont="1" applyBorder="1" applyAlignment="1">
      <alignment horizontal="right" vertical="center"/>
      <protection/>
    </xf>
    <xf numFmtId="0" fontId="0" fillId="0" borderId="0" xfId="0" applyFont="1" applyAlignment="1">
      <alignment/>
    </xf>
    <xf numFmtId="0" fontId="4" fillId="0" borderId="0" xfId="62" applyFont="1">
      <alignment/>
      <protection/>
    </xf>
    <xf numFmtId="0" fontId="4" fillId="0" borderId="0" xfId="61" applyFont="1" applyAlignment="1">
      <alignment horizontal="center"/>
      <protection/>
    </xf>
    <xf numFmtId="173" fontId="4" fillId="0" borderId="0" xfId="46" applyNumberFormat="1" applyFont="1" applyAlignment="1">
      <alignment/>
    </xf>
    <xf numFmtId="173" fontId="4" fillId="0" borderId="0" xfId="46" applyNumberFormat="1" applyFont="1" applyAlignment="1">
      <alignment horizontal="center"/>
    </xf>
    <xf numFmtId="0" fontId="11" fillId="0" borderId="0" xfId="61" applyFont="1">
      <alignment/>
      <protection/>
    </xf>
    <xf numFmtId="0" fontId="24" fillId="0" borderId="0" xfId="62" applyFont="1">
      <alignment/>
      <protection/>
    </xf>
    <xf numFmtId="0" fontId="11" fillId="0" borderId="0" xfId="62" applyFont="1" applyBorder="1" applyAlignment="1">
      <alignment horizontal="left"/>
      <protection/>
    </xf>
    <xf numFmtId="0" fontId="24" fillId="0" borderId="0" xfId="62" applyFont="1" applyBorder="1" applyAlignment="1">
      <alignment horizontal="left"/>
      <protection/>
    </xf>
    <xf numFmtId="0" fontId="11" fillId="0" borderId="0" xfId="62" applyFont="1" applyBorder="1" applyAlignment="1">
      <alignment horizontal="center" vertical="center"/>
      <protection/>
    </xf>
    <xf numFmtId="0" fontId="7" fillId="0" borderId="0" xfId="62" applyFont="1" applyBorder="1" applyAlignment="1">
      <alignment vertical="center"/>
      <protection/>
    </xf>
    <xf numFmtId="0" fontId="7" fillId="0" borderId="0" xfId="62" applyFont="1" applyBorder="1" applyAlignment="1">
      <alignment horizontal="center" vertical="center"/>
      <protection/>
    </xf>
    <xf numFmtId="0" fontId="7" fillId="0" borderId="0" xfId="62" applyFont="1" applyBorder="1">
      <alignment/>
      <protection/>
    </xf>
    <xf numFmtId="0" fontId="7" fillId="0" borderId="0" xfId="62" applyFont="1" applyBorder="1" applyAlignment="1">
      <alignment horizontal="center"/>
      <protection/>
    </xf>
    <xf numFmtId="0" fontId="5" fillId="0" borderId="12" xfId="61" applyFont="1" applyBorder="1">
      <alignment/>
      <protection/>
    </xf>
    <xf numFmtId="0" fontId="5" fillId="0" borderId="0" xfId="61" applyFont="1" applyAlignment="1">
      <alignment horizontal="right"/>
      <protection/>
    </xf>
    <xf numFmtId="0" fontId="11" fillId="0" borderId="0" xfId="61" applyFont="1" applyBorder="1" applyAlignment="1">
      <alignment horizontal="center"/>
      <protection/>
    </xf>
    <xf numFmtId="173" fontId="5" fillId="0" borderId="13" xfId="61" applyNumberFormat="1" applyFont="1" applyBorder="1" applyAlignment="1">
      <alignment horizontal="center"/>
      <protection/>
    </xf>
    <xf numFmtId="173" fontId="5" fillId="0" borderId="13" xfId="46" applyNumberFormat="1" applyFont="1" applyBorder="1" applyAlignment="1">
      <alignment horizontal="center"/>
    </xf>
    <xf numFmtId="173" fontId="16" fillId="0" borderId="11" xfId="46" applyNumberFormat="1" applyFont="1" applyBorder="1" applyAlignment="1">
      <alignment horizontal="center"/>
    </xf>
    <xf numFmtId="0" fontId="5" fillId="0" borderId="10" xfId="61" applyFont="1" applyBorder="1">
      <alignment/>
      <protection/>
    </xf>
    <xf numFmtId="173" fontId="11" fillId="0" borderId="0" xfId="47" applyNumberFormat="1" applyFont="1" applyBorder="1" applyAlignment="1">
      <alignment vertical="center"/>
    </xf>
    <xf numFmtId="173" fontId="11" fillId="0" borderId="0" xfId="47" applyNumberFormat="1" applyFont="1" applyBorder="1" applyAlignment="1">
      <alignment horizontal="right" vertical="center"/>
    </xf>
    <xf numFmtId="173" fontId="5" fillId="0" borderId="0" xfId="62" applyNumberFormat="1" applyFont="1" applyBorder="1" applyAlignment="1">
      <alignment vertical="center"/>
      <protection/>
    </xf>
    <xf numFmtId="173" fontId="5" fillId="0" borderId="0" xfId="62" applyNumberFormat="1" applyFont="1" applyBorder="1" applyAlignment="1">
      <alignment horizontal="center"/>
      <protection/>
    </xf>
    <xf numFmtId="173" fontId="5" fillId="0" borderId="10" xfId="62" applyNumberFormat="1" applyFont="1" applyBorder="1" applyAlignment="1">
      <alignment horizontal="center"/>
      <protection/>
    </xf>
    <xf numFmtId="0" fontId="0" fillId="0" borderId="0" xfId="0" applyBorder="1" applyAlignment="1">
      <alignment/>
    </xf>
    <xf numFmtId="0" fontId="27" fillId="0" borderId="0" xfId="61" applyFont="1">
      <alignment/>
      <protection/>
    </xf>
    <xf numFmtId="0" fontId="27" fillId="0" borderId="0" xfId="61" applyFont="1" applyFill="1">
      <alignment/>
      <protection/>
    </xf>
    <xf numFmtId="0" fontId="27" fillId="0" borderId="12" xfId="0" applyFont="1" applyBorder="1" applyAlignment="1">
      <alignment horizontal="left"/>
    </xf>
    <xf numFmtId="0" fontId="27" fillId="0" borderId="0" xfId="62" applyFont="1" applyBorder="1" applyAlignment="1">
      <alignment horizontal="left"/>
      <protection/>
    </xf>
    <xf numFmtId="0" fontId="27" fillId="0" borderId="0" xfId="62" applyFont="1">
      <alignment/>
      <protection/>
    </xf>
    <xf numFmtId="43" fontId="2" fillId="0" borderId="0" xfId="42" applyFont="1" applyAlignment="1">
      <alignment/>
    </xf>
    <xf numFmtId="176" fontId="2" fillId="0" borderId="0" xfId="42" applyNumberFormat="1" applyFont="1" applyAlignment="1">
      <alignment/>
    </xf>
    <xf numFmtId="0" fontId="10" fillId="0" borderId="0" xfId="0" applyFont="1" applyAlignment="1">
      <alignment/>
    </xf>
    <xf numFmtId="0" fontId="10" fillId="0" borderId="0" xfId="62" applyFont="1">
      <alignment/>
      <protection/>
    </xf>
    <xf numFmtId="0" fontId="23" fillId="0" borderId="0" xfId="0" applyFont="1" applyBorder="1" applyAlignment="1">
      <alignment/>
    </xf>
    <xf numFmtId="0" fontId="7" fillId="0" borderId="0" xfId="62" applyFont="1" applyFill="1" applyBorder="1">
      <alignment/>
      <protection/>
    </xf>
    <xf numFmtId="0" fontId="7" fillId="0" borderId="0" xfId="62" applyFont="1" applyFill="1" applyBorder="1" applyAlignment="1">
      <alignment vertical="center"/>
      <protection/>
    </xf>
    <xf numFmtId="0" fontId="7" fillId="0" borderId="0" xfId="61" applyFont="1" applyFill="1" applyBorder="1">
      <alignment/>
      <protection/>
    </xf>
    <xf numFmtId="0" fontId="14" fillId="0" borderId="0" xfId="62" applyFont="1" applyFill="1" applyBorder="1" applyAlignment="1">
      <alignment horizontal="center"/>
      <protection/>
    </xf>
    <xf numFmtId="0" fontId="0" fillId="0" borderId="0" xfId="0" applyFill="1" applyAlignment="1">
      <alignment/>
    </xf>
    <xf numFmtId="0" fontId="12" fillId="0" borderId="0" xfId="62" applyFont="1" applyFill="1">
      <alignment/>
      <protection/>
    </xf>
    <xf numFmtId="0" fontId="4" fillId="0" borderId="0" xfId="62" applyFill="1">
      <alignment/>
      <protection/>
    </xf>
    <xf numFmtId="0" fontId="5" fillId="0" borderId="0" xfId="62" applyFont="1" applyBorder="1" applyAlignment="1">
      <alignment horizontal="left"/>
      <protection/>
    </xf>
    <xf numFmtId="0" fontId="0" fillId="0" borderId="12" xfId="0" applyFont="1" applyBorder="1" applyAlignment="1">
      <alignment/>
    </xf>
    <xf numFmtId="0" fontId="7" fillId="0" borderId="0" xfId="61" applyFont="1" applyFill="1">
      <alignment/>
      <protection/>
    </xf>
    <xf numFmtId="0" fontId="7" fillId="0" borderId="0" xfId="0" applyFont="1" applyAlignment="1">
      <alignment horizontal="right"/>
    </xf>
    <xf numFmtId="0" fontId="24" fillId="0" borderId="0" xfId="61" applyFont="1" applyBorder="1" applyAlignment="1">
      <alignment horizontal="left"/>
      <protection/>
    </xf>
    <xf numFmtId="0" fontId="12" fillId="0" borderId="11" xfId="61" applyFont="1" applyBorder="1">
      <alignment/>
      <protection/>
    </xf>
    <xf numFmtId="0" fontId="24" fillId="0" borderId="0" xfId="61" applyFont="1" applyAlignment="1">
      <alignment horizontal="center"/>
      <protection/>
    </xf>
    <xf numFmtId="0" fontId="25" fillId="0" borderId="12" xfId="0" applyFont="1" applyBorder="1" applyAlignment="1">
      <alignment/>
    </xf>
    <xf numFmtId="0" fontId="11" fillId="0" borderId="0" xfId="62" applyFont="1" applyBorder="1" applyAlignment="1">
      <alignment horizontal="center"/>
      <protection/>
    </xf>
    <xf numFmtId="0" fontId="29" fillId="0" borderId="0" xfId="62" applyFont="1" applyBorder="1" applyAlignment="1">
      <alignment horizontal="center" vertical="center"/>
      <protection/>
    </xf>
    <xf numFmtId="0" fontId="24" fillId="0" borderId="0" xfId="62" applyFont="1" applyAlignment="1">
      <alignment horizontal="center"/>
      <protection/>
    </xf>
    <xf numFmtId="0" fontId="24" fillId="0" borderId="0" xfId="62" applyFont="1" applyAlignment="1">
      <alignment horizontal="center"/>
      <protection/>
    </xf>
    <xf numFmtId="0" fontId="26" fillId="0" borderId="12" xfId="61" applyFont="1" applyBorder="1" applyAlignment="1">
      <alignment horizontal="center"/>
      <protection/>
    </xf>
    <xf numFmtId="173" fontId="26" fillId="0" borderId="12" xfId="46" applyNumberFormat="1" applyFont="1" applyBorder="1" applyAlignment="1">
      <alignment horizontal="center"/>
    </xf>
    <xf numFmtId="0" fontId="15" fillId="0" borderId="0" xfId="61" applyFont="1">
      <alignment/>
      <protection/>
    </xf>
    <xf numFmtId="15" fontId="15" fillId="0" borderId="0" xfId="61" applyNumberFormat="1" applyFont="1">
      <alignment/>
      <protection/>
    </xf>
    <xf numFmtId="0" fontId="5" fillId="0" borderId="13" xfId="61" applyFont="1" applyBorder="1" applyAlignment="1">
      <alignment horizontal="center"/>
      <protection/>
    </xf>
    <xf numFmtId="0" fontId="22" fillId="0" borderId="0" xfId="62" applyFont="1" applyBorder="1" applyAlignment="1">
      <alignment vertical="center"/>
      <protection/>
    </xf>
    <xf numFmtId="0" fontId="22" fillId="0" borderId="0" xfId="62" applyFont="1" applyBorder="1" applyAlignment="1">
      <alignment horizontal="center" vertical="center"/>
      <protection/>
    </xf>
    <xf numFmtId="4" fontId="11" fillId="0" borderId="0" xfId="47" applyNumberFormat="1" applyFont="1" applyBorder="1" applyAlignment="1">
      <alignment vertical="center"/>
    </xf>
    <xf numFmtId="178" fontId="2" fillId="0" borderId="0" xfId="42" applyNumberFormat="1" applyFont="1" applyAlignment="1">
      <alignment/>
    </xf>
    <xf numFmtId="0" fontId="24" fillId="0" borderId="0" xfId="62" applyFont="1" applyBorder="1" applyAlignment="1">
      <alignment horizontal="left" vertical="top" wrapText="1"/>
      <protection/>
    </xf>
    <xf numFmtId="0" fontId="5" fillId="0" borderId="0" xfId="62" applyFont="1" applyBorder="1" applyAlignment="1">
      <alignment horizontal="center"/>
      <protection/>
    </xf>
    <xf numFmtId="0" fontId="5" fillId="0" borderId="0" xfId="62" applyFont="1" applyBorder="1">
      <alignment/>
      <protection/>
    </xf>
    <xf numFmtId="0" fontId="5" fillId="0" borderId="0" xfId="62" applyFont="1" applyBorder="1" applyAlignment="1">
      <alignment horizontal="center" vertical="center"/>
      <protection/>
    </xf>
    <xf numFmtId="0" fontId="15" fillId="0" borderId="0" xfId="0" applyFont="1" applyBorder="1" applyAlignment="1">
      <alignment/>
    </xf>
    <xf numFmtId="0" fontId="5" fillId="0" borderId="0" xfId="0" applyFont="1" applyAlignment="1">
      <alignment horizontal="left"/>
    </xf>
    <xf numFmtId="0" fontId="11" fillId="0" borderId="10" xfId="61" applyFont="1" applyBorder="1" applyAlignment="1">
      <alignment horizontal="center"/>
      <protection/>
    </xf>
    <xf numFmtId="0" fontId="16" fillId="0" borderId="0" xfId="61" applyFont="1" applyFill="1" applyBorder="1">
      <alignment/>
      <protection/>
    </xf>
    <xf numFmtId="0" fontId="13" fillId="0" borderId="0" xfId="61" applyFont="1" applyFill="1">
      <alignment/>
      <protection/>
    </xf>
    <xf numFmtId="0" fontId="5" fillId="33" borderId="14" xfId="62" applyFont="1" applyFill="1" applyBorder="1" applyAlignment="1">
      <alignment horizontal="center" vertical="center"/>
      <protection/>
    </xf>
    <xf numFmtId="0" fontId="5" fillId="33" borderId="14" xfId="62" applyFont="1" applyFill="1" applyBorder="1" applyAlignment="1">
      <alignment horizontal="center" vertical="top" wrapText="1"/>
      <protection/>
    </xf>
    <xf numFmtId="0" fontId="5" fillId="33" borderId="14" xfId="62" applyFont="1" applyFill="1" applyBorder="1" applyAlignment="1">
      <alignment vertical="top" wrapText="1"/>
      <protection/>
    </xf>
    <xf numFmtId="0" fontId="0" fillId="0" borderId="10" xfId="0" applyBorder="1" applyAlignment="1">
      <alignment/>
    </xf>
    <xf numFmtId="0" fontId="5" fillId="0" borderId="0" xfId="61" applyFont="1" applyBorder="1" applyAlignment="1">
      <alignment vertical="top"/>
      <protection/>
    </xf>
    <xf numFmtId="173" fontId="11" fillId="0" borderId="0" xfId="46" applyNumberFormat="1" applyFont="1" applyBorder="1" applyAlignment="1">
      <alignment horizontal="right" vertical="top"/>
    </xf>
    <xf numFmtId="0" fontId="24" fillId="0" borderId="0" xfId="0" applyFont="1" applyAlignment="1">
      <alignment horizontal="center" vertical="top"/>
    </xf>
    <xf numFmtId="0" fontId="5" fillId="0" borderId="13" xfId="61" applyFont="1" applyBorder="1">
      <alignment/>
      <protection/>
    </xf>
    <xf numFmtId="0" fontId="13" fillId="0" borderId="10" xfId="61" applyFont="1" applyBorder="1">
      <alignment/>
      <protection/>
    </xf>
    <xf numFmtId="173" fontId="7" fillId="0" borderId="10" xfId="69" applyNumberFormat="1" applyFont="1" applyBorder="1" applyAlignment="1">
      <alignment horizontal="right"/>
      <protection/>
    </xf>
    <xf numFmtId="0" fontId="4" fillId="0" borderId="0" xfId="62" applyFont="1" applyBorder="1">
      <alignment/>
      <protection/>
    </xf>
    <xf numFmtId="172" fontId="12" fillId="0" borderId="0" xfId="45" applyNumberFormat="1" applyFont="1" applyAlignment="1">
      <alignment/>
    </xf>
    <xf numFmtId="172" fontId="4" fillId="0" borderId="0" xfId="61" applyNumberFormat="1" applyFont="1">
      <alignment/>
      <protection/>
    </xf>
    <xf numFmtId="175" fontId="5" fillId="33" borderId="14" xfId="62" applyNumberFormat="1" applyFont="1" applyFill="1" applyBorder="1" applyAlignment="1">
      <alignment horizontal="right" vertical="top"/>
      <protection/>
    </xf>
    <xf numFmtId="175" fontId="11" fillId="0" borderId="0" xfId="47" applyNumberFormat="1" applyFont="1" applyBorder="1" applyAlignment="1">
      <alignment vertical="center"/>
    </xf>
    <xf numFmtId="175" fontId="11" fillId="0" borderId="0" xfId="46" applyNumberFormat="1" applyFont="1" applyBorder="1" applyAlignment="1">
      <alignment/>
    </xf>
    <xf numFmtId="175" fontId="29" fillId="0" borderId="0" xfId="47" applyNumberFormat="1" applyFont="1" applyBorder="1" applyAlignment="1">
      <alignment vertical="center"/>
    </xf>
    <xf numFmtId="175" fontId="4" fillId="0" borderId="0" xfId="62" applyNumberFormat="1">
      <alignment/>
      <protection/>
    </xf>
    <xf numFmtId="175" fontId="5" fillId="0" borderId="0" xfId="42" applyNumberFormat="1" applyFont="1" applyBorder="1" applyAlignment="1">
      <alignment horizontal="right"/>
    </xf>
    <xf numFmtId="175" fontId="7" fillId="0" borderId="0" xfId="47" applyNumberFormat="1" applyFont="1" applyBorder="1" applyAlignment="1">
      <alignment/>
    </xf>
    <xf numFmtId="175" fontId="0" fillId="0" borderId="0" xfId="0" applyNumberFormat="1" applyAlignment="1">
      <alignment/>
    </xf>
    <xf numFmtId="0" fontId="24" fillId="0" borderId="0" xfId="62" applyFont="1">
      <alignment/>
      <protection/>
    </xf>
    <xf numFmtId="0" fontId="24" fillId="0" borderId="0" xfId="0" applyFont="1" applyAlignment="1">
      <alignment/>
    </xf>
    <xf numFmtId="0" fontId="24" fillId="0" borderId="0" xfId="62" applyFont="1" applyAlignment="1">
      <alignment vertical="top"/>
      <protection/>
    </xf>
    <xf numFmtId="0" fontId="24" fillId="0" borderId="0" xfId="0" applyFont="1" applyAlignment="1">
      <alignment vertical="top"/>
    </xf>
    <xf numFmtId="0" fontId="24" fillId="0" borderId="0" xfId="0" applyFont="1" applyAlignment="1">
      <alignment vertical="top" wrapText="1"/>
    </xf>
    <xf numFmtId="0" fontId="10" fillId="0" borderId="0" xfId="62" applyFont="1" applyBorder="1" applyAlignment="1">
      <alignment vertical="top"/>
      <protection/>
    </xf>
    <xf numFmtId="174" fontId="10" fillId="0" borderId="0" xfId="47" applyNumberFormat="1" applyFont="1" applyAlignment="1">
      <alignment/>
    </xf>
    <xf numFmtId="174" fontId="5" fillId="0" borderId="13" xfId="62" applyNumberFormat="1" applyFont="1" applyBorder="1" applyAlignment="1">
      <alignment horizontal="right" vertical="center"/>
      <protection/>
    </xf>
    <xf numFmtId="174" fontId="11" fillId="0" borderId="0" xfId="47" applyNumberFormat="1" applyFont="1" applyBorder="1" applyAlignment="1">
      <alignment horizontal="right" vertical="center"/>
    </xf>
    <xf numFmtId="174" fontId="11" fillId="0" borderId="0" xfId="47" applyNumberFormat="1" applyFont="1" applyBorder="1" applyAlignment="1">
      <alignment vertical="center"/>
    </xf>
    <xf numFmtId="174" fontId="0" fillId="0" borderId="0" xfId="0" applyNumberFormat="1" applyAlignment="1">
      <alignment/>
    </xf>
    <xf numFmtId="174" fontId="2" fillId="0" borderId="0" xfId="0" applyNumberFormat="1" applyFont="1" applyAlignment="1">
      <alignment/>
    </xf>
    <xf numFmtId="174" fontId="10" fillId="0" borderId="0" xfId="62" applyNumberFormat="1" applyFont="1">
      <alignment/>
      <protection/>
    </xf>
    <xf numFmtId="174" fontId="5" fillId="0" borderId="13" xfId="47" applyNumberFormat="1" applyFont="1" applyBorder="1" applyAlignment="1">
      <alignment horizontal="right" vertical="center"/>
    </xf>
    <xf numFmtId="174" fontId="0" fillId="0" borderId="0" xfId="0" applyNumberFormat="1" applyFont="1" applyAlignment="1">
      <alignment/>
    </xf>
    <xf numFmtId="174" fontId="7" fillId="0" borderId="0" xfId="62" applyNumberFormat="1" applyFont="1" applyAlignment="1">
      <alignment horizontal="right"/>
      <protection/>
    </xf>
    <xf numFmtId="173" fontId="11" fillId="0" borderId="10" xfId="47" applyNumberFormat="1" applyFont="1" applyBorder="1" applyAlignment="1">
      <alignment horizontal="right" vertical="center"/>
    </xf>
    <xf numFmtId="174" fontId="11" fillId="0" borderId="10" xfId="47" applyNumberFormat="1" applyFont="1" applyBorder="1" applyAlignment="1">
      <alignment horizontal="right" vertical="center"/>
    </xf>
    <xf numFmtId="173" fontId="5" fillId="0" borderId="10" xfId="62" applyNumberFormat="1" applyFont="1" applyBorder="1" applyAlignment="1">
      <alignment vertical="center"/>
      <protection/>
    </xf>
    <xf numFmtId="172" fontId="4" fillId="0" borderId="0" xfId="46" applyNumberFormat="1" applyFont="1" applyAlignment="1">
      <alignment/>
    </xf>
    <xf numFmtId="172" fontId="5" fillId="0" borderId="13" xfId="61" applyNumberFormat="1" applyFont="1" applyBorder="1" applyAlignment="1">
      <alignment horizontal="center"/>
      <protection/>
    </xf>
    <xf numFmtId="172" fontId="12" fillId="0" borderId="0" xfId="61" applyNumberFormat="1" applyFont="1">
      <alignment/>
      <protection/>
    </xf>
    <xf numFmtId="172" fontId="0" fillId="0" borderId="0" xfId="0" applyNumberFormat="1" applyAlignment="1">
      <alignment/>
    </xf>
    <xf numFmtId="172" fontId="12" fillId="0" borderId="0" xfId="46" applyNumberFormat="1" applyFont="1" applyAlignment="1">
      <alignment/>
    </xf>
    <xf numFmtId="174" fontId="7" fillId="0" borderId="0" xfId="61" applyNumberFormat="1" applyFont="1" applyAlignment="1">
      <alignment horizontal="right"/>
      <protection/>
    </xf>
    <xf numFmtId="174" fontId="12" fillId="0" borderId="0" xfId="46" applyNumberFormat="1" applyFont="1" applyBorder="1" applyAlignment="1">
      <alignment/>
    </xf>
    <xf numFmtId="174" fontId="12" fillId="0" borderId="0" xfId="61" applyNumberFormat="1" applyFont="1">
      <alignment/>
      <protection/>
    </xf>
    <xf numFmtId="174" fontId="4" fillId="0" borderId="0" xfId="61" applyNumberFormat="1" applyFont="1">
      <alignment/>
      <protection/>
    </xf>
    <xf numFmtId="0" fontId="13" fillId="0" borderId="0" xfId="61" applyFont="1" applyBorder="1">
      <alignment/>
      <protection/>
    </xf>
    <xf numFmtId="174" fontId="4" fillId="0" borderId="0" xfId="46" applyNumberFormat="1" applyFont="1" applyAlignment="1">
      <alignment/>
    </xf>
    <xf numFmtId="174" fontId="12" fillId="0" borderId="0" xfId="46" applyNumberFormat="1" applyFont="1" applyFill="1" applyAlignment="1">
      <alignment/>
    </xf>
    <xf numFmtId="0" fontId="0" fillId="0" borderId="11" xfId="0" applyBorder="1" applyAlignment="1">
      <alignment/>
    </xf>
    <xf numFmtId="0" fontId="13" fillId="0" borderId="11" xfId="61" applyFont="1" applyBorder="1">
      <alignment/>
      <protection/>
    </xf>
    <xf numFmtId="174" fontId="0" fillId="0" borderId="0" xfId="0" applyNumberFormat="1" applyFont="1" applyAlignment="1">
      <alignment/>
    </xf>
    <xf numFmtId="0" fontId="11" fillId="0" borderId="0" xfId="61" applyFont="1" applyFill="1" applyBorder="1" applyAlignment="1">
      <alignment horizontal="left" vertical="top" wrapText="1"/>
      <protection/>
    </xf>
    <xf numFmtId="174" fontId="20" fillId="0" borderId="13" xfId="46" applyNumberFormat="1" applyFont="1" applyBorder="1" applyAlignment="1">
      <alignment horizontal="right"/>
    </xf>
    <xf numFmtId="174" fontId="14" fillId="0" borderId="0" xfId="46" applyNumberFormat="1" applyFont="1" applyBorder="1" applyAlignment="1">
      <alignment/>
    </xf>
    <xf numFmtId="174" fontId="11" fillId="0" borderId="0" xfId="46" applyNumberFormat="1" applyFont="1" applyBorder="1" applyAlignment="1">
      <alignment horizontal="right"/>
    </xf>
    <xf numFmtId="174" fontId="2" fillId="0" borderId="0" xfId="42" applyNumberFormat="1" applyFont="1" applyAlignment="1">
      <alignment/>
    </xf>
    <xf numFmtId="174" fontId="5" fillId="0" borderId="0" xfId="61" applyNumberFormat="1" applyFont="1">
      <alignment/>
      <protection/>
    </xf>
    <xf numFmtId="174" fontId="13" fillId="0" borderId="0" xfId="46" applyNumberFormat="1" applyFont="1" applyBorder="1" applyAlignment="1">
      <alignment horizontal="center"/>
    </xf>
    <xf numFmtId="174" fontId="16" fillId="0" borderId="11" xfId="46" applyNumberFormat="1" applyFont="1" applyBorder="1" applyAlignment="1">
      <alignment horizontal="center"/>
    </xf>
    <xf numFmtId="174" fontId="7" fillId="0" borderId="0" xfId="61" applyNumberFormat="1" applyFont="1" applyFill="1">
      <alignment/>
      <protection/>
    </xf>
    <xf numFmtId="174" fontId="7" fillId="0" borderId="0" xfId="0" applyNumberFormat="1" applyFont="1" applyAlignment="1">
      <alignment horizontal="right"/>
    </xf>
    <xf numFmtId="174" fontId="26" fillId="0" borderId="12" xfId="46" applyNumberFormat="1" applyFont="1" applyBorder="1" applyAlignment="1">
      <alignment horizontal="center"/>
    </xf>
    <xf numFmtId="174" fontId="7" fillId="0" borderId="0" xfId="61" applyNumberFormat="1" applyFont="1" applyBorder="1">
      <alignment/>
      <protection/>
    </xf>
    <xf numFmtId="174" fontId="5" fillId="0" borderId="12" xfId="61" applyNumberFormat="1" applyFont="1" applyBorder="1">
      <alignment/>
      <protection/>
    </xf>
    <xf numFmtId="174" fontId="10" fillId="0" borderId="0" xfId="61" applyNumberFormat="1" applyFont="1">
      <alignment/>
      <protection/>
    </xf>
    <xf numFmtId="174" fontId="4" fillId="0" borderId="0" xfId="61" applyNumberFormat="1">
      <alignment/>
      <protection/>
    </xf>
    <xf numFmtId="0" fontId="0" fillId="0" borderId="0" xfId="0" applyAlignment="1">
      <alignment vertical="top"/>
    </xf>
    <xf numFmtId="177" fontId="10" fillId="0" borderId="0" xfId="42" applyNumberFormat="1" applyFont="1" applyBorder="1" applyAlignment="1">
      <alignment horizontal="right"/>
    </xf>
    <xf numFmtId="0" fontId="5" fillId="0" borderId="0" xfId="61" applyFont="1" applyAlignment="1">
      <alignment vertical="top"/>
      <protection/>
    </xf>
    <xf numFmtId="174" fontId="5" fillId="0" borderId="0" xfId="61" applyNumberFormat="1" applyFont="1" applyAlignment="1">
      <alignment vertical="top"/>
      <protection/>
    </xf>
    <xf numFmtId="0" fontId="12" fillId="0" borderId="0" xfId="61" applyFont="1" applyAlignment="1">
      <alignment vertical="top"/>
      <protection/>
    </xf>
    <xf numFmtId="173" fontId="4" fillId="0" borderId="0" xfId="46" applyNumberFormat="1" applyFont="1" applyAlignment="1">
      <alignment horizontal="center" vertical="top"/>
    </xf>
    <xf numFmtId="0" fontId="0" fillId="0" borderId="12" xfId="0" applyFont="1" applyBorder="1" applyAlignment="1">
      <alignment vertical="top"/>
    </xf>
    <xf numFmtId="174" fontId="0" fillId="0" borderId="12" xfId="0" applyNumberFormat="1" applyFont="1" applyBorder="1" applyAlignment="1">
      <alignment vertical="top"/>
    </xf>
    <xf numFmtId="173" fontId="5" fillId="0" borderId="0" xfId="46" applyNumberFormat="1" applyFont="1" applyBorder="1" applyAlignment="1">
      <alignment vertical="top"/>
    </xf>
    <xf numFmtId="173" fontId="4" fillId="0" borderId="0" xfId="46" applyNumberFormat="1" applyFont="1" applyAlignment="1">
      <alignment vertical="top"/>
    </xf>
    <xf numFmtId="174" fontId="4" fillId="0" borderId="0" xfId="46" applyNumberFormat="1" applyFont="1" applyAlignment="1">
      <alignment vertical="top"/>
    </xf>
    <xf numFmtId="0" fontId="0" fillId="0" borderId="0" xfId="0" applyFont="1" applyAlignment="1">
      <alignment vertical="top"/>
    </xf>
    <xf numFmtId="174" fontId="0" fillId="0" borderId="0" xfId="0" applyNumberFormat="1" applyFont="1" applyAlignment="1">
      <alignment vertical="top"/>
    </xf>
    <xf numFmtId="174" fontId="4" fillId="0" borderId="0" xfId="61" applyNumberFormat="1" applyFont="1" applyAlignment="1">
      <alignment vertical="top"/>
      <protection/>
    </xf>
    <xf numFmtId="174" fontId="7" fillId="0" borderId="0" xfId="61" applyNumberFormat="1" applyFont="1" applyAlignment="1">
      <alignment horizontal="right" vertical="top"/>
      <protection/>
    </xf>
    <xf numFmtId="174" fontId="5" fillId="0" borderId="0" xfId="46" applyNumberFormat="1" applyFont="1" applyBorder="1" applyAlignment="1">
      <alignment vertical="top"/>
    </xf>
    <xf numFmtId="0" fontId="11" fillId="0" borderId="13" xfId="61" applyFont="1" applyBorder="1" applyAlignment="1">
      <alignment horizontal="left" vertical="top"/>
      <protection/>
    </xf>
    <xf numFmtId="174" fontId="11" fillId="0" borderId="10" xfId="46" applyNumberFormat="1" applyFont="1" applyBorder="1" applyAlignment="1">
      <alignment horizontal="right"/>
    </xf>
    <xf numFmtId="174" fontId="11" fillId="0" borderId="0" xfId="46" applyNumberFormat="1" applyFont="1" applyBorder="1" applyAlignment="1">
      <alignment/>
    </xf>
    <xf numFmtId="172" fontId="11" fillId="0" borderId="0" xfId="46" applyNumberFormat="1" applyFont="1" applyBorder="1" applyAlignment="1">
      <alignment horizontal="right"/>
    </xf>
    <xf numFmtId="174" fontId="13" fillId="0" borderId="0" xfId="46" applyNumberFormat="1" applyFont="1" applyAlignment="1">
      <alignment/>
    </xf>
    <xf numFmtId="174" fontId="7" fillId="0" borderId="0" xfId="69" applyNumberFormat="1" applyFont="1" applyBorder="1" applyAlignment="1">
      <alignment horizontal="right"/>
      <protection/>
    </xf>
    <xf numFmtId="174" fontId="7" fillId="0" borderId="0" xfId="69" applyNumberFormat="1" applyFont="1" applyBorder="1">
      <alignment/>
      <protection/>
    </xf>
    <xf numFmtId="174" fontId="18" fillId="0" borderId="0" xfId="42" applyNumberFormat="1" applyFont="1" applyAlignment="1">
      <alignment/>
    </xf>
    <xf numFmtId="174" fontId="10" fillId="0" borderId="0" xfId="69" applyNumberFormat="1" applyFont="1">
      <alignment/>
      <protection/>
    </xf>
    <xf numFmtId="173" fontId="7" fillId="0" borderId="15" xfId="69" applyNumberFormat="1" applyFont="1" applyBorder="1" applyAlignment="1">
      <alignment horizontal="right"/>
      <protection/>
    </xf>
    <xf numFmtId="173" fontId="7" fillId="0" borderId="16" xfId="69" applyNumberFormat="1" applyFont="1" applyBorder="1" applyAlignment="1">
      <alignment horizontal="right"/>
      <protection/>
    </xf>
    <xf numFmtId="174" fontId="7" fillId="0" borderId="17" xfId="69" applyNumberFormat="1" applyFont="1" applyBorder="1" applyAlignment="1">
      <alignment horizontal="right"/>
      <protection/>
    </xf>
    <xf numFmtId="174" fontId="7" fillId="0" borderId="18" xfId="69" applyNumberFormat="1" applyFont="1" applyBorder="1" applyAlignment="1">
      <alignment horizontal="right"/>
      <protection/>
    </xf>
    <xf numFmtId="0" fontId="13" fillId="0" borderId="10" xfId="61" applyFont="1" applyBorder="1">
      <alignment/>
      <protection/>
    </xf>
    <xf numFmtId="174" fontId="2" fillId="0" borderId="0" xfId="46" applyNumberFormat="1" applyFont="1" applyAlignment="1">
      <alignment/>
    </xf>
    <xf numFmtId="172" fontId="7" fillId="0" borderId="0" xfId="69" applyNumberFormat="1" applyFont="1" applyBorder="1" applyAlignment="1">
      <alignment horizontal="right"/>
      <protection/>
    </xf>
    <xf numFmtId="172" fontId="7" fillId="0" borderId="10" xfId="69" applyNumberFormat="1" applyFont="1" applyBorder="1" applyAlignment="1">
      <alignment horizontal="right"/>
      <protection/>
    </xf>
    <xf numFmtId="172" fontId="7" fillId="0" borderId="0" xfId="69" applyNumberFormat="1" applyFont="1" applyBorder="1">
      <alignment/>
      <protection/>
    </xf>
    <xf numFmtId="172" fontId="18" fillId="0" borderId="0" xfId="42" applyNumberFormat="1" applyFont="1" applyAlignment="1">
      <alignment/>
    </xf>
    <xf numFmtId="172" fontId="10" fillId="0" borderId="0" xfId="69" applyNumberFormat="1" applyFont="1">
      <alignment/>
      <protection/>
    </xf>
    <xf numFmtId="172" fontId="0" fillId="0" borderId="0" xfId="0" applyNumberFormat="1" applyFont="1" applyAlignment="1">
      <alignment/>
    </xf>
    <xf numFmtId="172" fontId="7" fillId="0" borderId="17" xfId="69" applyNumberFormat="1" applyFont="1" applyBorder="1" applyAlignment="1">
      <alignment horizontal="right"/>
      <protection/>
    </xf>
    <xf numFmtId="173" fontId="7" fillId="0" borderId="17" xfId="69" applyNumberFormat="1" applyFont="1" applyBorder="1" applyAlignment="1">
      <alignment horizontal="right"/>
      <protection/>
    </xf>
    <xf numFmtId="173" fontId="7" fillId="0" borderId="18" xfId="69" applyNumberFormat="1" applyFont="1" applyBorder="1" applyAlignment="1">
      <alignment horizontal="right"/>
      <protection/>
    </xf>
    <xf numFmtId="1" fontId="5" fillId="0" borderId="0" xfId="46" applyNumberFormat="1" applyFont="1" applyBorder="1" applyAlignment="1">
      <alignment horizontal="right"/>
    </xf>
    <xf numFmtId="172" fontId="11" fillId="0" borderId="0" xfId="46" applyNumberFormat="1" applyFont="1" applyBorder="1" applyAlignment="1">
      <alignment/>
    </xf>
    <xf numFmtId="173" fontId="7" fillId="0" borderId="19" xfId="61" applyNumberFormat="1" applyFont="1" applyBorder="1">
      <alignment/>
      <protection/>
    </xf>
    <xf numFmtId="177" fontId="6" fillId="0" borderId="0" xfId="42" applyNumberFormat="1" applyFont="1" applyAlignment="1">
      <alignment/>
    </xf>
    <xf numFmtId="177" fontId="7" fillId="0" borderId="0" xfId="42" applyNumberFormat="1" applyFont="1" applyBorder="1" applyAlignment="1">
      <alignment/>
    </xf>
    <xf numFmtId="177" fontId="11" fillId="0" borderId="0" xfId="42" applyNumberFormat="1" applyFont="1" applyBorder="1" applyAlignment="1">
      <alignment horizontal="right"/>
    </xf>
    <xf numFmtId="177" fontId="11" fillId="0" borderId="10" xfId="42" applyNumberFormat="1" applyFont="1" applyBorder="1" applyAlignment="1">
      <alignment horizontal="right"/>
    </xf>
    <xf numFmtId="177" fontId="10" fillId="0" borderId="0" xfId="42" applyNumberFormat="1" applyFont="1" applyBorder="1" applyAlignment="1">
      <alignment/>
    </xf>
    <xf numFmtId="177" fontId="10" fillId="0" borderId="0" xfId="42" applyNumberFormat="1" applyFont="1" applyAlignment="1">
      <alignment/>
    </xf>
    <xf numFmtId="177" fontId="12" fillId="0" borderId="0" xfId="42" applyNumberFormat="1" applyFont="1" applyAlignment="1">
      <alignment/>
    </xf>
    <xf numFmtId="177" fontId="11" fillId="0" borderId="0" xfId="42" applyNumberFormat="1" applyFont="1" applyBorder="1" applyAlignment="1">
      <alignment/>
    </xf>
    <xf numFmtId="177" fontId="6" fillId="0" borderId="0" xfId="42" applyNumberFormat="1" applyFont="1" applyAlignment="1">
      <alignment horizontal="right"/>
    </xf>
    <xf numFmtId="177" fontId="12" fillId="0" borderId="0" xfId="42" applyNumberFormat="1" applyFont="1" applyAlignment="1">
      <alignment horizontal="right"/>
    </xf>
    <xf numFmtId="177" fontId="10" fillId="0" borderId="0" xfId="42" applyNumberFormat="1" applyFont="1" applyAlignment="1">
      <alignment horizontal="right"/>
    </xf>
    <xf numFmtId="177" fontId="5" fillId="0" borderId="0" xfId="42" applyNumberFormat="1" applyFont="1" applyBorder="1" applyAlignment="1">
      <alignment horizontal="right"/>
    </xf>
    <xf numFmtId="177" fontId="5" fillId="0" borderId="10" xfId="42" applyNumberFormat="1" applyFont="1" applyBorder="1" applyAlignment="1">
      <alignment horizontal="right"/>
    </xf>
    <xf numFmtId="174" fontId="0" fillId="0" borderId="0" xfId="0" applyNumberFormat="1" applyFont="1" applyAlignment="1">
      <alignment/>
    </xf>
    <xf numFmtId="174" fontId="4" fillId="0" borderId="0" xfId="61" applyNumberFormat="1" applyFont="1" applyAlignment="1">
      <alignment/>
      <protection/>
    </xf>
    <xf numFmtId="0" fontId="0" fillId="0" borderId="0" xfId="0" applyFont="1" applyAlignment="1">
      <alignment/>
    </xf>
    <xf numFmtId="0" fontId="0" fillId="0" borderId="0" xfId="0" applyFont="1" applyAlignment="1">
      <alignment horizontal="right"/>
    </xf>
    <xf numFmtId="174" fontId="0" fillId="0" borderId="0" xfId="0" applyNumberFormat="1" applyFont="1" applyAlignment="1">
      <alignment horizontal="right"/>
    </xf>
    <xf numFmtId="173" fontId="5" fillId="0" borderId="0" xfId="46" applyNumberFormat="1" applyFont="1" applyBorder="1" applyAlignment="1">
      <alignment/>
    </xf>
    <xf numFmtId="173" fontId="5" fillId="0" borderId="10" xfId="46" applyNumberFormat="1" applyFont="1" applyBorder="1" applyAlignment="1">
      <alignment/>
    </xf>
    <xf numFmtId="172" fontId="5" fillId="0" borderId="0" xfId="46" applyNumberFormat="1" applyFont="1" applyBorder="1" applyAlignment="1">
      <alignment/>
    </xf>
    <xf numFmtId="172" fontId="5" fillId="0" borderId="10" xfId="46" applyNumberFormat="1" applyFont="1" applyBorder="1" applyAlignment="1">
      <alignment/>
    </xf>
    <xf numFmtId="172" fontId="11" fillId="0" borderId="10" xfId="46" applyNumberFormat="1" applyFont="1" applyBorder="1" applyAlignment="1">
      <alignment horizontal="right"/>
    </xf>
    <xf numFmtId="0" fontId="5" fillId="34" borderId="0" xfId="62" applyFont="1" applyFill="1" applyBorder="1">
      <alignment/>
      <protection/>
    </xf>
    <xf numFmtId="177" fontId="7" fillId="34" borderId="0" xfId="42" applyNumberFormat="1" applyFont="1" applyFill="1" applyBorder="1" applyAlignment="1">
      <alignment/>
    </xf>
    <xf numFmtId="177" fontId="7" fillId="34" borderId="0" xfId="42" applyNumberFormat="1" applyFont="1" applyFill="1" applyBorder="1" applyAlignment="1">
      <alignment horizontal="right"/>
    </xf>
    <xf numFmtId="0" fontId="5" fillId="34" borderId="0" xfId="62" applyFont="1" applyFill="1" applyBorder="1" applyAlignment="1">
      <alignment vertical="center"/>
      <protection/>
    </xf>
    <xf numFmtId="0" fontId="5" fillId="35" borderId="13" xfId="62" applyFont="1" applyFill="1" applyBorder="1" applyAlignment="1">
      <alignment horizontal="center"/>
      <protection/>
    </xf>
    <xf numFmtId="0" fontId="5" fillId="35" borderId="12" xfId="62" applyFont="1" applyFill="1" applyBorder="1" applyAlignment="1">
      <alignment horizontal="right" vertical="center"/>
      <protection/>
    </xf>
    <xf numFmtId="177" fontId="5" fillId="35" borderId="12" xfId="42" applyNumberFormat="1" applyFont="1" applyFill="1" applyBorder="1" applyAlignment="1">
      <alignment horizontal="right" vertical="center"/>
    </xf>
    <xf numFmtId="173" fontId="5" fillId="35" borderId="12" xfId="46" applyNumberFormat="1" applyFont="1" applyFill="1" applyBorder="1" applyAlignment="1">
      <alignment horizontal="right" vertical="center"/>
    </xf>
    <xf numFmtId="177" fontId="5" fillId="35" borderId="13" xfId="42" applyNumberFormat="1" applyFont="1" applyFill="1" applyBorder="1" applyAlignment="1">
      <alignment/>
    </xf>
    <xf numFmtId="174" fontId="5" fillId="35" borderId="20" xfId="46" applyNumberFormat="1" applyFont="1" applyFill="1" applyBorder="1" applyAlignment="1">
      <alignment horizontal="center" vertical="center"/>
    </xf>
    <xf numFmtId="174" fontId="5" fillId="35" borderId="21" xfId="46" applyNumberFormat="1" applyFont="1" applyFill="1" applyBorder="1" applyAlignment="1">
      <alignment horizontal="center" vertical="center"/>
    </xf>
    <xf numFmtId="0" fontId="5" fillId="35" borderId="22" xfId="61" applyFont="1" applyFill="1" applyBorder="1" applyAlignment="1">
      <alignment horizontal="center" vertical="center"/>
      <protection/>
    </xf>
    <xf numFmtId="174" fontId="5" fillId="35" borderId="23" xfId="46" applyNumberFormat="1" applyFont="1" applyFill="1" applyBorder="1" applyAlignment="1">
      <alignment horizontal="center" vertical="center"/>
    </xf>
    <xf numFmtId="0" fontId="5" fillId="35" borderId="23" xfId="61" applyFont="1" applyFill="1" applyBorder="1" applyAlignment="1">
      <alignment horizontal="center" vertical="center"/>
      <protection/>
    </xf>
    <xf numFmtId="174" fontId="5" fillId="35" borderId="24" xfId="46" applyNumberFormat="1" applyFont="1" applyFill="1" applyBorder="1" applyAlignment="1">
      <alignment horizontal="center" vertical="center"/>
    </xf>
    <xf numFmtId="173" fontId="5" fillId="35" borderId="23" xfId="46" applyNumberFormat="1" applyFont="1" applyFill="1" applyBorder="1" applyAlignment="1">
      <alignment horizontal="center" vertical="center"/>
    </xf>
    <xf numFmtId="172" fontId="5" fillId="35" borderId="23" xfId="46" applyNumberFormat="1" applyFont="1" applyFill="1" applyBorder="1" applyAlignment="1">
      <alignment horizontal="center" vertical="center"/>
    </xf>
    <xf numFmtId="173" fontId="5" fillId="35" borderId="24" xfId="46" applyNumberFormat="1" applyFont="1" applyFill="1" applyBorder="1" applyAlignment="1">
      <alignment horizontal="center" vertical="center"/>
    </xf>
    <xf numFmtId="0" fontId="16" fillId="34" borderId="0" xfId="61" applyFont="1" applyFill="1" applyBorder="1">
      <alignment/>
      <protection/>
    </xf>
    <xf numFmtId="0" fontId="0" fillId="34" borderId="15" xfId="69" applyFont="1" applyFill="1" applyBorder="1">
      <alignment/>
      <protection/>
    </xf>
    <xf numFmtId="174" fontId="0" fillId="34" borderId="0" xfId="69" applyNumberFormat="1" applyFont="1" applyFill="1" applyBorder="1">
      <alignment/>
      <protection/>
    </xf>
    <xf numFmtId="0" fontId="0" fillId="34" borderId="0" xfId="69" applyFont="1" applyFill="1" applyBorder="1">
      <alignment/>
      <protection/>
    </xf>
    <xf numFmtId="174" fontId="0" fillId="34" borderId="17" xfId="69" applyNumberFormat="1" applyFont="1" applyFill="1" applyBorder="1">
      <alignment/>
      <protection/>
    </xf>
    <xf numFmtId="174" fontId="0" fillId="34" borderId="25" xfId="69" applyNumberFormat="1" applyFont="1" applyFill="1" applyBorder="1">
      <alignment/>
      <protection/>
    </xf>
    <xf numFmtId="0" fontId="0" fillId="34" borderId="25" xfId="69" applyFont="1" applyFill="1" applyBorder="1">
      <alignment/>
      <protection/>
    </xf>
    <xf numFmtId="174" fontId="0" fillId="34" borderId="26" xfId="69" applyNumberFormat="1" applyFont="1" applyFill="1" applyBorder="1">
      <alignment/>
      <protection/>
    </xf>
    <xf numFmtId="172" fontId="0" fillId="34" borderId="0" xfId="69" applyNumberFormat="1" applyFont="1" applyFill="1" applyBorder="1">
      <alignment/>
      <protection/>
    </xf>
    <xf numFmtId="0" fontId="0" fillId="34" borderId="17" xfId="69" applyFont="1" applyFill="1" applyBorder="1">
      <alignment/>
      <protection/>
    </xf>
    <xf numFmtId="0" fontId="13" fillId="34" borderId="0" xfId="61" applyFont="1" applyFill="1">
      <alignment/>
      <protection/>
    </xf>
    <xf numFmtId="174" fontId="13" fillId="34" borderId="0" xfId="61" applyNumberFormat="1" applyFont="1" applyFill="1">
      <alignment/>
      <protection/>
    </xf>
    <xf numFmtId="173" fontId="7" fillId="34" borderId="0" xfId="61" applyNumberFormat="1" applyFont="1" applyFill="1" applyBorder="1">
      <alignment/>
      <protection/>
    </xf>
    <xf numFmtId="173" fontId="7" fillId="34" borderId="15" xfId="69" applyNumberFormat="1" applyFont="1" applyFill="1" applyBorder="1" applyAlignment="1">
      <alignment horizontal="right"/>
      <protection/>
    </xf>
    <xf numFmtId="174" fontId="7" fillId="34" borderId="0" xfId="69" applyNumberFormat="1" applyFont="1" applyFill="1" applyBorder="1" applyAlignment="1">
      <alignment horizontal="right"/>
      <protection/>
    </xf>
    <xf numFmtId="173" fontId="7" fillId="34" borderId="0" xfId="69" applyNumberFormat="1" applyFont="1" applyFill="1" applyBorder="1" applyAlignment="1">
      <alignment horizontal="right"/>
      <protection/>
    </xf>
    <xf numFmtId="174" fontId="7" fillId="34" borderId="17" xfId="69" applyNumberFormat="1" applyFont="1" applyFill="1" applyBorder="1" applyAlignment="1">
      <alignment horizontal="right"/>
      <protection/>
    </xf>
    <xf numFmtId="172" fontId="7" fillId="34" borderId="0" xfId="69" applyNumberFormat="1" applyFont="1" applyFill="1" applyBorder="1" applyAlignment="1">
      <alignment horizontal="right"/>
      <protection/>
    </xf>
    <xf numFmtId="173" fontId="7" fillId="34" borderId="17" xfId="69" applyNumberFormat="1" applyFont="1" applyFill="1" applyBorder="1" applyAlignment="1">
      <alignment horizontal="right"/>
      <protection/>
    </xf>
    <xf numFmtId="0" fontId="13" fillId="0" borderId="0" xfId="62" applyFont="1">
      <alignment/>
      <protection/>
    </xf>
    <xf numFmtId="0" fontId="7" fillId="0" borderId="0" xfId="62" applyFont="1" applyAlignment="1">
      <alignment horizontal="right"/>
      <protection/>
    </xf>
    <xf numFmtId="177" fontId="24" fillId="0" borderId="0" xfId="42" applyNumberFormat="1" applyFont="1" applyBorder="1" applyAlignment="1">
      <alignment horizontal="right" vertical="top"/>
    </xf>
    <xf numFmtId="177" fontId="24" fillId="0" borderId="0" xfId="42" applyNumberFormat="1" applyFont="1" applyBorder="1" applyAlignment="1">
      <alignment horizontal="right"/>
    </xf>
    <xf numFmtId="178" fontId="24" fillId="0" borderId="0" xfId="42" applyNumberFormat="1" applyFont="1" applyBorder="1" applyAlignment="1">
      <alignment horizontal="right"/>
    </xf>
    <xf numFmtId="0" fontId="5" fillId="0" borderId="27" xfId="61" applyFont="1" applyBorder="1">
      <alignment/>
      <protection/>
    </xf>
    <xf numFmtId="0" fontId="11" fillId="0" borderId="28" xfId="61" applyFont="1" applyBorder="1" applyAlignment="1">
      <alignment vertical="top" wrapText="1"/>
      <protection/>
    </xf>
    <xf numFmtId="0" fontId="11" fillId="0" borderId="28" xfId="61" applyFont="1" applyBorder="1" applyAlignment="1">
      <alignment vertical="top"/>
      <protection/>
    </xf>
    <xf numFmtId="0" fontId="11" fillId="0" borderId="28" xfId="61" applyFont="1" applyBorder="1">
      <alignment/>
      <protection/>
    </xf>
    <xf numFmtId="0" fontId="24" fillId="0" borderId="28" xfId="61" applyFont="1" applyBorder="1" applyAlignment="1">
      <alignment horizontal="left"/>
      <protection/>
    </xf>
    <xf numFmtId="0" fontId="24" fillId="0" borderId="28" xfId="61" applyFont="1" applyBorder="1" applyAlignment="1">
      <alignment vertical="top" wrapText="1"/>
      <protection/>
    </xf>
    <xf numFmtId="177" fontId="24" fillId="0" borderId="28" xfId="42" applyNumberFormat="1" applyFont="1" applyBorder="1" applyAlignment="1">
      <alignment horizontal="right" vertical="top"/>
    </xf>
    <xf numFmtId="0" fontId="27" fillId="0" borderId="0" xfId="61" applyFont="1" applyBorder="1">
      <alignment/>
      <protection/>
    </xf>
    <xf numFmtId="178" fontId="5" fillId="0" borderId="29" xfId="42" applyNumberFormat="1" applyFont="1" applyBorder="1" applyAlignment="1">
      <alignment horizontal="right"/>
    </xf>
    <xf numFmtId="177" fontId="5" fillId="0" borderId="29" xfId="42" applyNumberFormat="1" applyFont="1" applyBorder="1" applyAlignment="1">
      <alignment horizontal="right"/>
    </xf>
    <xf numFmtId="177" fontId="5" fillId="0" borderId="28" xfId="42" applyNumberFormat="1" applyFont="1" applyBorder="1" applyAlignment="1">
      <alignment horizontal="right"/>
    </xf>
    <xf numFmtId="0" fontId="24" fillId="0" borderId="28" xfId="61" applyFont="1" applyBorder="1" applyAlignment="1">
      <alignment horizontal="center" vertical="top"/>
      <protection/>
    </xf>
    <xf numFmtId="0" fontId="5" fillId="33" borderId="30" xfId="61" applyFont="1" applyFill="1" applyBorder="1" applyAlignment="1">
      <alignment horizontal="right"/>
      <protection/>
    </xf>
    <xf numFmtId="177" fontId="5" fillId="33" borderId="30" xfId="42" applyNumberFormat="1" applyFont="1" applyFill="1" applyBorder="1" applyAlignment="1">
      <alignment horizontal="right"/>
    </xf>
    <xf numFmtId="178" fontId="5" fillId="33" borderId="30" xfId="42" applyNumberFormat="1" applyFont="1" applyFill="1" applyBorder="1" applyAlignment="1">
      <alignment horizontal="right"/>
    </xf>
    <xf numFmtId="0" fontId="5" fillId="0" borderId="28" xfId="61" applyFont="1" applyBorder="1">
      <alignment/>
      <protection/>
    </xf>
    <xf numFmtId="177" fontId="5" fillId="0" borderId="27" xfId="42" applyNumberFormat="1" applyFont="1" applyBorder="1" applyAlignment="1">
      <alignment horizontal="right"/>
    </xf>
    <xf numFmtId="0" fontId="24" fillId="0" borderId="28" xfId="61" applyFont="1" applyBorder="1" applyAlignment="1">
      <alignment horizontal="center" vertical="top" wrapText="1"/>
      <protection/>
    </xf>
    <xf numFmtId="177" fontId="11" fillId="0" borderId="28" xfId="42" applyNumberFormat="1" applyFont="1" applyBorder="1" applyAlignment="1">
      <alignment horizontal="right" vertical="top"/>
    </xf>
    <xf numFmtId="177" fontId="5" fillId="0" borderId="27" xfId="42" applyNumberFormat="1" applyFont="1" applyFill="1" applyBorder="1" applyAlignment="1">
      <alignment horizontal="right"/>
    </xf>
    <xf numFmtId="0" fontId="11" fillId="0" borderId="28" xfId="61" applyFont="1" applyBorder="1" applyAlignment="1" quotePrefix="1">
      <alignment vertical="top" wrapText="1"/>
      <protection/>
    </xf>
    <xf numFmtId="178" fontId="11" fillId="0" borderId="28" xfId="42" applyNumberFormat="1" applyFont="1" applyBorder="1" applyAlignment="1">
      <alignment horizontal="right"/>
    </xf>
    <xf numFmtId="177" fontId="11" fillId="0" borderId="28" xfId="42" applyNumberFormat="1" applyFont="1" applyBorder="1" applyAlignment="1">
      <alignment horizontal="right"/>
    </xf>
    <xf numFmtId="178" fontId="11" fillId="0" borderId="28" xfId="42" applyNumberFormat="1" applyFont="1" applyBorder="1" applyAlignment="1">
      <alignment/>
    </xf>
    <xf numFmtId="0" fontId="24" fillId="0" borderId="0" xfId="61" applyFont="1" applyBorder="1">
      <alignment/>
      <protection/>
    </xf>
    <xf numFmtId="178" fontId="24" fillId="0" borderId="0" xfId="42" applyNumberFormat="1" applyFont="1" applyBorder="1" applyAlignment="1">
      <alignment/>
    </xf>
    <xf numFmtId="177" fontId="24" fillId="0" borderId="0" xfId="42" applyNumberFormat="1" applyFont="1" applyAlignment="1">
      <alignment horizontal="right"/>
    </xf>
    <xf numFmtId="0" fontId="24" fillId="0" borderId="28" xfId="0" applyFont="1" applyBorder="1" applyAlignment="1">
      <alignment/>
    </xf>
    <xf numFmtId="177" fontId="24" fillId="0" borderId="28" xfId="42" applyNumberFormat="1" applyFont="1" applyBorder="1" applyAlignment="1">
      <alignment horizontal="right" vertical="top" wrapText="1"/>
    </xf>
    <xf numFmtId="0" fontId="24" fillId="0" borderId="28" xfId="0" applyFont="1" applyBorder="1" applyAlignment="1">
      <alignment vertical="top"/>
    </xf>
    <xf numFmtId="0" fontId="24" fillId="0" borderId="28" xfId="0" applyFont="1" applyBorder="1" applyAlignment="1">
      <alignment vertical="top" wrapText="1"/>
    </xf>
    <xf numFmtId="178" fontId="24" fillId="0" borderId="28" xfId="42" applyNumberFormat="1" applyFont="1" applyBorder="1" applyAlignment="1">
      <alignment horizontal="right"/>
    </xf>
    <xf numFmtId="177" fontId="24" fillId="0" borderId="28" xfId="42" applyNumberFormat="1" applyFont="1" applyBorder="1" applyAlignment="1">
      <alignment horizontal="right"/>
    </xf>
    <xf numFmtId="178" fontId="24" fillId="0" borderId="28" xfId="42" applyNumberFormat="1" applyFont="1" applyBorder="1" applyAlignment="1">
      <alignment/>
    </xf>
    <xf numFmtId="178" fontId="24" fillId="0" borderId="28" xfId="42" applyNumberFormat="1" applyFont="1" applyBorder="1" applyAlignment="1">
      <alignment horizontal="right" vertical="top"/>
    </xf>
    <xf numFmtId="178" fontId="24" fillId="0" borderId="28" xfId="42" applyNumberFormat="1" applyFont="1" applyBorder="1" applyAlignment="1">
      <alignment vertical="top"/>
    </xf>
    <xf numFmtId="0" fontId="24" fillId="0" borderId="28" xfId="61" applyFont="1" applyBorder="1">
      <alignment/>
      <protection/>
    </xf>
    <xf numFmtId="178" fontId="24" fillId="0" borderId="0" xfId="42" applyNumberFormat="1" applyFont="1" applyAlignment="1">
      <alignment horizontal="right"/>
    </xf>
    <xf numFmtId="178" fontId="24" fillId="0" borderId="0" xfId="42" applyNumberFormat="1" applyFont="1" applyAlignment="1">
      <alignment/>
    </xf>
    <xf numFmtId="0" fontId="4" fillId="0" borderId="28" xfId="0" applyFont="1" applyBorder="1" applyAlignment="1">
      <alignment/>
    </xf>
    <xf numFmtId="0" fontId="5" fillId="33" borderId="30" xfId="61" applyFont="1" applyFill="1" applyBorder="1">
      <alignment/>
      <protection/>
    </xf>
    <xf numFmtId="178" fontId="5" fillId="0" borderId="27" xfId="42" applyNumberFormat="1" applyFont="1" applyBorder="1" applyAlignment="1">
      <alignment horizontal="right"/>
    </xf>
    <xf numFmtId="178" fontId="5" fillId="0" borderId="27" xfId="42" applyNumberFormat="1" applyFont="1" applyBorder="1" applyAlignment="1">
      <alignment/>
    </xf>
    <xf numFmtId="178" fontId="4" fillId="0" borderId="27" xfId="42" applyNumberFormat="1" applyFont="1" applyBorder="1" applyAlignment="1">
      <alignment horizontal="right"/>
    </xf>
    <xf numFmtId="177" fontId="4" fillId="0" borderId="27" xfId="42" applyNumberFormat="1" applyFont="1" applyBorder="1" applyAlignment="1">
      <alignment horizontal="right"/>
    </xf>
    <xf numFmtId="178" fontId="4" fillId="0" borderId="27" xfId="42" applyNumberFormat="1" applyFont="1" applyBorder="1" applyAlignment="1">
      <alignment/>
    </xf>
    <xf numFmtId="0" fontId="24" fillId="0" borderId="28" xfId="0" applyFont="1" applyBorder="1" applyAlignment="1">
      <alignment horizontal="center" vertical="top" wrapText="1"/>
    </xf>
    <xf numFmtId="0" fontId="4" fillId="33" borderId="30" xfId="61" applyFont="1" applyFill="1" applyBorder="1">
      <alignment/>
      <protection/>
    </xf>
    <xf numFmtId="0" fontId="4" fillId="0" borderId="28" xfId="61" applyFont="1" applyBorder="1" applyAlignment="1">
      <alignment horizontal="center" vertical="top" wrapText="1"/>
      <protection/>
    </xf>
    <xf numFmtId="0" fontId="24" fillId="0" borderId="0" xfId="61" applyFont="1" applyBorder="1" applyAlignment="1">
      <alignment horizontal="center" vertical="top"/>
      <protection/>
    </xf>
    <xf numFmtId="0" fontId="4" fillId="33" borderId="30" xfId="61" applyFont="1" applyFill="1" applyBorder="1" applyAlignment="1">
      <alignment horizontal="center" vertical="top"/>
      <protection/>
    </xf>
    <xf numFmtId="0" fontId="4" fillId="0" borderId="27" xfId="61" applyFont="1" applyBorder="1" applyAlignment="1">
      <alignment horizontal="center" vertical="top"/>
      <protection/>
    </xf>
    <xf numFmtId="173" fontId="24" fillId="0" borderId="0" xfId="46" applyNumberFormat="1" applyFont="1" applyBorder="1" applyAlignment="1">
      <alignment horizontal="right" vertical="top"/>
    </xf>
    <xf numFmtId="0" fontId="4" fillId="0" borderId="0" xfId="62" applyFont="1">
      <alignment/>
      <protection/>
    </xf>
    <xf numFmtId="0" fontId="4" fillId="0" borderId="0" xfId="0" applyFont="1" applyAlignment="1">
      <alignment/>
    </xf>
    <xf numFmtId="0" fontId="5" fillId="33" borderId="14" xfId="62" applyFont="1" applyFill="1" applyBorder="1" applyAlignment="1">
      <alignment horizontal="left" vertical="center" wrapText="1"/>
      <protection/>
    </xf>
    <xf numFmtId="0" fontId="4" fillId="33" borderId="14" xfId="62" applyFont="1" applyFill="1" applyBorder="1">
      <alignment/>
      <protection/>
    </xf>
    <xf numFmtId="0" fontId="5" fillId="0" borderId="0" xfId="62" applyFont="1">
      <alignment/>
      <protection/>
    </xf>
    <xf numFmtId="0" fontId="7" fillId="0" borderId="0" xfId="62" applyFont="1" applyBorder="1" applyAlignment="1">
      <alignment horizontal="left"/>
      <protection/>
    </xf>
    <xf numFmtId="0" fontId="10" fillId="0" borderId="0" xfId="62" applyFont="1" applyAlignment="1">
      <alignment horizontal="center"/>
      <protection/>
    </xf>
    <xf numFmtId="0" fontId="10" fillId="0" borderId="0" xfId="62" applyFont="1" applyBorder="1">
      <alignment/>
      <protection/>
    </xf>
    <xf numFmtId="0" fontId="10" fillId="0" borderId="0" xfId="62" applyFont="1">
      <alignment/>
      <protection/>
    </xf>
    <xf numFmtId="0" fontId="10" fillId="0" borderId="0" xfId="61" applyFont="1" applyBorder="1" applyAlignment="1">
      <alignment horizontal="left"/>
      <protection/>
    </xf>
    <xf numFmtId="173" fontId="7" fillId="0" borderId="0" xfId="46" applyNumberFormat="1" applyFont="1" applyBorder="1" applyAlignment="1">
      <alignment/>
    </xf>
    <xf numFmtId="0" fontId="7" fillId="0" borderId="0" xfId="61" applyFont="1" applyBorder="1" applyAlignment="1">
      <alignment horizontal="left"/>
      <protection/>
    </xf>
    <xf numFmtId="173" fontId="7" fillId="0" borderId="0" xfId="47" applyNumberFormat="1" applyFont="1" applyBorder="1" applyAlignment="1">
      <alignment vertical="center"/>
    </xf>
    <xf numFmtId="0" fontId="10" fillId="0" borderId="0" xfId="62" applyFont="1" applyBorder="1" applyAlignment="1">
      <alignment horizontal="left"/>
      <protection/>
    </xf>
    <xf numFmtId="173" fontId="22" fillId="0" borderId="0" xfId="47" applyNumberFormat="1" applyFont="1" applyBorder="1" applyAlignment="1">
      <alignment vertical="center"/>
    </xf>
    <xf numFmtId="0" fontId="10" fillId="0" borderId="0" xfId="62" applyFont="1" applyFill="1">
      <alignment/>
      <protection/>
    </xf>
    <xf numFmtId="37" fontId="7" fillId="0" borderId="0" xfId="42" applyNumberFormat="1" applyFont="1" applyBorder="1" applyAlignment="1">
      <alignment horizontal="right"/>
    </xf>
    <xf numFmtId="0" fontId="7" fillId="0" borderId="0" xfId="62" applyFont="1" applyFill="1" applyBorder="1" applyAlignment="1">
      <alignment horizontal="center"/>
      <protection/>
    </xf>
    <xf numFmtId="0" fontId="23" fillId="0" borderId="0" xfId="0" applyFont="1" applyFill="1" applyAlignment="1">
      <alignment/>
    </xf>
    <xf numFmtId="0" fontId="10" fillId="0" borderId="0" xfId="62" applyFont="1" applyAlignment="1">
      <alignment horizontal="center"/>
      <protection/>
    </xf>
    <xf numFmtId="0" fontId="10" fillId="0" borderId="0" xfId="62" applyFont="1" applyFill="1">
      <alignment/>
      <protection/>
    </xf>
    <xf numFmtId="0" fontId="5" fillId="0" borderId="13" xfId="62" applyFont="1" applyBorder="1" applyAlignment="1">
      <alignment horizontal="center" vertical="center"/>
      <protection/>
    </xf>
    <xf numFmtId="0" fontId="5" fillId="0" borderId="13" xfId="62" applyFont="1" applyBorder="1" applyAlignment="1">
      <alignment horizontal="left" vertical="center" wrapText="1"/>
      <protection/>
    </xf>
    <xf numFmtId="0" fontId="5" fillId="0" borderId="13" xfId="62" applyFont="1" applyFill="1" applyBorder="1" applyAlignment="1">
      <alignment horizontal="center" vertical="center"/>
      <protection/>
    </xf>
    <xf numFmtId="172" fontId="5" fillId="0" borderId="13" xfId="47" applyNumberFormat="1" applyFont="1" applyBorder="1" applyAlignment="1">
      <alignment horizontal="center" vertical="center" wrapText="1"/>
    </xf>
    <xf numFmtId="0" fontId="31" fillId="0" borderId="0" xfId="62" applyFont="1" applyFill="1" applyBorder="1" applyAlignment="1">
      <alignment horizontal="left" vertical="top" wrapText="1"/>
      <protection/>
    </xf>
    <xf numFmtId="0" fontId="24" fillId="0" borderId="0" xfId="62" applyFont="1" applyBorder="1" applyAlignment="1">
      <alignment horizontal="center" vertical="top"/>
      <protection/>
    </xf>
    <xf numFmtId="175" fontId="24" fillId="0" borderId="0" xfId="47" applyNumberFormat="1" applyFont="1" applyBorder="1" applyAlignment="1">
      <alignment horizontal="right" vertical="top" wrapText="1"/>
    </xf>
    <xf numFmtId="0" fontId="24" fillId="0" borderId="0" xfId="62" applyFont="1" applyBorder="1" applyAlignment="1">
      <alignment horizontal="center" vertical="top" wrapText="1"/>
      <protection/>
    </xf>
    <xf numFmtId="0" fontId="5" fillId="33" borderId="14" xfId="62" applyFont="1" applyFill="1" applyBorder="1" applyAlignment="1">
      <alignment horizontal="left" vertical="top" wrapText="1"/>
      <protection/>
    </xf>
    <xf numFmtId="0" fontId="32" fillId="0" borderId="0" xfId="0" applyFont="1" applyAlignment="1">
      <alignment/>
    </xf>
    <xf numFmtId="0" fontId="32" fillId="0" borderId="0" xfId="0" applyFont="1" applyBorder="1" applyAlignment="1">
      <alignment/>
    </xf>
    <xf numFmtId="0" fontId="7" fillId="0" borderId="0" xfId="62" applyFont="1" applyBorder="1" applyAlignment="1">
      <alignment horizontal="center"/>
      <protection/>
    </xf>
    <xf numFmtId="3" fontId="5" fillId="33" borderId="14" xfId="62" applyNumberFormat="1" applyFont="1" applyFill="1" applyBorder="1" applyAlignment="1">
      <alignment horizontal="center" vertical="top"/>
      <protection/>
    </xf>
    <xf numFmtId="0" fontId="23" fillId="0" borderId="0" xfId="0" applyFont="1" applyAlignment="1">
      <alignment horizontal="center"/>
    </xf>
    <xf numFmtId="0" fontId="24" fillId="0" borderId="28" xfId="61" applyFont="1" applyBorder="1" applyAlignment="1">
      <alignment horizontal="left" vertical="top" wrapText="1"/>
      <protection/>
    </xf>
    <xf numFmtId="0" fontId="4" fillId="0" borderId="0" xfId="61" applyFont="1" applyBorder="1" applyAlignment="1">
      <alignment horizontal="center"/>
      <protection/>
    </xf>
    <xf numFmtId="174" fontId="4" fillId="0" borderId="0" xfId="46" applyNumberFormat="1" applyFont="1" applyBorder="1" applyAlignment="1">
      <alignment/>
    </xf>
    <xf numFmtId="173" fontId="4" fillId="0" borderId="0" xfId="46" applyNumberFormat="1" applyFont="1" applyBorder="1" applyAlignment="1">
      <alignment/>
    </xf>
    <xf numFmtId="173" fontId="4" fillId="0" borderId="0" xfId="46" applyNumberFormat="1" applyFont="1" applyBorder="1" applyAlignment="1">
      <alignment horizontal="center"/>
    </xf>
    <xf numFmtId="0" fontId="4" fillId="0" borderId="0" xfId="61" applyFont="1" applyBorder="1">
      <alignment/>
      <protection/>
    </xf>
    <xf numFmtId="174" fontId="4" fillId="0" borderId="0" xfId="61" applyNumberFormat="1" applyFont="1" applyBorder="1">
      <alignment/>
      <protection/>
    </xf>
    <xf numFmtId="0" fontId="20" fillId="0" borderId="12" xfId="61" applyFont="1" applyBorder="1" applyAlignment="1">
      <alignment horizontal="right" vertical="center"/>
      <protection/>
    </xf>
    <xf numFmtId="174" fontId="20" fillId="0" borderId="12" xfId="46" applyNumberFormat="1" applyFont="1" applyBorder="1" applyAlignment="1">
      <alignment horizontal="center" vertical="center"/>
    </xf>
    <xf numFmtId="0" fontId="20" fillId="0" borderId="12" xfId="61" applyFont="1" applyBorder="1" applyAlignment="1">
      <alignment horizontal="center" vertical="center"/>
      <protection/>
    </xf>
    <xf numFmtId="174" fontId="5" fillId="0" borderId="0" xfId="61" applyNumberFormat="1" applyFont="1" applyBorder="1">
      <alignment/>
      <protection/>
    </xf>
    <xf numFmtId="177" fontId="5" fillId="0" borderId="13" xfId="42" applyNumberFormat="1" applyFont="1" applyBorder="1" applyAlignment="1">
      <alignment vertical="center"/>
    </xf>
    <xf numFmtId="173" fontId="7" fillId="34" borderId="15" xfId="69" applyNumberFormat="1" applyFont="1" applyFill="1" applyBorder="1">
      <alignment/>
      <protection/>
    </xf>
    <xf numFmtId="174" fontId="7" fillId="34" borderId="0" xfId="69" applyNumberFormat="1" applyFont="1" applyFill="1" applyBorder="1">
      <alignment/>
      <protection/>
    </xf>
    <xf numFmtId="173" fontId="7" fillId="34" borderId="0" xfId="69" applyNumberFormat="1" applyFont="1" applyFill="1" applyBorder="1">
      <alignment/>
      <protection/>
    </xf>
    <xf numFmtId="174" fontId="7" fillId="34" borderId="17" xfId="69" applyNumberFormat="1" applyFont="1" applyFill="1" applyBorder="1">
      <alignment/>
      <protection/>
    </xf>
    <xf numFmtId="172" fontId="7" fillId="34" borderId="0" xfId="69" applyNumberFormat="1" applyFont="1" applyFill="1" applyBorder="1">
      <alignment/>
      <protection/>
    </xf>
    <xf numFmtId="173" fontId="7" fillId="34" borderId="17" xfId="69" applyNumberFormat="1" applyFont="1" applyFill="1" applyBorder="1">
      <alignment/>
      <protection/>
    </xf>
    <xf numFmtId="172" fontId="7" fillId="0" borderId="18" xfId="69" applyNumberFormat="1" applyFont="1" applyBorder="1" applyAlignment="1">
      <alignment horizontal="right"/>
      <protection/>
    </xf>
    <xf numFmtId="0" fontId="16" fillId="0" borderId="13" xfId="61" applyFont="1" applyBorder="1" applyAlignment="1">
      <alignment horizontal="center" vertical="center"/>
      <protection/>
    </xf>
    <xf numFmtId="173" fontId="11" fillId="0" borderId="10" xfId="46" applyNumberFormat="1" applyFont="1" applyBorder="1" applyAlignment="1">
      <alignment/>
    </xf>
    <xf numFmtId="177" fontId="11" fillId="0" borderId="10" xfId="42" applyNumberFormat="1" applyFont="1" applyBorder="1" applyAlignment="1">
      <alignment/>
    </xf>
    <xf numFmtId="177" fontId="7" fillId="0" borderId="17" xfId="42" applyNumberFormat="1" applyFont="1" applyBorder="1" applyAlignment="1">
      <alignment horizontal="right"/>
    </xf>
    <xf numFmtId="177" fontId="7" fillId="0" borderId="0" xfId="42" applyNumberFormat="1" applyFont="1" applyAlignment="1">
      <alignment/>
    </xf>
    <xf numFmtId="177" fontId="7" fillId="0" borderId="13" xfId="42" applyNumberFormat="1" applyFont="1" applyBorder="1" applyAlignment="1">
      <alignment/>
    </xf>
    <xf numFmtId="177" fontId="7" fillId="0" borderId="0" xfId="42" applyNumberFormat="1" applyFont="1" applyBorder="1" applyAlignment="1">
      <alignment horizontal="right"/>
    </xf>
    <xf numFmtId="177" fontId="7" fillId="0" borderId="10" xfId="42" applyNumberFormat="1" applyFont="1" applyBorder="1" applyAlignment="1">
      <alignment horizontal="right"/>
    </xf>
    <xf numFmtId="177" fontId="0" fillId="35" borderId="13" xfId="42" applyNumberFormat="1" applyFont="1" applyFill="1" applyBorder="1" applyAlignment="1">
      <alignment horizontal="right"/>
    </xf>
    <xf numFmtId="178" fontId="0" fillId="35" borderId="13" xfId="42" applyNumberFormat="1" applyFont="1" applyFill="1" applyBorder="1" applyAlignment="1">
      <alignment/>
    </xf>
    <xf numFmtId="0" fontId="5" fillId="35" borderId="13" xfId="61" applyFont="1" applyFill="1" applyBorder="1" applyAlignment="1">
      <alignment horizontal="center"/>
      <protection/>
    </xf>
    <xf numFmtId="174" fontId="5" fillId="35" borderId="13" xfId="46" applyNumberFormat="1" applyFont="1" applyFill="1" applyBorder="1" applyAlignment="1">
      <alignment horizontal="center"/>
    </xf>
    <xf numFmtId="174" fontId="11" fillId="0" borderId="10" xfId="46" applyNumberFormat="1" applyFont="1" applyBorder="1" applyAlignment="1">
      <alignment/>
    </xf>
    <xf numFmtId="177" fontId="5" fillId="0" borderId="0" xfId="42" applyNumberFormat="1" applyFont="1" applyAlignment="1">
      <alignment/>
    </xf>
    <xf numFmtId="177" fontId="0" fillId="0" borderId="12" xfId="42" applyNumberFormat="1" applyFont="1" applyBorder="1" applyAlignment="1">
      <alignment/>
    </xf>
    <xf numFmtId="177" fontId="20" fillId="0" borderId="12" xfId="42" applyNumberFormat="1" applyFont="1" applyBorder="1" applyAlignment="1">
      <alignment horizontal="right" vertical="center"/>
    </xf>
    <xf numFmtId="177" fontId="0" fillId="0" borderId="0" xfId="42" applyNumberFormat="1" applyFont="1" applyAlignment="1">
      <alignment/>
    </xf>
    <xf numFmtId="177" fontId="4" fillId="0" borderId="0" xfId="42" applyNumberFormat="1" applyFont="1" applyAlignment="1">
      <alignment/>
    </xf>
    <xf numFmtId="0" fontId="24" fillId="0" borderId="0" xfId="62" applyFont="1" applyBorder="1">
      <alignment/>
      <protection/>
    </xf>
    <xf numFmtId="172" fontId="5" fillId="0" borderId="0" xfId="62" applyNumberFormat="1" applyFont="1" applyBorder="1" applyAlignment="1">
      <alignment vertical="center"/>
      <protection/>
    </xf>
    <xf numFmtId="0" fontId="9" fillId="0" borderId="25" xfId="62" applyFont="1" applyBorder="1" applyAlignment="1">
      <alignment horizontal="center" vertical="center"/>
      <protection/>
    </xf>
    <xf numFmtId="0" fontId="11" fillId="0" borderId="25" xfId="62" applyFont="1" applyBorder="1" applyAlignment="1">
      <alignment horizontal="left" vertical="center" wrapText="1"/>
      <protection/>
    </xf>
    <xf numFmtId="0" fontId="9" fillId="0" borderId="25" xfId="62" applyFont="1" applyFill="1" applyBorder="1" applyAlignment="1">
      <alignment horizontal="center" vertical="center"/>
      <protection/>
    </xf>
    <xf numFmtId="0" fontId="24" fillId="0" borderId="12" xfId="62" applyFont="1" applyBorder="1" applyAlignment="1">
      <alignment horizontal="center"/>
      <protection/>
    </xf>
    <xf numFmtId="0" fontId="4" fillId="0" borderId="12" xfId="62" applyFill="1" applyBorder="1">
      <alignment/>
      <protection/>
    </xf>
    <xf numFmtId="0" fontId="4" fillId="0" borderId="12" xfId="62" applyBorder="1" applyAlignment="1">
      <alignment horizontal="center" vertical="center"/>
      <protection/>
    </xf>
    <xf numFmtId="178" fontId="5" fillId="0" borderId="29" xfId="42" applyNumberFormat="1" applyFont="1" applyBorder="1" applyAlignment="1">
      <alignment horizontal="center"/>
    </xf>
    <xf numFmtId="0" fontId="24" fillId="0" borderId="28" xfId="61" applyFont="1" applyBorder="1" applyAlignment="1" quotePrefix="1">
      <alignment vertical="top" wrapText="1"/>
      <protection/>
    </xf>
    <xf numFmtId="0" fontId="0" fillId="0" borderId="0" xfId="0" applyAlignment="1">
      <alignment horizontal="center"/>
    </xf>
    <xf numFmtId="0" fontId="7" fillId="0" borderId="0" xfId="62" applyFont="1" applyAlignment="1">
      <alignment horizontal="center"/>
      <protection/>
    </xf>
    <xf numFmtId="0" fontId="4" fillId="0" borderId="0" xfId="62" applyAlignment="1">
      <alignment horizontal="right"/>
      <protection/>
    </xf>
    <xf numFmtId="0" fontId="10" fillId="0" borderId="0" xfId="62" applyFont="1" applyAlignment="1">
      <alignment horizontal="right"/>
      <protection/>
    </xf>
    <xf numFmtId="0" fontId="5" fillId="0" borderId="0" xfId="62" applyFont="1" applyBorder="1" applyAlignment="1">
      <alignment horizontal="right"/>
      <protection/>
    </xf>
    <xf numFmtId="0" fontId="6" fillId="0" borderId="0" xfId="62" applyFont="1" applyAlignment="1">
      <alignment horizontal="right"/>
      <protection/>
    </xf>
    <xf numFmtId="0" fontId="0" fillId="0" borderId="0" xfId="0" applyAlignment="1">
      <alignment horizontal="right"/>
    </xf>
    <xf numFmtId="0" fontId="12" fillId="0" borderId="0" xfId="62" applyFont="1" applyAlignment="1">
      <alignment horizontal="right"/>
      <protection/>
    </xf>
    <xf numFmtId="0" fontId="11" fillId="0" borderId="28" xfId="62" applyFont="1" applyBorder="1" applyAlignment="1">
      <alignment horizontal="center" vertical="top" wrapText="1"/>
      <protection/>
    </xf>
    <xf numFmtId="0" fontId="11" fillId="33" borderId="31" xfId="62" applyFont="1" applyFill="1" applyBorder="1" applyAlignment="1">
      <alignment horizontal="center" vertical="center"/>
      <protection/>
    </xf>
    <xf numFmtId="0" fontId="24" fillId="33" borderId="30" xfId="62" applyFont="1" applyFill="1" applyBorder="1" applyAlignment="1">
      <alignment horizontal="left" vertical="center" wrapText="1"/>
      <protection/>
    </xf>
    <xf numFmtId="0" fontId="11" fillId="33" borderId="30" xfId="62" applyFont="1" applyFill="1" applyBorder="1" applyAlignment="1">
      <alignment horizontal="center" vertical="center"/>
      <protection/>
    </xf>
    <xf numFmtId="0" fontId="5" fillId="33" borderId="30" xfId="62" applyFont="1" applyFill="1" applyBorder="1" applyAlignment="1">
      <alignment horizontal="center" vertical="center"/>
      <protection/>
    </xf>
    <xf numFmtId="0" fontId="5" fillId="0" borderId="17" xfId="62" applyFont="1" applyBorder="1" applyAlignment="1">
      <alignment horizontal="center" vertical="top" wrapText="1"/>
      <protection/>
    </xf>
    <xf numFmtId="174" fontId="5" fillId="33" borderId="30" xfId="62" applyNumberFormat="1" applyFont="1" applyFill="1" applyBorder="1" applyAlignment="1">
      <alignment horizontal="right" vertical="center"/>
      <protection/>
    </xf>
    <xf numFmtId="0" fontId="7" fillId="0" borderId="32" xfId="62" applyFont="1" applyBorder="1" applyAlignment="1">
      <alignment horizontal="center" vertical="top"/>
      <protection/>
    </xf>
    <xf numFmtId="0" fontId="24" fillId="0" borderId="33" xfId="62" applyFont="1" applyBorder="1" applyAlignment="1">
      <alignment horizontal="left" vertical="top"/>
      <protection/>
    </xf>
    <xf numFmtId="0" fontId="7" fillId="0" borderId="33" xfId="62" applyFont="1" applyBorder="1" applyAlignment="1">
      <alignment horizontal="center" vertical="top"/>
      <protection/>
    </xf>
    <xf numFmtId="0" fontId="5" fillId="0" borderId="33" xfId="62" applyFont="1" applyFill="1" applyBorder="1" applyAlignment="1">
      <alignment horizontal="center" vertical="top"/>
      <protection/>
    </xf>
    <xf numFmtId="173" fontId="5" fillId="0" borderId="33" xfId="47" applyNumberFormat="1" applyFont="1" applyBorder="1" applyAlignment="1">
      <alignment vertical="top"/>
    </xf>
    <xf numFmtId="0" fontId="11" fillId="0" borderId="30" xfId="62" applyFont="1" applyBorder="1" applyAlignment="1">
      <alignment horizontal="center" vertical="top"/>
      <protection/>
    </xf>
    <xf numFmtId="0" fontId="24" fillId="0" borderId="30" xfId="62" applyFont="1" applyBorder="1" applyAlignment="1">
      <alignment horizontal="center" vertical="top"/>
      <protection/>
    </xf>
    <xf numFmtId="0" fontId="24" fillId="0" borderId="30" xfId="62" applyFont="1" applyBorder="1" applyAlignment="1">
      <alignment horizontal="right" vertical="top"/>
      <protection/>
    </xf>
    <xf numFmtId="0" fontId="11" fillId="0" borderId="30" xfId="62" applyFont="1" applyFill="1" applyBorder="1" applyAlignment="1">
      <alignment vertical="top" wrapText="1"/>
      <protection/>
    </xf>
    <xf numFmtId="0" fontId="5" fillId="0" borderId="31" xfId="62" applyFont="1" applyBorder="1" applyAlignment="1">
      <alignment horizontal="center" vertical="top" wrapText="1"/>
      <protection/>
    </xf>
    <xf numFmtId="0" fontId="24" fillId="0" borderId="30" xfId="62" applyFont="1" applyBorder="1" applyAlignment="1">
      <alignment horizontal="left" vertical="top"/>
      <protection/>
    </xf>
    <xf numFmtId="0" fontId="4" fillId="0" borderId="0" xfId="62" applyAlignment="1">
      <alignment/>
      <protection/>
    </xf>
    <xf numFmtId="177" fontId="5" fillId="0" borderId="29" xfId="42" applyNumberFormat="1" applyFont="1" applyBorder="1" applyAlignment="1">
      <alignment/>
    </xf>
    <xf numFmtId="175" fontId="11" fillId="0" borderId="30" xfId="47" applyNumberFormat="1" applyFont="1" applyBorder="1" applyAlignment="1">
      <alignment vertical="top"/>
    </xf>
    <xf numFmtId="175" fontId="5" fillId="0" borderId="33" xfId="47" applyNumberFormat="1" applyFont="1" applyBorder="1" applyAlignment="1">
      <alignment vertical="top"/>
    </xf>
    <xf numFmtId="175" fontId="11" fillId="0" borderId="0" xfId="46" applyNumberFormat="1" applyFont="1" applyBorder="1" applyAlignment="1">
      <alignment/>
    </xf>
    <xf numFmtId="175" fontId="4" fillId="0" borderId="0" xfId="62" applyNumberFormat="1" applyAlignment="1">
      <alignment/>
      <protection/>
    </xf>
    <xf numFmtId="175" fontId="5" fillId="0" borderId="0" xfId="42" applyNumberFormat="1" applyFont="1" applyBorder="1" applyAlignment="1">
      <alignment/>
    </xf>
    <xf numFmtId="175" fontId="7" fillId="0" borderId="0" xfId="47" applyNumberFormat="1" applyFont="1" applyBorder="1" applyAlignment="1">
      <alignment/>
    </xf>
    <xf numFmtId="175" fontId="0" fillId="0" borderId="0" xfId="0" applyNumberFormat="1" applyAlignment="1">
      <alignment/>
    </xf>
    <xf numFmtId="0" fontId="0" fillId="0" borderId="0" xfId="0" applyAlignment="1">
      <alignment/>
    </xf>
    <xf numFmtId="0" fontId="12" fillId="0" borderId="0" xfId="62" applyFont="1" applyAlignment="1">
      <alignment/>
      <protection/>
    </xf>
    <xf numFmtId="0" fontId="24" fillId="0" borderId="30" xfId="62" applyFont="1" applyBorder="1" applyAlignment="1">
      <alignment vertical="top"/>
      <protection/>
    </xf>
    <xf numFmtId="0" fontId="7" fillId="0" borderId="0" xfId="62" applyFont="1" applyAlignment="1">
      <alignment/>
      <protection/>
    </xf>
    <xf numFmtId="0" fontId="10" fillId="0" borderId="0" xfId="62" applyFont="1" applyAlignment="1">
      <alignment/>
      <protection/>
    </xf>
    <xf numFmtId="0" fontId="5" fillId="0" borderId="0" xfId="62" applyFont="1" applyBorder="1" applyAlignment="1">
      <alignment/>
      <protection/>
    </xf>
    <xf numFmtId="0" fontId="6" fillId="0" borderId="0" xfId="62" applyFont="1" applyAlignment="1">
      <alignment/>
      <protection/>
    </xf>
    <xf numFmtId="175" fontId="4" fillId="0" borderId="30" xfId="62" applyNumberFormat="1" applyFont="1" applyBorder="1" applyAlignment="1">
      <alignment horizontal="right" vertical="top"/>
      <protection/>
    </xf>
    <xf numFmtId="178" fontId="5" fillId="33" borderId="33" xfId="42" applyNumberFormat="1" applyFont="1" applyFill="1" applyBorder="1" applyAlignment="1">
      <alignment horizontal="right" vertical="center"/>
    </xf>
    <xf numFmtId="177" fontId="5" fillId="33" borderId="33" xfId="42" applyNumberFormat="1" applyFont="1" applyFill="1" applyBorder="1" applyAlignment="1">
      <alignment horizontal="right" vertical="center"/>
    </xf>
    <xf numFmtId="0" fontId="9" fillId="0" borderId="34" xfId="62" applyFont="1" applyBorder="1" applyAlignment="1">
      <alignment horizontal="left" vertical="center" wrapText="1"/>
      <protection/>
    </xf>
    <xf numFmtId="0" fontId="11" fillId="0" borderId="34" xfId="62" applyFont="1" applyBorder="1" applyAlignment="1">
      <alignment horizontal="left" vertical="center" wrapText="1"/>
      <protection/>
    </xf>
    <xf numFmtId="0" fontId="9" fillId="0" borderId="34" xfId="62" applyFont="1" applyBorder="1" applyAlignment="1">
      <alignment horizontal="center" vertical="center"/>
      <protection/>
    </xf>
    <xf numFmtId="0" fontId="9" fillId="0" borderId="34" xfId="62" applyFont="1" applyFill="1" applyBorder="1" applyAlignment="1">
      <alignment horizontal="center" vertical="center"/>
      <protection/>
    </xf>
    <xf numFmtId="0" fontId="4" fillId="0" borderId="29" xfId="62" applyBorder="1" applyAlignment="1">
      <alignment horizontal="center"/>
      <protection/>
    </xf>
    <xf numFmtId="0" fontId="24" fillId="0" borderId="29" xfId="62" applyFont="1" applyBorder="1" applyAlignment="1">
      <alignment horizontal="center"/>
      <protection/>
    </xf>
    <xf numFmtId="0" fontId="4" fillId="0" borderId="29" xfId="62" applyBorder="1" applyAlignment="1">
      <alignment horizontal="center" vertical="center"/>
      <protection/>
    </xf>
    <xf numFmtId="0" fontId="4" fillId="0" borderId="29" xfId="62" applyFill="1" applyBorder="1">
      <alignment/>
      <protection/>
    </xf>
    <xf numFmtId="0" fontId="30" fillId="0" borderId="28" xfId="62" applyFont="1" applyFill="1" applyBorder="1" applyAlignment="1">
      <alignment vertical="top" wrapText="1"/>
      <protection/>
    </xf>
    <xf numFmtId="0" fontId="11" fillId="0" borderId="28" xfId="62" applyFont="1" applyBorder="1" applyAlignment="1">
      <alignment horizontal="center" vertical="top"/>
      <protection/>
    </xf>
    <xf numFmtId="0" fontId="5" fillId="0" borderId="28" xfId="62" applyFont="1" applyBorder="1" applyAlignment="1">
      <alignment horizontal="left" vertical="top" wrapText="1"/>
      <protection/>
    </xf>
    <xf numFmtId="0" fontId="5" fillId="0" borderId="27" xfId="62" applyFont="1" applyBorder="1" applyAlignment="1">
      <alignment horizontal="left" vertical="top"/>
      <protection/>
    </xf>
    <xf numFmtId="0" fontId="24" fillId="0" borderId="28" xfId="62" applyFont="1" applyBorder="1" applyAlignment="1">
      <alignment horizontal="left" vertical="top"/>
      <protection/>
    </xf>
    <xf numFmtId="49" fontId="11" fillId="0" borderId="28" xfId="62" applyNumberFormat="1" applyFont="1" applyBorder="1" applyAlignment="1">
      <alignment horizontal="center" vertical="top" wrapText="1"/>
      <protection/>
    </xf>
    <xf numFmtId="175" fontId="11" fillId="0" borderId="28" xfId="47" applyNumberFormat="1" applyFont="1" applyBorder="1" applyAlignment="1">
      <alignment vertical="top"/>
    </xf>
    <xf numFmtId="175" fontId="11" fillId="0" borderId="28" xfId="62" applyNumberFormat="1" applyFont="1" applyBorder="1" applyAlignment="1">
      <alignment vertical="top"/>
      <protection/>
    </xf>
    <xf numFmtId="0" fontId="30" fillId="0" borderId="28" xfId="62" applyFont="1" applyFill="1" applyBorder="1" applyAlignment="1" quotePrefix="1">
      <alignment vertical="top" wrapText="1"/>
      <protection/>
    </xf>
    <xf numFmtId="0" fontId="30" fillId="0" borderId="28" xfId="62" applyFont="1" applyBorder="1" applyAlignment="1">
      <alignment horizontal="center" vertical="top" wrapText="1"/>
      <protection/>
    </xf>
    <xf numFmtId="174" fontId="5" fillId="33" borderId="30" xfId="62" applyNumberFormat="1" applyFont="1" applyFill="1" applyBorder="1" applyAlignment="1">
      <alignment horizontal="center" vertical="center"/>
      <protection/>
    </xf>
    <xf numFmtId="0" fontId="5" fillId="0" borderId="33" xfId="62" applyFont="1" applyBorder="1" applyAlignment="1">
      <alignment horizontal="left" vertical="top"/>
      <protection/>
    </xf>
    <xf numFmtId="41" fontId="11" fillId="0" borderId="28" xfId="62" applyNumberFormat="1" applyFont="1" applyBorder="1" applyAlignment="1">
      <alignment vertical="top"/>
      <protection/>
    </xf>
    <xf numFmtId="1" fontId="5" fillId="33" borderId="30" xfId="62" applyNumberFormat="1" applyFont="1" applyFill="1" applyBorder="1" applyAlignment="1">
      <alignment horizontal="right" vertical="center"/>
      <protection/>
    </xf>
    <xf numFmtId="0" fontId="4" fillId="0" borderId="0" xfId="61" applyFont="1" applyBorder="1" applyAlignment="1">
      <alignment horizontal="center"/>
      <protection/>
    </xf>
    <xf numFmtId="172" fontId="4" fillId="0" borderId="0" xfId="61" applyNumberFormat="1" applyFont="1" applyBorder="1" applyAlignment="1">
      <alignment horizontal="center"/>
      <protection/>
    </xf>
    <xf numFmtId="174" fontId="4" fillId="0" borderId="0" xfId="61" applyNumberFormat="1" applyFont="1" applyBorder="1" applyAlignment="1">
      <alignment horizontal="center"/>
      <protection/>
    </xf>
    <xf numFmtId="43" fontId="4" fillId="0" borderId="0" xfId="61" applyNumberFormat="1" applyFont="1" applyBorder="1" applyAlignment="1">
      <alignment horizontal="center"/>
      <protection/>
    </xf>
    <xf numFmtId="178" fontId="4" fillId="0" borderId="0" xfId="61" applyNumberFormat="1" applyFont="1" applyBorder="1" applyAlignment="1">
      <alignment horizontal="center"/>
      <protection/>
    </xf>
    <xf numFmtId="0" fontId="4" fillId="0" borderId="10" xfId="61" applyFont="1" applyBorder="1" applyAlignment="1">
      <alignment horizontal="center"/>
      <protection/>
    </xf>
    <xf numFmtId="172" fontId="4" fillId="0" borderId="10" xfId="46" applyNumberFormat="1" applyFont="1" applyBorder="1" applyAlignment="1">
      <alignment horizontal="right"/>
    </xf>
    <xf numFmtId="174" fontId="4" fillId="0" borderId="10" xfId="46" applyNumberFormat="1" applyFont="1" applyBorder="1" applyAlignment="1">
      <alignment horizontal="right"/>
    </xf>
    <xf numFmtId="173" fontId="4" fillId="0" borderId="10" xfId="46" applyNumberFormat="1" applyFont="1" applyBorder="1" applyAlignment="1">
      <alignment horizontal="right"/>
    </xf>
    <xf numFmtId="0" fontId="4" fillId="0" borderId="0" xfId="61" applyFont="1" applyAlignment="1">
      <alignment horizontal="center"/>
      <protection/>
    </xf>
    <xf numFmtId="172" fontId="4" fillId="0" borderId="0" xfId="46" applyNumberFormat="1" applyFont="1" applyAlignment="1">
      <alignment/>
    </xf>
    <xf numFmtId="174" fontId="4" fillId="0" borderId="0" xfId="46" applyNumberFormat="1" applyFont="1" applyAlignment="1">
      <alignment/>
    </xf>
    <xf numFmtId="173" fontId="4" fillId="0" borderId="0" xfId="46" applyNumberFormat="1" applyFont="1" applyAlignment="1">
      <alignment/>
    </xf>
    <xf numFmtId="0" fontId="4" fillId="0" borderId="0" xfId="61" applyFont="1">
      <alignment/>
      <protection/>
    </xf>
    <xf numFmtId="174" fontId="4" fillId="0" borderId="0" xfId="61" applyNumberFormat="1" applyFont="1">
      <alignment/>
      <protection/>
    </xf>
    <xf numFmtId="173" fontId="4" fillId="0" borderId="0" xfId="46" applyNumberFormat="1" applyFont="1" applyAlignment="1">
      <alignment horizontal="center"/>
    </xf>
    <xf numFmtId="172" fontId="4" fillId="0" borderId="0" xfId="61" applyNumberFormat="1" applyFont="1">
      <alignment/>
      <protection/>
    </xf>
    <xf numFmtId="177" fontId="4" fillId="0" borderId="0" xfId="61" applyNumberFormat="1" applyFont="1" applyBorder="1" applyAlignment="1">
      <alignment horizontal="center"/>
      <protection/>
    </xf>
    <xf numFmtId="172" fontId="11" fillId="0" borderId="0" xfId="46" applyNumberFormat="1" applyFont="1" applyBorder="1" applyAlignment="1">
      <alignment horizontal="center"/>
    </xf>
    <xf numFmtId="1" fontId="7" fillId="0" borderId="10" xfId="69" applyNumberFormat="1" applyFont="1" applyBorder="1" applyAlignment="1">
      <alignment horizontal="right"/>
      <protection/>
    </xf>
    <xf numFmtId="174" fontId="7" fillId="0" borderId="0" xfId="61" applyNumberFormat="1" applyFont="1" applyAlignment="1">
      <alignment/>
      <protection/>
    </xf>
    <xf numFmtId="174" fontId="0" fillId="0" borderId="0" xfId="0" applyNumberFormat="1" applyFont="1" applyAlignment="1">
      <alignment/>
    </xf>
    <xf numFmtId="175" fontId="5" fillId="33" borderId="30" xfId="62" applyNumberFormat="1" applyFont="1" applyFill="1" applyBorder="1" applyAlignment="1">
      <alignment vertical="center"/>
      <protection/>
    </xf>
    <xf numFmtId="3" fontId="5" fillId="33" borderId="30" xfId="62" applyNumberFormat="1" applyFont="1" applyFill="1" applyBorder="1" applyAlignment="1">
      <alignment vertical="center"/>
      <protection/>
    </xf>
    <xf numFmtId="0" fontId="24" fillId="0" borderId="10" xfId="61" applyFont="1" applyBorder="1">
      <alignment/>
      <protection/>
    </xf>
    <xf numFmtId="178" fontId="5" fillId="35" borderId="13" xfId="42" applyNumberFormat="1" applyFont="1" applyFill="1" applyBorder="1" applyAlignment="1">
      <alignment/>
    </xf>
    <xf numFmtId="175" fontId="7" fillId="0" borderId="0" xfId="62" applyNumberFormat="1" applyFont="1" applyAlignment="1">
      <alignment horizontal="right"/>
      <protection/>
    </xf>
    <xf numFmtId="177" fontId="5" fillId="0" borderId="29" xfId="42" applyNumberFormat="1" applyFont="1" applyBorder="1" applyAlignment="1">
      <alignment horizontal="center"/>
    </xf>
    <xf numFmtId="174" fontId="5" fillId="0" borderId="13" xfId="47" applyNumberFormat="1" applyFont="1" applyBorder="1" applyAlignment="1">
      <alignment horizontal="center" vertical="center"/>
    </xf>
    <xf numFmtId="174" fontId="5" fillId="0" borderId="13" xfId="62" applyNumberFormat="1" applyFont="1" applyBorder="1" applyAlignment="1">
      <alignment horizontal="center" vertical="center"/>
      <protection/>
    </xf>
    <xf numFmtId="0" fontId="24" fillId="0" borderId="0" xfId="62" applyFont="1" applyBorder="1" applyAlignment="1">
      <alignment vertical="top" wrapText="1"/>
      <protection/>
    </xf>
    <xf numFmtId="0" fontId="24" fillId="0" borderId="0" xfId="62" applyFont="1" applyBorder="1" applyAlignment="1">
      <alignment horizontal="left" vertical="top" wrapText="1"/>
      <protection/>
    </xf>
    <xf numFmtId="178" fontId="24" fillId="0" borderId="28" xfId="42" applyNumberFormat="1" applyFont="1" applyFill="1" applyBorder="1" applyAlignment="1">
      <alignment vertical="top"/>
    </xf>
    <xf numFmtId="178" fontId="24" fillId="0" borderId="28" xfId="42" applyNumberFormat="1" applyFont="1" applyFill="1" applyBorder="1" applyAlignment="1">
      <alignment horizontal="right" vertical="top"/>
    </xf>
    <xf numFmtId="177" fontId="24" fillId="0" borderId="28" xfId="42" applyNumberFormat="1" applyFont="1" applyFill="1" applyBorder="1" applyAlignment="1">
      <alignment horizontal="right" vertical="top" wrapText="1"/>
    </xf>
    <xf numFmtId="0" fontId="24" fillId="0" borderId="28" xfId="0" applyFont="1" applyBorder="1" applyAlignment="1">
      <alignment vertical="top" wrapText="1"/>
    </xf>
    <xf numFmtId="177" fontId="24" fillId="0" borderId="28" xfId="42" applyNumberFormat="1" applyFont="1" applyBorder="1" applyAlignment="1">
      <alignment horizontal="right" vertical="top"/>
    </xf>
    <xf numFmtId="0" fontId="24" fillId="0" borderId="28" xfId="61" applyFont="1" applyBorder="1" applyAlignment="1">
      <alignment vertical="top" wrapText="1"/>
      <protection/>
    </xf>
    <xf numFmtId="0" fontId="24" fillId="0" borderId="28" xfId="61" applyFont="1" applyFill="1" applyBorder="1" applyAlignment="1">
      <alignment vertical="top" wrapText="1"/>
      <protection/>
    </xf>
    <xf numFmtId="0" fontId="24" fillId="0" borderId="0" xfId="0" applyFont="1" applyBorder="1" applyAlignment="1">
      <alignment/>
    </xf>
    <xf numFmtId="177" fontId="24" fillId="0" borderId="28" xfId="42" applyNumberFormat="1" applyFont="1" applyFill="1" applyBorder="1" applyAlignment="1">
      <alignment horizontal="right" vertical="top"/>
    </xf>
    <xf numFmtId="177" fontId="24" fillId="0" borderId="28" xfId="42" applyNumberFormat="1" applyFont="1" applyBorder="1" applyAlignment="1">
      <alignment horizontal="right" vertical="top" wrapText="1"/>
    </xf>
    <xf numFmtId="0" fontId="24" fillId="0" borderId="28" xfId="61" applyFont="1" applyFill="1" applyBorder="1" applyAlignment="1" quotePrefix="1">
      <alignment horizontal="left" vertical="top" wrapText="1"/>
      <protection/>
    </xf>
    <xf numFmtId="173" fontId="24" fillId="0" borderId="0" xfId="46" applyNumberFormat="1" applyFont="1" applyBorder="1" applyAlignment="1">
      <alignment horizontal="right" vertical="top"/>
    </xf>
    <xf numFmtId="177" fontId="4" fillId="0" borderId="28" xfId="42" applyNumberFormat="1" applyFont="1" applyBorder="1" applyAlignment="1">
      <alignment horizontal="right"/>
    </xf>
    <xf numFmtId="177" fontId="24" fillId="0" borderId="0" xfId="42" applyNumberFormat="1" applyFont="1" applyBorder="1" applyAlignment="1">
      <alignment horizontal="right" vertical="top"/>
    </xf>
    <xf numFmtId="172" fontId="24" fillId="0" borderId="0" xfId="46" applyNumberFormat="1" applyFont="1" applyBorder="1" applyAlignment="1">
      <alignment horizontal="right" vertical="top"/>
    </xf>
    <xf numFmtId="172" fontId="5" fillId="0" borderId="0" xfId="46" applyNumberFormat="1" applyFont="1" applyBorder="1" applyAlignment="1">
      <alignment horizontal="center"/>
    </xf>
    <xf numFmtId="0" fontId="24" fillId="0" borderId="28" xfId="62" applyFont="1" applyBorder="1" applyAlignment="1">
      <alignment horizontal="center" vertical="top"/>
      <protection/>
    </xf>
    <xf numFmtId="175" fontId="24" fillId="0" borderId="28" xfId="47" applyNumberFormat="1" applyFont="1" applyBorder="1" applyAlignment="1">
      <alignment vertical="top"/>
    </xf>
    <xf numFmtId="0" fontId="24" fillId="0" borderId="28" xfId="62" applyFont="1" applyBorder="1" applyAlignment="1">
      <alignment vertical="top"/>
      <protection/>
    </xf>
    <xf numFmtId="174" fontId="24" fillId="0" borderId="28" xfId="62" applyNumberFormat="1" applyFont="1" applyBorder="1" applyAlignment="1">
      <alignment vertical="top"/>
      <protection/>
    </xf>
    <xf numFmtId="171" fontId="2" fillId="0" borderId="0" xfId="0" applyNumberFormat="1" applyFont="1" applyAlignment="1">
      <alignment/>
    </xf>
    <xf numFmtId="178" fontId="24" fillId="0" borderId="28" xfId="42" applyNumberFormat="1" applyFont="1" applyBorder="1" applyAlignment="1">
      <alignment vertical="top"/>
    </xf>
    <xf numFmtId="177" fontId="5" fillId="0" borderId="13" xfId="42" applyNumberFormat="1" applyFont="1" applyBorder="1" applyAlignment="1">
      <alignment horizontal="center"/>
    </xf>
    <xf numFmtId="174" fontId="11" fillId="0" borderId="0" xfId="62" applyNumberFormat="1" applyFont="1" applyBorder="1" applyAlignment="1">
      <alignment horizontal="right"/>
      <protection/>
    </xf>
    <xf numFmtId="178" fontId="24" fillId="0" borderId="28" xfId="42" applyNumberFormat="1" applyFont="1" applyBorder="1" applyAlignment="1">
      <alignment horizontal="right" vertical="top"/>
    </xf>
    <xf numFmtId="177" fontId="24" fillId="0" borderId="28" xfId="42" applyNumberFormat="1" applyFont="1" applyBorder="1" applyAlignment="1">
      <alignment horizontal="right"/>
    </xf>
    <xf numFmtId="178" fontId="24" fillId="0" borderId="28" xfId="42" applyNumberFormat="1" applyFont="1" applyBorder="1" applyAlignment="1">
      <alignment vertical="top" wrapText="1"/>
    </xf>
    <xf numFmtId="178" fontId="24" fillId="0" borderId="28" xfId="42" applyNumberFormat="1" applyFont="1" applyBorder="1" applyAlignment="1">
      <alignment/>
    </xf>
    <xf numFmtId="0" fontId="24" fillId="0" borderId="28" xfId="0" applyFont="1" applyBorder="1" applyAlignment="1">
      <alignment vertical="top"/>
    </xf>
    <xf numFmtId="177" fontId="24" fillId="0" borderId="28" xfId="42" applyNumberFormat="1" applyFont="1" applyBorder="1" applyAlignment="1">
      <alignment vertical="top"/>
    </xf>
    <xf numFmtId="178" fontId="24" fillId="0" borderId="28" xfId="42" applyNumberFormat="1" applyFont="1" applyBorder="1" applyAlignment="1">
      <alignment horizontal="right" vertical="top" wrapText="1"/>
    </xf>
    <xf numFmtId="178" fontId="4" fillId="0" borderId="28" xfId="42" applyNumberFormat="1" applyFont="1" applyFill="1" applyBorder="1" applyAlignment="1">
      <alignment horizontal="right" vertical="top"/>
    </xf>
    <xf numFmtId="177" fontId="4" fillId="0" borderId="28" xfId="42" applyNumberFormat="1" applyFont="1" applyFill="1" applyBorder="1" applyAlignment="1">
      <alignment horizontal="right" vertical="top" wrapText="1"/>
    </xf>
    <xf numFmtId="178" fontId="4" fillId="0" borderId="28" xfId="42" applyNumberFormat="1" applyFont="1" applyFill="1" applyBorder="1" applyAlignment="1">
      <alignment vertical="top"/>
    </xf>
    <xf numFmtId="177" fontId="4" fillId="0" borderId="28" xfId="42" applyNumberFormat="1" applyFont="1" applyFill="1" applyBorder="1" applyAlignment="1">
      <alignment horizontal="right" vertical="top"/>
    </xf>
    <xf numFmtId="173" fontId="7" fillId="0" borderId="19" xfId="69" applyNumberFormat="1" applyFont="1" applyBorder="1" applyAlignment="1">
      <alignment vertical="center"/>
      <protection/>
    </xf>
    <xf numFmtId="172" fontId="7" fillId="0" borderId="32" xfId="69" applyNumberFormat="1" applyFont="1" applyBorder="1" applyAlignment="1">
      <alignment horizontal="right" vertical="center"/>
      <protection/>
    </xf>
    <xf numFmtId="0" fontId="16" fillId="0" borderId="0" xfId="61" applyFont="1" applyBorder="1" applyAlignment="1">
      <alignment horizontal="right"/>
      <protection/>
    </xf>
    <xf numFmtId="174" fontId="16" fillId="0" borderId="0" xfId="61" applyNumberFormat="1" applyFont="1" applyBorder="1" applyAlignment="1">
      <alignment horizontal="right"/>
      <protection/>
    </xf>
    <xf numFmtId="0" fontId="16" fillId="0" borderId="0" xfId="61" applyFont="1" applyBorder="1" applyAlignment="1">
      <alignment horizontal="center"/>
      <protection/>
    </xf>
    <xf numFmtId="174" fontId="16" fillId="0" borderId="0" xfId="61" applyNumberFormat="1" applyFont="1" applyBorder="1" applyAlignment="1">
      <alignment horizontal="center"/>
      <protection/>
    </xf>
    <xf numFmtId="0" fontId="16" fillId="0" borderId="10" xfId="61" applyFont="1" applyBorder="1" applyAlignment="1">
      <alignment horizontal="center"/>
      <protection/>
    </xf>
    <xf numFmtId="174" fontId="16" fillId="0" borderId="10" xfId="61" applyNumberFormat="1" applyFont="1" applyBorder="1" applyAlignment="1">
      <alignment horizontal="center"/>
      <protection/>
    </xf>
    <xf numFmtId="177" fontId="16" fillId="0" borderId="0" xfId="42" applyNumberFormat="1" applyFont="1" applyBorder="1" applyAlignment="1">
      <alignment horizontal="right"/>
    </xf>
    <xf numFmtId="177" fontId="0" fillId="0" borderId="0" xfId="42" applyNumberFormat="1" applyFont="1" applyAlignment="1">
      <alignment/>
    </xf>
    <xf numFmtId="177" fontId="26" fillId="0" borderId="12" xfId="42" applyNumberFormat="1" applyFont="1" applyBorder="1" applyAlignment="1">
      <alignment horizontal="center"/>
    </xf>
    <xf numFmtId="177" fontId="5" fillId="0" borderId="12" xfId="42" applyNumberFormat="1" applyFont="1" applyBorder="1" applyAlignment="1">
      <alignment/>
    </xf>
    <xf numFmtId="177" fontId="5" fillId="0" borderId="0" xfId="42" applyNumberFormat="1" applyFont="1" applyBorder="1" applyAlignment="1">
      <alignment/>
    </xf>
    <xf numFmtId="177" fontId="4" fillId="0" borderId="0" xfId="42" applyNumberFormat="1" applyFont="1" applyAlignment="1">
      <alignment horizontal="right"/>
    </xf>
    <xf numFmtId="177" fontId="7" fillId="0" borderId="0" xfId="42" applyNumberFormat="1" applyFont="1" applyAlignment="1">
      <alignment horizontal="right"/>
    </xf>
    <xf numFmtId="177" fontId="26" fillId="0" borderId="12" xfId="42" applyNumberFormat="1" applyFont="1" applyBorder="1" applyAlignment="1">
      <alignment horizontal="right"/>
    </xf>
    <xf numFmtId="177" fontId="5" fillId="0" borderId="12" xfId="42" applyNumberFormat="1" applyFont="1" applyBorder="1" applyAlignment="1">
      <alignment horizontal="right"/>
    </xf>
    <xf numFmtId="177" fontId="4" fillId="0" borderId="28" xfId="42" applyNumberFormat="1" applyFont="1" applyBorder="1" applyAlignment="1">
      <alignment horizontal="right" vertical="top" wrapText="1"/>
    </xf>
    <xf numFmtId="177" fontId="11" fillId="0" borderId="0" xfId="42" applyNumberFormat="1" applyFont="1" applyBorder="1" applyAlignment="1">
      <alignment horizontal="center"/>
    </xf>
    <xf numFmtId="177" fontId="11" fillId="0" borderId="10" xfId="42" applyNumberFormat="1" applyFont="1" applyBorder="1" applyAlignment="1">
      <alignment horizontal="center"/>
    </xf>
    <xf numFmtId="177" fontId="4" fillId="0" borderId="0" xfId="42" applyNumberFormat="1" applyFont="1" applyBorder="1" applyAlignment="1">
      <alignment/>
    </xf>
    <xf numFmtId="177" fontId="0" fillId="0" borderId="0" xfId="42" applyNumberFormat="1" applyFont="1" applyAlignment="1">
      <alignment/>
    </xf>
    <xf numFmtId="177" fontId="24" fillId="0" borderId="0" xfId="42" applyNumberFormat="1" applyFont="1" applyBorder="1" applyAlignment="1">
      <alignment/>
    </xf>
    <xf numFmtId="177" fontId="7" fillId="0" borderId="0" xfId="42" applyNumberFormat="1" applyFont="1" applyAlignment="1">
      <alignment/>
    </xf>
    <xf numFmtId="177" fontId="7" fillId="0" borderId="0" xfId="42" applyNumberFormat="1" applyFont="1" applyAlignment="1">
      <alignment/>
    </xf>
    <xf numFmtId="177" fontId="5" fillId="35" borderId="13" xfId="42" applyNumberFormat="1" applyFont="1" applyFill="1" applyBorder="1" applyAlignment="1">
      <alignment horizontal="center"/>
    </xf>
    <xf numFmtId="177" fontId="0" fillId="0" borderId="0" xfId="42" applyNumberFormat="1" applyFont="1" applyAlignment="1">
      <alignment/>
    </xf>
    <xf numFmtId="172" fontId="7" fillId="0" borderId="13" xfId="69" applyNumberFormat="1" applyFont="1" applyBorder="1" applyAlignment="1">
      <alignment vertical="center"/>
      <protection/>
    </xf>
    <xf numFmtId="173" fontId="7" fillId="0" borderId="13" xfId="69" applyNumberFormat="1" applyFont="1" applyBorder="1" applyAlignment="1">
      <alignment vertical="center"/>
      <protection/>
    </xf>
    <xf numFmtId="172" fontId="7" fillId="0" borderId="32" xfId="69" applyNumberFormat="1" applyFont="1" applyBorder="1" applyAlignment="1">
      <alignment vertical="center"/>
      <protection/>
    </xf>
    <xf numFmtId="0" fontId="24" fillId="0" borderId="28" xfId="61" applyFont="1" applyBorder="1" applyAlignment="1">
      <alignment vertical="top"/>
      <protection/>
    </xf>
    <xf numFmtId="0" fontId="24" fillId="0" borderId="0" xfId="61" applyFont="1" applyBorder="1" applyAlignment="1">
      <alignment horizontal="right"/>
      <protection/>
    </xf>
    <xf numFmtId="174" fontId="24" fillId="0" borderId="0" xfId="46" applyNumberFormat="1" applyFont="1" applyBorder="1" applyAlignment="1">
      <alignment horizontal="right"/>
    </xf>
    <xf numFmtId="1" fontId="24" fillId="0" borderId="0" xfId="61" applyNumberFormat="1" applyFont="1" applyBorder="1" applyAlignment="1">
      <alignment horizontal="right"/>
      <protection/>
    </xf>
    <xf numFmtId="174" fontId="24" fillId="0" borderId="0" xfId="61" applyNumberFormat="1" applyFont="1" applyBorder="1" applyAlignment="1">
      <alignment horizontal="right"/>
      <protection/>
    </xf>
    <xf numFmtId="0" fontId="24" fillId="0" borderId="11" xfId="61" applyFont="1" applyBorder="1" applyAlignment="1">
      <alignment horizontal="right"/>
      <protection/>
    </xf>
    <xf numFmtId="174" fontId="24" fillId="0" borderId="11" xfId="46" applyNumberFormat="1" applyFont="1" applyBorder="1" applyAlignment="1">
      <alignment/>
    </xf>
    <xf numFmtId="173" fontId="24" fillId="0" borderId="11" xfId="46" applyNumberFormat="1" applyFont="1" applyBorder="1" applyAlignment="1">
      <alignment/>
    </xf>
    <xf numFmtId="173" fontId="24" fillId="0" borderId="11" xfId="46" applyNumberFormat="1" applyFont="1" applyBorder="1" applyAlignment="1">
      <alignment horizontal="center"/>
    </xf>
    <xf numFmtId="0" fontId="24" fillId="0" borderId="0" xfId="61" applyFont="1">
      <alignment/>
      <protection/>
    </xf>
    <xf numFmtId="173" fontId="24" fillId="0" borderId="0" xfId="46" applyNumberFormat="1" applyFont="1" applyBorder="1" applyAlignment="1">
      <alignment horizontal="center"/>
    </xf>
    <xf numFmtId="172" fontId="24" fillId="0" borderId="0" xfId="46" applyNumberFormat="1" applyFont="1" applyBorder="1" applyAlignment="1">
      <alignment horizontal="right"/>
    </xf>
    <xf numFmtId="0" fontId="4" fillId="0" borderId="0" xfId="46" applyNumberFormat="1" applyFont="1" applyAlignment="1">
      <alignment/>
    </xf>
    <xf numFmtId="0" fontId="24" fillId="0" borderId="28" xfId="0" applyFont="1" applyBorder="1" applyAlignment="1">
      <alignment wrapText="1"/>
    </xf>
    <xf numFmtId="0" fontId="24" fillId="0" borderId="28" xfId="61" applyFont="1" applyBorder="1" applyAlignment="1">
      <alignment horizontal="left"/>
      <protection/>
    </xf>
    <xf numFmtId="0" fontId="24" fillId="0" borderId="28" xfId="61" applyFont="1" applyBorder="1">
      <alignment/>
      <protection/>
    </xf>
    <xf numFmtId="0" fontId="71" fillId="0" borderId="28" xfId="61" applyFont="1" applyBorder="1">
      <alignment/>
      <protection/>
    </xf>
    <xf numFmtId="0" fontId="72" fillId="0" borderId="28" xfId="61" applyFont="1" applyBorder="1" applyAlignment="1" quotePrefix="1">
      <alignment horizontal="left"/>
      <protection/>
    </xf>
    <xf numFmtId="1" fontId="11" fillId="0" borderId="0" xfId="46" applyNumberFormat="1" applyFont="1" applyBorder="1" applyAlignment="1">
      <alignment horizontal="right"/>
    </xf>
    <xf numFmtId="175" fontId="10" fillId="0" borderId="0" xfId="62" applyNumberFormat="1" applyFont="1" applyAlignment="1">
      <alignment horizontal="center"/>
      <protection/>
    </xf>
    <xf numFmtId="173" fontId="5" fillId="0" borderId="0" xfId="47" applyNumberFormat="1" applyFont="1" applyFill="1" applyBorder="1" applyAlignment="1">
      <alignment vertical="center"/>
    </xf>
    <xf numFmtId="171" fontId="5" fillId="0" borderId="12" xfId="61" applyNumberFormat="1" applyFont="1" applyBorder="1">
      <alignment/>
      <protection/>
    </xf>
    <xf numFmtId="179" fontId="16" fillId="0" borderId="0" xfId="61" applyNumberFormat="1" applyFont="1" applyBorder="1" applyAlignment="1">
      <alignment horizontal="right"/>
      <protection/>
    </xf>
    <xf numFmtId="172" fontId="5" fillId="0" borderId="0" xfId="46" applyNumberFormat="1" applyFont="1" applyBorder="1" applyAlignment="1">
      <alignment horizontal="right"/>
    </xf>
    <xf numFmtId="174" fontId="5" fillId="0" borderId="0" xfId="46" applyNumberFormat="1" applyFont="1" applyBorder="1" applyAlignment="1">
      <alignment horizontal="right"/>
    </xf>
    <xf numFmtId="0" fontId="71" fillId="0" borderId="0" xfId="62" applyFont="1" applyBorder="1">
      <alignment/>
      <protection/>
    </xf>
    <xf numFmtId="0" fontId="71" fillId="0" borderId="0" xfId="62" applyFont="1" applyBorder="1" quotePrefix="1">
      <alignment/>
      <protection/>
    </xf>
    <xf numFmtId="175" fontId="5" fillId="33" borderId="30" xfId="62" applyNumberFormat="1" applyFont="1" applyFill="1" applyBorder="1" applyAlignment="1">
      <alignment horizontal="center" vertical="center"/>
      <protection/>
    </xf>
    <xf numFmtId="0" fontId="5" fillId="0" borderId="0" xfId="61" applyFont="1" applyBorder="1" applyAlignment="1">
      <alignment vertical="top" wrapText="1"/>
      <protection/>
    </xf>
    <xf numFmtId="0" fontId="11" fillId="0" borderId="13" xfId="61" applyFont="1" applyBorder="1" applyAlignment="1">
      <alignment vertical="top"/>
      <protection/>
    </xf>
    <xf numFmtId="0" fontId="11" fillId="0" borderId="13" xfId="61" applyFont="1" applyBorder="1" applyAlignment="1">
      <alignment horizontal="center" vertical="top"/>
      <protection/>
    </xf>
    <xf numFmtId="0" fontId="25" fillId="0" borderId="0" xfId="0" applyFont="1" applyAlignment="1">
      <alignment vertical="top"/>
    </xf>
    <xf numFmtId="177" fontId="25" fillId="0" borderId="0" xfId="42" applyNumberFormat="1" applyFont="1" applyAlignment="1">
      <alignment/>
    </xf>
    <xf numFmtId="174" fontId="25" fillId="0" borderId="0" xfId="0" applyNumberFormat="1" applyFont="1" applyAlignment="1">
      <alignment vertical="top"/>
    </xf>
    <xf numFmtId="178" fontId="4" fillId="0" borderId="0" xfId="42" applyNumberFormat="1" applyFont="1" applyBorder="1" applyAlignment="1">
      <alignment horizontal="center"/>
    </xf>
    <xf numFmtId="172" fontId="4" fillId="0" borderId="0" xfId="46" applyNumberFormat="1" applyFont="1" applyBorder="1" applyAlignment="1">
      <alignment horizontal="right"/>
    </xf>
    <xf numFmtId="174" fontId="4" fillId="0" borderId="0" xfId="46" applyNumberFormat="1" applyFont="1" applyBorder="1" applyAlignment="1">
      <alignment horizontal="right"/>
    </xf>
    <xf numFmtId="173" fontId="4" fillId="0" borderId="0" xfId="46" applyNumberFormat="1" applyFont="1" applyBorder="1" applyAlignment="1">
      <alignment horizontal="right"/>
    </xf>
    <xf numFmtId="0" fontId="11" fillId="0" borderId="28" xfId="61" applyFont="1" applyBorder="1" applyAlignment="1">
      <alignment wrapText="1"/>
      <protection/>
    </xf>
    <xf numFmtId="0" fontId="24" fillId="0" borderId="0" xfId="61" applyFont="1" applyBorder="1" applyAlignment="1">
      <alignment vertical="top" wrapText="1"/>
      <protection/>
    </xf>
    <xf numFmtId="178" fontId="5" fillId="0" borderId="28" xfId="42" applyNumberFormat="1" applyFont="1" applyBorder="1" applyAlignment="1">
      <alignment horizontal="right"/>
    </xf>
    <xf numFmtId="0" fontId="4" fillId="0" borderId="28" xfId="61" applyFont="1" applyBorder="1" applyAlignment="1">
      <alignment horizontal="center" vertical="top"/>
      <protection/>
    </xf>
    <xf numFmtId="0" fontId="4" fillId="0" borderId="28" xfId="0" applyFont="1" applyBorder="1" applyAlignment="1">
      <alignment/>
    </xf>
    <xf numFmtId="0" fontId="4" fillId="33" borderId="30" xfId="61" applyFont="1" applyFill="1" applyBorder="1" applyAlignment="1">
      <alignment horizontal="center" vertical="top"/>
      <protection/>
    </xf>
    <xf numFmtId="178" fontId="5" fillId="33" borderId="30" xfId="42" applyNumberFormat="1" applyFont="1" applyFill="1" applyBorder="1" applyAlignment="1">
      <alignment/>
    </xf>
    <xf numFmtId="177" fontId="5" fillId="33" borderId="30" xfId="42" applyNumberFormat="1" applyFont="1" applyFill="1" applyBorder="1" applyAlignment="1">
      <alignment/>
    </xf>
    <xf numFmtId="0" fontId="4" fillId="0" borderId="27" xfId="61" applyFont="1" applyBorder="1" applyAlignment="1">
      <alignment horizontal="center" vertical="top"/>
      <protection/>
    </xf>
    <xf numFmtId="178" fontId="5" fillId="0" borderId="28" xfId="42" applyNumberFormat="1" applyFont="1" applyBorder="1" applyAlignment="1">
      <alignment/>
    </xf>
    <xf numFmtId="178" fontId="24" fillId="0" borderId="28" xfId="42" applyNumberFormat="1" applyFont="1" applyBorder="1" applyAlignment="1">
      <alignment horizontal="right"/>
    </xf>
    <xf numFmtId="0" fontId="24" fillId="0" borderId="28" xfId="61" applyFont="1" applyBorder="1" applyAlignment="1">
      <alignment horizontal="center" vertical="top" wrapText="1"/>
      <protection/>
    </xf>
    <xf numFmtId="0" fontId="24" fillId="0" borderId="28" xfId="61" applyFont="1" applyBorder="1" applyAlignment="1">
      <alignment horizontal="left" vertical="top" wrapText="1"/>
      <protection/>
    </xf>
    <xf numFmtId="177" fontId="11" fillId="0" borderId="28" xfId="42" applyNumberFormat="1" applyFont="1" applyBorder="1" applyAlignment="1">
      <alignment horizontal="right" vertical="top" wrapText="1"/>
    </xf>
    <xf numFmtId="0" fontId="24" fillId="0" borderId="28" xfId="0" applyFont="1" applyBorder="1" applyAlignment="1">
      <alignment/>
    </xf>
    <xf numFmtId="0" fontId="24" fillId="0" borderId="28" xfId="0" applyFont="1" applyBorder="1" applyAlignment="1" quotePrefix="1">
      <alignment horizontal="left"/>
    </xf>
    <xf numFmtId="0" fontId="5" fillId="33" borderId="27" xfId="61" applyFont="1" applyFill="1" applyBorder="1">
      <alignment/>
      <protection/>
    </xf>
    <xf numFmtId="178" fontId="5" fillId="33" borderId="27" xfId="42" applyNumberFormat="1" applyFont="1" applyFill="1" applyBorder="1" applyAlignment="1">
      <alignment horizontal="right"/>
    </xf>
    <xf numFmtId="177" fontId="5" fillId="33" borderId="27" xfId="42" applyNumberFormat="1" applyFont="1" applyFill="1" applyBorder="1" applyAlignment="1">
      <alignment horizontal="right"/>
    </xf>
    <xf numFmtId="0" fontId="24" fillId="0" borderId="28" xfId="61" applyFont="1" applyBorder="1" applyAlignment="1">
      <alignment horizontal="center" vertical="top"/>
      <protection/>
    </xf>
    <xf numFmtId="0" fontId="24" fillId="0" borderId="35" xfId="0" applyFont="1" applyBorder="1" applyAlignment="1">
      <alignment vertical="top" wrapText="1"/>
    </xf>
    <xf numFmtId="0" fontId="5" fillId="0" borderId="27" xfId="61" applyFont="1" applyBorder="1" applyAlignment="1">
      <alignment vertical="top" wrapText="1"/>
      <protection/>
    </xf>
    <xf numFmtId="0" fontId="4" fillId="33" borderId="27" xfId="61" applyFont="1" applyFill="1" applyBorder="1" applyAlignment="1">
      <alignment horizontal="center" vertical="top"/>
      <protection/>
    </xf>
    <xf numFmtId="177" fontId="5" fillId="33" borderId="27" xfId="42" applyNumberFormat="1" applyFont="1" applyFill="1" applyBorder="1" applyAlignment="1">
      <alignment/>
    </xf>
    <xf numFmtId="0" fontId="5" fillId="0" borderId="27" xfId="61" applyFont="1" applyBorder="1" applyAlignment="1">
      <alignment horizontal="center" vertical="top"/>
      <protection/>
    </xf>
    <xf numFmtId="178" fontId="5" fillId="0" borderId="27" xfId="42" applyNumberFormat="1" applyFont="1" applyFill="1" applyBorder="1" applyAlignment="1">
      <alignment horizontal="right"/>
    </xf>
    <xf numFmtId="178" fontId="5" fillId="0" borderId="27" xfId="42" applyNumberFormat="1" applyFont="1" applyFill="1" applyBorder="1" applyAlignment="1">
      <alignment/>
    </xf>
    <xf numFmtId="0" fontId="5" fillId="0" borderId="28" xfId="0" applyFont="1" applyBorder="1" applyAlignment="1">
      <alignment/>
    </xf>
    <xf numFmtId="0" fontId="5" fillId="0" borderId="27" xfId="61" applyFont="1" applyBorder="1" applyAlignment="1">
      <alignment horizontal="left"/>
      <protection/>
    </xf>
    <xf numFmtId="0" fontId="19" fillId="0" borderId="0" xfId="62" applyFont="1" applyBorder="1" applyAlignment="1">
      <alignment horizontal="left"/>
      <protection/>
    </xf>
    <xf numFmtId="0" fontId="24" fillId="0" borderId="0" xfId="0" applyFont="1" applyAlignment="1">
      <alignment/>
    </xf>
    <xf numFmtId="173" fontId="5" fillId="33" borderId="33" xfId="42" applyNumberFormat="1" applyFont="1" applyFill="1" applyBorder="1" applyAlignment="1">
      <alignment horizontal="right" vertical="center"/>
    </xf>
    <xf numFmtId="173" fontId="11" fillId="0" borderId="35" xfId="62" applyNumberFormat="1" applyFont="1" applyBorder="1" applyAlignment="1">
      <alignment horizontal="center" vertical="top" wrapText="1"/>
      <protection/>
    </xf>
    <xf numFmtId="172" fontId="5" fillId="33" borderId="30" xfId="62" applyNumberFormat="1" applyFont="1" applyFill="1" applyBorder="1" applyAlignment="1">
      <alignment vertical="center"/>
      <protection/>
    </xf>
    <xf numFmtId="173" fontId="5" fillId="33" borderId="30" xfId="62" applyNumberFormat="1" applyFont="1" applyFill="1" applyBorder="1" applyAlignment="1">
      <alignment vertical="center"/>
      <protection/>
    </xf>
    <xf numFmtId="173" fontId="4" fillId="0" borderId="0" xfId="46" applyNumberFormat="1" applyFont="1" applyBorder="1" applyAlignment="1">
      <alignment/>
    </xf>
    <xf numFmtId="174" fontId="4" fillId="0" borderId="0" xfId="46" applyNumberFormat="1" applyFont="1" applyBorder="1" applyAlignment="1">
      <alignment/>
    </xf>
    <xf numFmtId="173" fontId="5" fillId="0" borderId="0" xfId="46" applyNumberFormat="1" applyFont="1" applyBorder="1" applyAlignment="1">
      <alignment horizontal="right"/>
    </xf>
    <xf numFmtId="177" fontId="4" fillId="0" borderId="0" xfId="42" applyNumberFormat="1" applyFont="1" applyBorder="1" applyAlignment="1">
      <alignment horizontal="right"/>
    </xf>
    <xf numFmtId="174" fontId="4" fillId="0" borderId="0" xfId="61" applyNumberFormat="1" applyFont="1" applyBorder="1" applyAlignment="1">
      <alignment horizontal="right"/>
      <protection/>
    </xf>
    <xf numFmtId="41" fontId="4" fillId="0" borderId="0" xfId="61" applyNumberFormat="1" applyFont="1" applyBorder="1" applyAlignment="1">
      <alignment horizontal="right"/>
      <protection/>
    </xf>
    <xf numFmtId="0" fontId="4" fillId="0" borderId="0" xfId="61" applyFont="1" applyBorder="1" applyAlignment="1">
      <alignment horizontal="right"/>
      <protection/>
    </xf>
    <xf numFmtId="172" fontId="5" fillId="0" borderId="12" xfId="61" applyNumberFormat="1" applyFont="1" applyBorder="1">
      <alignment/>
      <protection/>
    </xf>
    <xf numFmtId="173" fontId="5" fillId="0" borderId="12" xfId="61" applyNumberFormat="1" applyFont="1" applyBorder="1">
      <alignment/>
      <protection/>
    </xf>
    <xf numFmtId="1" fontId="5" fillId="0" borderId="10" xfId="46" applyNumberFormat="1" applyFont="1" applyBorder="1" applyAlignment="1">
      <alignment horizontal="right"/>
    </xf>
    <xf numFmtId="174" fontId="5" fillId="0" borderId="10" xfId="46" applyNumberFormat="1" applyFont="1" applyBorder="1" applyAlignment="1">
      <alignment horizontal="right"/>
    </xf>
    <xf numFmtId="172" fontId="5" fillId="0" borderId="33" xfId="47" applyNumberFormat="1" applyFont="1" applyBorder="1" applyAlignment="1">
      <alignment vertical="top"/>
    </xf>
    <xf numFmtId="3" fontId="5" fillId="33" borderId="30" xfId="62" applyNumberFormat="1" applyFont="1" applyFill="1" applyBorder="1" applyAlignment="1">
      <alignment horizontal="center" vertical="center"/>
      <protection/>
    </xf>
    <xf numFmtId="1" fontId="7" fillId="0" borderId="15" xfId="69" applyNumberFormat="1" applyFont="1" applyBorder="1" applyAlignment="1">
      <alignment horizontal="right"/>
      <protection/>
    </xf>
    <xf numFmtId="1" fontId="7" fillId="0" borderId="0" xfId="69" applyNumberFormat="1" applyFont="1" applyBorder="1" applyAlignment="1">
      <alignment horizontal="right"/>
      <protection/>
    </xf>
    <xf numFmtId="172" fontId="4" fillId="0" borderId="0" xfId="62" applyNumberFormat="1" applyFont="1">
      <alignment/>
      <protection/>
    </xf>
    <xf numFmtId="0" fontId="4" fillId="0" borderId="10" xfId="61" applyFont="1" applyBorder="1" applyAlignment="1">
      <alignment horizontal="right"/>
      <protection/>
    </xf>
    <xf numFmtId="177" fontId="4" fillId="0" borderId="10" xfId="42" applyNumberFormat="1" applyFont="1" applyBorder="1" applyAlignment="1">
      <alignment horizontal="right"/>
    </xf>
    <xf numFmtId="0" fontId="24" fillId="0" borderId="0" xfId="61" applyFont="1" applyBorder="1">
      <alignment/>
      <protection/>
    </xf>
    <xf numFmtId="0" fontId="24" fillId="0" borderId="0" xfId="61" applyFont="1" applyBorder="1" applyAlignment="1">
      <alignment vertical="top"/>
      <protection/>
    </xf>
    <xf numFmtId="0" fontId="4" fillId="0" borderId="28" xfId="61" applyFont="1" applyBorder="1" applyAlignment="1">
      <alignment vertical="top"/>
      <protection/>
    </xf>
    <xf numFmtId="0" fontId="4" fillId="33" borderId="30" xfId="61" applyFont="1" applyFill="1" applyBorder="1" applyAlignment="1">
      <alignment vertical="top"/>
      <protection/>
    </xf>
    <xf numFmtId="0" fontId="4" fillId="0" borderId="27" xfId="61" applyFont="1" applyBorder="1" applyAlignment="1">
      <alignment vertical="top"/>
      <protection/>
    </xf>
    <xf numFmtId="0" fontId="4" fillId="0" borderId="27" xfId="61" applyFont="1" applyBorder="1" applyAlignment="1">
      <alignment vertical="top"/>
      <protection/>
    </xf>
    <xf numFmtId="0" fontId="24" fillId="0" borderId="28" xfId="61" applyFont="1" applyBorder="1" applyAlignment="1">
      <alignment vertical="top"/>
      <protection/>
    </xf>
    <xf numFmtId="0" fontId="4" fillId="33" borderId="27" xfId="61" applyFont="1" applyFill="1" applyBorder="1" applyAlignment="1">
      <alignment vertical="top"/>
      <protection/>
    </xf>
    <xf numFmtId="0" fontId="4" fillId="0" borderId="28" xfId="61" applyFont="1" applyBorder="1" applyAlignment="1">
      <alignment vertical="top" wrapText="1"/>
      <protection/>
    </xf>
    <xf numFmtId="0" fontId="4" fillId="33" borderId="30" xfId="61" applyFont="1" applyFill="1" applyBorder="1" applyAlignment="1">
      <alignment vertical="top"/>
      <protection/>
    </xf>
    <xf numFmtId="0" fontId="5" fillId="0" borderId="27" xfId="61" applyFont="1" applyBorder="1" applyAlignment="1">
      <alignment vertical="top"/>
      <protection/>
    </xf>
    <xf numFmtId="0" fontId="4" fillId="0" borderId="28" xfId="61" applyFont="1" applyBorder="1" applyAlignment="1">
      <alignment vertical="top"/>
      <protection/>
    </xf>
    <xf numFmtId="0" fontId="72" fillId="0" borderId="28" xfId="61" applyFont="1" applyBorder="1" applyAlignment="1">
      <alignment vertical="top"/>
      <protection/>
    </xf>
    <xf numFmtId="0" fontId="4" fillId="0" borderId="17" xfId="0" applyFont="1" applyBorder="1" applyAlignment="1">
      <alignment/>
    </xf>
    <xf numFmtId="0" fontId="24" fillId="0" borderId="17" xfId="0" applyFont="1" applyBorder="1" applyAlignment="1">
      <alignment vertical="top"/>
    </xf>
    <xf numFmtId="0" fontId="0" fillId="0" borderId="35" xfId="0" applyFont="1" applyBorder="1" applyAlignment="1" quotePrefix="1">
      <alignment vertical="top" wrapText="1"/>
    </xf>
    <xf numFmtId="0" fontId="24" fillId="0" borderId="35" xfId="0" applyFont="1" applyBorder="1" applyAlignment="1">
      <alignment vertical="top" wrapText="1"/>
    </xf>
    <xf numFmtId="0" fontId="11" fillId="0" borderId="35" xfId="61" applyFont="1" applyBorder="1" applyAlignment="1">
      <alignment wrapText="1"/>
      <protection/>
    </xf>
    <xf numFmtId="0" fontId="24" fillId="0" borderId="35" xfId="61" applyFont="1" applyBorder="1" applyAlignment="1">
      <alignment vertical="top" wrapText="1"/>
      <protection/>
    </xf>
    <xf numFmtId="0" fontId="24" fillId="0" borderId="35" xfId="61" applyFont="1" applyFill="1" applyBorder="1" applyAlignment="1">
      <alignment vertical="top" wrapText="1"/>
      <protection/>
    </xf>
    <xf numFmtId="0" fontId="24" fillId="0" borderId="27" xfId="61" applyFont="1" applyBorder="1" applyAlignment="1">
      <alignment vertical="top"/>
      <protection/>
    </xf>
    <xf numFmtId="0" fontId="11" fillId="0" borderId="35" xfId="61" applyFont="1" applyBorder="1" applyAlignment="1">
      <alignment vertical="top" wrapText="1"/>
      <protection/>
    </xf>
    <xf numFmtId="0" fontId="24" fillId="0" borderId="35" xfId="61" applyFont="1" applyFill="1" applyBorder="1" applyAlignment="1" quotePrefix="1">
      <alignment horizontal="left" vertical="top" wrapText="1"/>
      <protection/>
    </xf>
    <xf numFmtId="0" fontId="11" fillId="0" borderId="35" xfId="61" applyFont="1" applyBorder="1">
      <alignment/>
      <protection/>
    </xf>
    <xf numFmtId="0" fontId="24" fillId="0" borderId="35" xfId="61" applyFont="1" applyBorder="1" applyAlignment="1">
      <alignment vertical="top"/>
      <protection/>
    </xf>
    <xf numFmtId="0" fontId="24" fillId="0" borderId="35" xfId="61" applyFont="1" applyBorder="1" applyAlignment="1">
      <alignment horizontal="left"/>
      <protection/>
    </xf>
    <xf numFmtId="0" fontId="5" fillId="0" borderId="28" xfId="61" applyFont="1" applyBorder="1" applyAlignment="1">
      <alignment vertical="top"/>
      <protection/>
    </xf>
    <xf numFmtId="0" fontId="11" fillId="0" borderId="35" xfId="61" applyFont="1" applyBorder="1" applyAlignment="1">
      <alignment vertical="top"/>
      <protection/>
    </xf>
    <xf numFmtId="0" fontId="24" fillId="0" borderId="35" xfId="61" applyFont="1" applyBorder="1" applyAlignment="1">
      <alignment vertical="top"/>
      <protection/>
    </xf>
    <xf numFmtId="0" fontId="24" fillId="0" borderId="35" xfId="61" applyFont="1" applyBorder="1" applyAlignment="1">
      <alignment vertical="top" wrapText="1"/>
      <protection/>
    </xf>
    <xf numFmtId="0" fontId="4" fillId="0" borderId="35" xfId="61" applyFont="1" applyBorder="1" applyAlignment="1">
      <alignment vertical="top"/>
      <protection/>
    </xf>
    <xf numFmtId="0" fontId="5" fillId="0" borderId="34" xfId="61" applyFont="1" applyBorder="1">
      <alignment/>
      <protection/>
    </xf>
    <xf numFmtId="0" fontId="4" fillId="0" borderId="34" xfId="61" applyFont="1" applyBorder="1" applyAlignment="1">
      <alignment vertical="top"/>
      <protection/>
    </xf>
    <xf numFmtId="0" fontId="11" fillId="0" borderId="35" xfId="61" applyFont="1" applyBorder="1" applyAlignment="1" quotePrefix="1">
      <alignment vertical="top" wrapText="1"/>
      <protection/>
    </xf>
    <xf numFmtId="0" fontId="5" fillId="0" borderId="28" xfId="61" applyFont="1" applyBorder="1" applyAlignment="1">
      <alignment vertical="top" wrapText="1"/>
      <protection/>
    </xf>
    <xf numFmtId="0" fontId="71" fillId="0" borderId="10" xfId="62" applyFont="1" applyBorder="1">
      <alignment/>
      <protection/>
    </xf>
    <xf numFmtId="0" fontId="0" fillId="0" borderId="0" xfId="0" applyFont="1" applyAlignment="1">
      <alignment/>
    </xf>
    <xf numFmtId="0" fontId="4" fillId="0" borderId="28" xfId="62" applyBorder="1" applyAlignment="1">
      <alignment horizontal="center" vertical="top" wrapText="1"/>
      <protection/>
    </xf>
    <xf numFmtId="3" fontId="11" fillId="0" borderId="28" xfId="62" applyNumberFormat="1" applyFont="1" applyBorder="1" applyAlignment="1">
      <alignment vertical="top"/>
      <protection/>
    </xf>
    <xf numFmtId="0" fontId="24" fillId="0" borderId="28" xfId="62" applyFont="1" applyBorder="1" applyAlignment="1">
      <alignment horizontal="left" vertical="top" wrapText="1"/>
      <protection/>
    </xf>
    <xf numFmtId="0" fontId="30" fillId="0" borderId="28" xfId="62" applyFont="1" applyFill="1" applyBorder="1" applyAlignment="1">
      <alignment horizontal="left" vertical="top" wrapText="1"/>
      <protection/>
    </xf>
    <xf numFmtId="173" fontId="24" fillId="0" borderId="0" xfId="47" applyNumberFormat="1" applyFont="1" applyBorder="1" applyAlignment="1">
      <alignment vertical="center"/>
    </xf>
    <xf numFmtId="174" fontId="24" fillId="0" borderId="0" xfId="47" applyNumberFormat="1" applyFont="1" applyBorder="1" applyAlignment="1">
      <alignment vertical="center"/>
    </xf>
    <xf numFmtId="173" fontId="24" fillId="0" borderId="0" xfId="47" applyNumberFormat="1" applyFont="1" applyBorder="1" applyAlignment="1">
      <alignment horizontal="right" vertical="center"/>
    </xf>
    <xf numFmtId="174" fontId="24" fillId="0" borderId="0" xfId="47" applyNumberFormat="1" applyFont="1" applyBorder="1" applyAlignment="1">
      <alignment horizontal="right" vertical="center"/>
    </xf>
    <xf numFmtId="0" fontId="24" fillId="0" borderId="0" xfId="62" applyFont="1" applyBorder="1" applyAlignment="1">
      <alignment vertical="center"/>
      <protection/>
    </xf>
    <xf numFmtId="0" fontId="24" fillId="0" borderId="0" xfId="0" applyFont="1" applyBorder="1" applyAlignment="1">
      <alignment/>
    </xf>
    <xf numFmtId="174" fontId="24" fillId="0" borderId="0" xfId="0" applyNumberFormat="1" applyFont="1" applyBorder="1" applyAlignment="1">
      <alignment/>
    </xf>
    <xf numFmtId="172" fontId="24" fillId="0" borderId="0" xfId="0" applyNumberFormat="1" applyFont="1" applyBorder="1" applyAlignment="1">
      <alignment/>
    </xf>
    <xf numFmtId="172" fontId="24" fillId="0" borderId="0" xfId="61" applyNumberFormat="1" applyFont="1" applyBorder="1">
      <alignment/>
      <protection/>
    </xf>
    <xf numFmtId="0" fontId="5" fillId="36" borderId="13" xfId="62" applyFont="1" applyFill="1" applyBorder="1" applyAlignment="1">
      <alignment horizontal="center"/>
      <protection/>
    </xf>
    <xf numFmtId="172" fontId="4" fillId="0" borderId="13" xfId="61" applyNumberFormat="1" applyFont="1" applyBorder="1">
      <alignment/>
      <protection/>
    </xf>
    <xf numFmtId="173" fontId="5" fillId="0" borderId="13" xfId="62" applyNumberFormat="1" applyFont="1" applyBorder="1" applyAlignment="1">
      <alignment vertical="center"/>
      <protection/>
    </xf>
    <xf numFmtId="172" fontId="5" fillId="0" borderId="13" xfId="62" applyNumberFormat="1" applyFont="1" applyBorder="1" applyAlignment="1">
      <alignment vertical="center"/>
      <protection/>
    </xf>
    <xf numFmtId="173" fontId="4" fillId="0" borderId="13" xfId="61" applyNumberFormat="1" applyFont="1" applyBorder="1">
      <alignment/>
      <protection/>
    </xf>
    <xf numFmtId="173" fontId="24" fillId="0" borderId="10" xfId="47" applyNumberFormat="1" applyFont="1" applyBorder="1" applyAlignment="1">
      <alignment vertical="center"/>
    </xf>
    <xf numFmtId="174" fontId="24" fillId="0" borderId="10" xfId="47" applyNumberFormat="1" applyFont="1" applyBorder="1" applyAlignment="1">
      <alignment vertical="center"/>
    </xf>
    <xf numFmtId="173" fontId="24" fillId="0" borderId="10" xfId="47" applyNumberFormat="1" applyFont="1" applyBorder="1" applyAlignment="1">
      <alignment horizontal="right" vertical="center"/>
    </xf>
    <xf numFmtId="174" fontId="24" fillId="0" borderId="10" xfId="47" applyNumberFormat="1" applyFont="1" applyBorder="1" applyAlignment="1">
      <alignment horizontal="right" vertical="center"/>
    </xf>
    <xf numFmtId="0" fontId="24" fillId="0" borderId="10" xfId="0" applyFont="1" applyBorder="1" applyAlignment="1">
      <alignment/>
    </xf>
    <xf numFmtId="172" fontId="24" fillId="0" borderId="10" xfId="0" applyNumberFormat="1" applyFont="1" applyBorder="1" applyAlignment="1">
      <alignment/>
    </xf>
    <xf numFmtId="172" fontId="24" fillId="0" borderId="10" xfId="61" applyNumberFormat="1" applyFont="1" applyBorder="1">
      <alignment/>
      <protection/>
    </xf>
    <xf numFmtId="3" fontId="4" fillId="0" borderId="0" xfId="61" applyNumberFormat="1" applyFont="1" applyBorder="1" applyAlignment="1">
      <alignment horizontal="center"/>
      <protection/>
    </xf>
    <xf numFmtId="177" fontId="73" fillId="0" borderId="28" xfId="42" applyNumberFormat="1" applyFont="1" applyBorder="1" applyAlignment="1">
      <alignment horizontal="right" vertical="top"/>
    </xf>
    <xf numFmtId="174" fontId="24" fillId="0" borderId="28" xfId="0" applyNumberFormat="1" applyFont="1" applyBorder="1" applyAlignment="1">
      <alignment/>
    </xf>
    <xf numFmtId="1" fontId="11" fillId="0" borderId="0" xfId="47" applyNumberFormat="1" applyFont="1" applyBorder="1" applyAlignment="1">
      <alignment horizontal="right" vertical="center"/>
    </xf>
    <xf numFmtId="1" fontId="11" fillId="0" borderId="10" xfId="47" applyNumberFormat="1" applyFont="1" applyBorder="1" applyAlignment="1">
      <alignment horizontal="right" vertical="center"/>
    </xf>
    <xf numFmtId="0" fontId="11" fillId="0" borderId="28" xfId="61" applyFont="1" applyFill="1" applyBorder="1" applyAlignment="1" quotePrefix="1">
      <alignment horizontal="left" vertical="top" wrapText="1"/>
      <protection/>
    </xf>
    <xf numFmtId="178" fontId="24" fillId="37" borderId="30" xfId="42" applyNumberFormat="1" applyFont="1" applyFill="1" applyBorder="1" applyAlignment="1">
      <alignment horizontal="right" vertical="top" wrapText="1"/>
    </xf>
    <xf numFmtId="178" fontId="74" fillId="33" borderId="30" xfId="42" applyNumberFormat="1" applyFont="1" applyFill="1" applyBorder="1" applyAlignment="1">
      <alignment horizontal="right"/>
    </xf>
    <xf numFmtId="177" fontId="74" fillId="33" borderId="30" xfId="42" applyNumberFormat="1" applyFont="1" applyFill="1" applyBorder="1" applyAlignment="1">
      <alignment horizontal="right"/>
    </xf>
    <xf numFmtId="0" fontId="74" fillId="0" borderId="27" xfId="61" applyFont="1" applyBorder="1">
      <alignment/>
      <protection/>
    </xf>
    <xf numFmtId="0" fontId="24" fillId="0" borderId="28" xfId="0" applyFont="1" applyBorder="1" applyAlignment="1">
      <alignment horizontal="center" vertical="top"/>
    </xf>
    <xf numFmtId="178" fontId="72" fillId="0" borderId="28" xfId="42" applyNumberFormat="1" applyFont="1" applyBorder="1" applyAlignment="1">
      <alignment horizontal="right" vertical="top"/>
    </xf>
    <xf numFmtId="177" fontId="72" fillId="0" borderId="28" xfId="42" applyNumberFormat="1" applyFont="1" applyBorder="1" applyAlignment="1">
      <alignment horizontal="right" vertical="top"/>
    </xf>
    <xf numFmtId="173" fontId="13" fillId="0" borderId="0" xfId="46" applyNumberFormat="1" applyFont="1" applyBorder="1" applyAlignment="1">
      <alignment/>
    </xf>
    <xf numFmtId="174" fontId="13" fillId="0" borderId="0" xfId="46" applyNumberFormat="1" applyFont="1" applyBorder="1" applyAlignment="1">
      <alignment/>
    </xf>
    <xf numFmtId="174" fontId="13" fillId="0" borderId="15" xfId="46" applyNumberFormat="1" applyFont="1" applyBorder="1" applyAlignment="1">
      <alignment/>
    </xf>
    <xf numFmtId="174" fontId="13" fillId="0" borderId="17" xfId="46" applyNumberFormat="1" applyFont="1" applyBorder="1" applyAlignment="1">
      <alignment/>
    </xf>
    <xf numFmtId="0" fontId="13" fillId="0" borderId="15" xfId="61" applyFont="1" applyBorder="1" applyAlignment="1">
      <alignment horizontal="center"/>
      <protection/>
    </xf>
    <xf numFmtId="172" fontId="13" fillId="0" borderId="0" xfId="46" applyNumberFormat="1" applyFont="1" applyBorder="1" applyAlignment="1">
      <alignment/>
    </xf>
    <xf numFmtId="0" fontId="13" fillId="0" borderId="17" xfId="61" applyFont="1" applyBorder="1" applyAlignment="1">
      <alignment horizontal="center"/>
      <protection/>
    </xf>
    <xf numFmtId="0" fontId="16" fillId="0" borderId="17" xfId="61" applyFont="1" applyBorder="1">
      <alignment/>
      <protection/>
    </xf>
    <xf numFmtId="0" fontId="11" fillId="0" borderId="36" xfId="62" applyFont="1" applyBorder="1" applyAlignment="1">
      <alignment horizontal="center" vertical="top" wrapText="1"/>
      <protection/>
    </xf>
    <xf numFmtId="174" fontId="5" fillId="0" borderId="0" xfId="61" applyNumberFormat="1" applyFont="1" applyFill="1" applyBorder="1" applyAlignment="1">
      <alignment horizontal="right"/>
      <protection/>
    </xf>
    <xf numFmtId="0" fontId="5" fillId="36" borderId="27" xfId="61" applyFont="1" applyFill="1" applyBorder="1">
      <alignment/>
      <protection/>
    </xf>
    <xf numFmtId="174" fontId="24" fillId="0" borderId="0" xfId="0" applyNumberFormat="1" applyFont="1" applyAlignment="1">
      <alignment vertical="top" wrapText="1"/>
    </xf>
    <xf numFmtId="175" fontId="5" fillId="33" borderId="14" xfId="62" applyNumberFormat="1" applyFont="1" applyFill="1" applyBorder="1" applyAlignment="1">
      <alignment horizontal="center" vertical="center"/>
      <protection/>
    </xf>
    <xf numFmtId="43" fontId="4" fillId="0" borderId="0" xfId="42" applyFont="1" applyAlignment="1">
      <alignment/>
    </xf>
    <xf numFmtId="0" fontId="24" fillId="0" borderId="0" xfId="61" applyFont="1" applyBorder="1" applyAlignment="1" quotePrefix="1">
      <alignment vertical="top" wrapText="1"/>
      <protection/>
    </xf>
    <xf numFmtId="0" fontId="24" fillId="0" borderId="28" xfId="61" applyFont="1" applyFill="1" applyBorder="1" applyAlignment="1" quotePrefix="1">
      <alignment vertical="top" wrapText="1"/>
      <protection/>
    </xf>
    <xf numFmtId="0" fontId="24" fillId="0" borderId="28" xfId="61" applyFont="1" applyBorder="1" applyAlignment="1" quotePrefix="1">
      <alignment vertical="top" wrapText="1"/>
      <protection/>
    </xf>
    <xf numFmtId="178" fontId="4" fillId="37" borderId="30" xfId="42" applyNumberFormat="1" applyFont="1" applyFill="1" applyBorder="1" applyAlignment="1">
      <alignment horizontal="right" vertical="top" wrapText="1"/>
    </xf>
    <xf numFmtId="177" fontId="5" fillId="37" borderId="30" xfId="42" applyNumberFormat="1" applyFont="1" applyFill="1" applyBorder="1" applyAlignment="1">
      <alignment horizontal="right" vertical="top" wrapText="1"/>
    </xf>
    <xf numFmtId="178" fontId="5" fillId="37" borderId="30" xfId="42" applyNumberFormat="1" applyFont="1" applyFill="1" applyBorder="1" applyAlignment="1">
      <alignment horizontal="right" vertical="top" wrapText="1"/>
    </xf>
    <xf numFmtId="0" fontId="30" fillId="36" borderId="28" xfId="62" applyFont="1" applyFill="1" applyBorder="1" applyAlignment="1">
      <alignment horizontal="center" vertical="top" wrapText="1"/>
      <protection/>
    </xf>
    <xf numFmtId="177" fontId="24" fillId="0" borderId="17" xfId="42" applyNumberFormat="1" applyFont="1" applyBorder="1" applyAlignment="1">
      <alignment horizontal="right" vertical="top"/>
    </xf>
    <xf numFmtId="173" fontId="26" fillId="0" borderId="13" xfId="46" applyNumberFormat="1" applyFont="1" applyBorder="1" applyAlignment="1">
      <alignment horizontal="center" textRotation="48" wrapText="1"/>
    </xf>
    <xf numFmtId="173" fontId="0" fillId="0" borderId="0" xfId="0" applyNumberFormat="1" applyAlignment="1">
      <alignment/>
    </xf>
    <xf numFmtId="173" fontId="24" fillId="0" borderId="0" xfId="61" applyNumberFormat="1" applyFont="1" applyBorder="1">
      <alignment/>
      <protection/>
    </xf>
    <xf numFmtId="1" fontId="24" fillId="0" borderId="10" xfId="47" applyNumberFormat="1" applyFont="1" applyBorder="1" applyAlignment="1">
      <alignment vertical="center"/>
    </xf>
    <xf numFmtId="173" fontId="24" fillId="0" borderId="0" xfId="0" applyNumberFormat="1" applyFont="1" applyBorder="1" applyAlignment="1">
      <alignment/>
    </xf>
    <xf numFmtId="172" fontId="4" fillId="0" borderId="10" xfId="46" applyNumberFormat="1" applyFont="1" applyBorder="1" applyAlignment="1">
      <alignment/>
    </xf>
    <xf numFmtId="173" fontId="4" fillId="0" borderId="10" xfId="46" applyNumberFormat="1" applyFont="1" applyBorder="1" applyAlignment="1">
      <alignment/>
    </xf>
    <xf numFmtId="174" fontId="4" fillId="0" borderId="10" xfId="46" applyNumberFormat="1" applyFont="1" applyBorder="1" applyAlignment="1">
      <alignment/>
    </xf>
    <xf numFmtId="0" fontId="4" fillId="0" borderId="10" xfId="61" applyFont="1" applyBorder="1">
      <alignment/>
      <protection/>
    </xf>
    <xf numFmtId="174" fontId="4" fillId="0" borderId="10" xfId="61" applyNumberFormat="1" applyFont="1" applyBorder="1">
      <alignment/>
      <protection/>
    </xf>
    <xf numFmtId="173" fontId="4" fillId="0" borderId="10" xfId="46" applyNumberFormat="1" applyFont="1" applyBorder="1" applyAlignment="1">
      <alignment horizontal="center"/>
    </xf>
    <xf numFmtId="172" fontId="4" fillId="0" borderId="10" xfId="61" applyNumberFormat="1" applyFont="1" applyBorder="1">
      <alignment/>
      <protection/>
    </xf>
    <xf numFmtId="0" fontId="16" fillId="38" borderId="0" xfId="61" applyFont="1" applyFill="1" applyBorder="1">
      <alignment/>
      <protection/>
    </xf>
    <xf numFmtId="173" fontId="7" fillId="38" borderId="15" xfId="69" applyNumberFormat="1" applyFont="1" applyFill="1" applyBorder="1" applyAlignment="1">
      <alignment horizontal="right"/>
      <protection/>
    </xf>
    <xf numFmtId="177" fontId="7" fillId="38" borderId="0" xfId="42" applyNumberFormat="1" applyFont="1" applyFill="1" applyBorder="1" applyAlignment="1">
      <alignment horizontal="right"/>
    </xf>
    <xf numFmtId="173" fontId="7" fillId="38" borderId="0" xfId="69" applyNumberFormat="1" applyFont="1" applyFill="1" applyBorder="1" applyAlignment="1">
      <alignment horizontal="right"/>
      <protection/>
    </xf>
    <xf numFmtId="174" fontId="7" fillId="38" borderId="17" xfId="69" applyNumberFormat="1" applyFont="1" applyFill="1" applyBorder="1" applyAlignment="1">
      <alignment horizontal="right"/>
      <protection/>
    </xf>
    <xf numFmtId="172" fontId="7" fillId="38" borderId="0" xfId="69" applyNumberFormat="1" applyFont="1" applyFill="1" applyBorder="1" applyAlignment="1">
      <alignment horizontal="right"/>
      <protection/>
    </xf>
    <xf numFmtId="173" fontId="7" fillId="38" borderId="17" xfId="69" applyNumberFormat="1" applyFont="1" applyFill="1" applyBorder="1" applyAlignment="1">
      <alignment horizontal="right"/>
      <protection/>
    </xf>
    <xf numFmtId="1" fontId="11" fillId="0" borderId="10" xfId="46" applyNumberFormat="1" applyFont="1" applyBorder="1" applyAlignment="1">
      <alignment horizontal="right"/>
    </xf>
    <xf numFmtId="174" fontId="7" fillId="0" borderId="10" xfId="69" applyNumberFormat="1" applyFont="1" applyBorder="1" applyAlignment="1">
      <alignment horizontal="right"/>
      <protection/>
    </xf>
    <xf numFmtId="1" fontId="4" fillId="0" borderId="0" xfId="61" applyNumberFormat="1" applyFont="1" applyBorder="1">
      <alignment/>
      <protection/>
    </xf>
    <xf numFmtId="0" fontId="4" fillId="0" borderId="10" xfId="61" applyFont="1" applyBorder="1" applyAlignment="1">
      <alignment horizontal="center"/>
      <protection/>
    </xf>
    <xf numFmtId="0" fontId="24" fillId="0" borderId="10" xfId="61" applyFont="1" applyBorder="1" applyAlignment="1">
      <alignment vertical="center"/>
      <protection/>
    </xf>
    <xf numFmtId="172" fontId="24" fillId="0" borderId="10" xfId="61" applyNumberFormat="1" applyFont="1" applyBorder="1" applyAlignment="1">
      <alignment vertical="center"/>
      <protection/>
    </xf>
    <xf numFmtId="0" fontId="5" fillId="0" borderId="25" xfId="61" applyFont="1" applyBorder="1" applyAlignment="1">
      <alignment vertical="top" wrapText="1"/>
      <protection/>
    </xf>
    <xf numFmtId="173" fontId="5" fillId="0" borderId="25" xfId="46" applyNumberFormat="1" applyFont="1" applyBorder="1" applyAlignment="1">
      <alignment vertical="top"/>
    </xf>
    <xf numFmtId="174" fontId="5" fillId="0" borderId="25" xfId="46" applyNumberFormat="1" applyFont="1" applyBorder="1" applyAlignment="1">
      <alignment vertical="top"/>
    </xf>
    <xf numFmtId="174" fontId="24" fillId="0" borderId="28" xfId="0" applyNumberFormat="1" applyFont="1" applyBorder="1" applyAlignment="1">
      <alignment vertical="top"/>
    </xf>
    <xf numFmtId="0" fontId="24" fillId="0" borderId="0" xfId="0" applyFont="1" applyBorder="1" applyAlignment="1">
      <alignment vertical="top"/>
    </xf>
    <xf numFmtId="0" fontId="24" fillId="0" borderId="0" xfId="61" applyFont="1" applyFill="1" applyBorder="1" applyAlignment="1">
      <alignment vertical="top" wrapText="1"/>
      <protection/>
    </xf>
    <xf numFmtId="0" fontId="74" fillId="33" borderId="30" xfId="61" applyFont="1" applyFill="1" applyBorder="1" applyAlignment="1">
      <alignment horizontal="right"/>
      <protection/>
    </xf>
    <xf numFmtId="0" fontId="24" fillId="36" borderId="28" xfId="62" applyFont="1" applyFill="1" applyBorder="1" applyAlignment="1">
      <alignment horizontal="left" vertical="top" wrapText="1"/>
      <protection/>
    </xf>
    <xf numFmtId="0" fontId="4" fillId="36" borderId="28" xfId="61" applyFont="1" applyFill="1" applyBorder="1" applyAlignment="1">
      <alignment horizontal="center" vertical="top"/>
      <protection/>
    </xf>
    <xf numFmtId="178" fontId="5" fillId="36" borderId="28" xfId="42" applyNumberFormat="1" applyFont="1" applyFill="1" applyBorder="1" applyAlignment="1">
      <alignment horizontal="right"/>
    </xf>
    <xf numFmtId="177" fontId="5" fillId="36" borderId="28" xfId="42" applyNumberFormat="1" applyFont="1" applyFill="1" applyBorder="1" applyAlignment="1">
      <alignment horizontal="right"/>
    </xf>
    <xf numFmtId="0" fontId="4" fillId="36" borderId="28" xfId="61" applyFont="1" applyFill="1" applyBorder="1" applyAlignment="1">
      <alignment horizontal="left" vertical="top" wrapText="1"/>
      <protection/>
    </xf>
    <xf numFmtId="180" fontId="4" fillId="36" borderId="28" xfId="42" applyNumberFormat="1" applyFont="1" applyFill="1" applyBorder="1" applyAlignment="1">
      <alignment horizontal="right" vertical="top"/>
    </xf>
    <xf numFmtId="49" fontId="24" fillId="0" borderId="0" xfId="0" applyNumberFormat="1" applyFont="1" applyAlignment="1">
      <alignment vertical="top" wrapText="1"/>
    </xf>
    <xf numFmtId="0" fontId="4" fillId="36" borderId="28" xfId="61" applyFont="1" applyFill="1" applyBorder="1" applyAlignment="1" quotePrefix="1">
      <alignment horizontal="left" vertical="top" wrapText="1"/>
      <protection/>
    </xf>
    <xf numFmtId="178" fontId="4" fillId="36" borderId="28" xfId="42" applyNumberFormat="1" applyFont="1" applyFill="1" applyBorder="1" applyAlignment="1">
      <alignment horizontal="right" vertical="top"/>
    </xf>
    <xf numFmtId="177" fontId="4" fillId="36" borderId="28" xfId="42" applyNumberFormat="1" applyFont="1" applyFill="1" applyBorder="1" applyAlignment="1">
      <alignment horizontal="right" vertical="top"/>
    </xf>
    <xf numFmtId="0" fontId="24" fillId="0" borderId="28" xfId="62" applyFont="1" applyBorder="1" applyAlignment="1">
      <alignment horizontal="left" vertical="top"/>
      <protection/>
    </xf>
    <xf numFmtId="0" fontId="11" fillId="0" borderId="28" xfId="62" applyFont="1" applyBorder="1" applyAlignment="1">
      <alignment horizontal="left" vertical="top"/>
      <protection/>
    </xf>
    <xf numFmtId="188" fontId="4" fillId="0" borderId="0" xfId="61" applyNumberFormat="1" applyFont="1" applyBorder="1" applyAlignment="1">
      <alignment horizontal="right"/>
      <protection/>
    </xf>
    <xf numFmtId="174" fontId="4" fillId="0" borderId="0" xfId="61" applyNumberFormat="1" applyFont="1" applyBorder="1" applyAlignment="1">
      <alignment horizontal="center"/>
      <protection/>
    </xf>
    <xf numFmtId="0" fontId="5" fillId="0" borderId="10" xfId="61" applyFont="1" applyBorder="1">
      <alignment/>
      <protection/>
    </xf>
    <xf numFmtId="1" fontId="4" fillId="0" borderId="0" xfId="61" applyNumberFormat="1" applyFont="1" applyBorder="1" applyAlignment="1">
      <alignment horizontal="right"/>
      <protection/>
    </xf>
    <xf numFmtId="0" fontId="24" fillId="36" borderId="30" xfId="62" applyFont="1" applyFill="1" applyBorder="1" applyAlignment="1">
      <alignment horizontal="center" vertical="top"/>
      <protection/>
    </xf>
    <xf numFmtId="175" fontId="24" fillId="36" borderId="30" xfId="47" applyNumberFormat="1" applyFont="1" applyFill="1" applyBorder="1" applyAlignment="1">
      <alignment vertical="top"/>
    </xf>
    <xf numFmtId="1" fontId="24" fillId="0" borderId="0" xfId="61" applyNumberFormat="1" applyFont="1" applyBorder="1">
      <alignment/>
      <protection/>
    </xf>
    <xf numFmtId="1" fontId="24" fillId="0" borderId="28" xfId="61" applyNumberFormat="1" applyFont="1" applyBorder="1" applyAlignment="1">
      <alignment horizontal="center" vertical="top" wrapText="1"/>
      <protection/>
    </xf>
    <xf numFmtId="171" fontId="5" fillId="0" borderId="0" xfId="61" applyNumberFormat="1" applyFont="1" applyBorder="1">
      <alignment/>
      <protection/>
    </xf>
    <xf numFmtId="173" fontId="5" fillId="0" borderId="0" xfId="61" applyNumberFormat="1" applyFont="1" applyBorder="1">
      <alignment/>
      <protection/>
    </xf>
    <xf numFmtId="172" fontId="5" fillId="0" borderId="0" xfId="61" applyNumberFormat="1" applyFont="1" applyBorder="1">
      <alignment/>
      <protection/>
    </xf>
    <xf numFmtId="0" fontId="4" fillId="0" borderId="10" xfId="61" applyBorder="1">
      <alignment/>
      <protection/>
    </xf>
    <xf numFmtId="1" fontId="4" fillId="0" borderId="10" xfId="61" applyNumberFormat="1" applyFont="1" applyBorder="1" applyAlignment="1">
      <alignment horizontal="right"/>
      <protection/>
    </xf>
    <xf numFmtId="174" fontId="4" fillId="0" borderId="10" xfId="61" applyNumberFormat="1" applyFont="1" applyBorder="1" applyAlignment="1">
      <alignment horizontal="right"/>
      <protection/>
    </xf>
    <xf numFmtId="0" fontId="5" fillId="9" borderId="0" xfId="62" applyFont="1" applyFill="1" applyBorder="1">
      <alignment/>
      <protection/>
    </xf>
    <xf numFmtId="0" fontId="11" fillId="9" borderId="0" xfId="61" applyFont="1" applyFill="1" applyBorder="1" applyAlignment="1">
      <alignment horizontal="center"/>
      <protection/>
    </xf>
    <xf numFmtId="174" fontId="11" fillId="9" borderId="0" xfId="46" applyNumberFormat="1" applyFont="1" applyFill="1" applyBorder="1" applyAlignment="1">
      <alignment horizontal="right"/>
    </xf>
    <xf numFmtId="173" fontId="11" fillId="9" borderId="0" xfId="46" applyNumberFormat="1" applyFont="1" applyFill="1" applyBorder="1" applyAlignment="1">
      <alignment horizontal="right"/>
    </xf>
    <xf numFmtId="177" fontId="11" fillId="9" borderId="0" xfId="42" applyNumberFormat="1" applyFont="1" applyFill="1" applyBorder="1" applyAlignment="1">
      <alignment horizontal="right"/>
    </xf>
    <xf numFmtId="1" fontId="11" fillId="9" borderId="0" xfId="46" applyNumberFormat="1" applyFont="1" applyFill="1" applyBorder="1" applyAlignment="1">
      <alignment horizontal="right"/>
    </xf>
    <xf numFmtId="173" fontId="5" fillId="9" borderId="0" xfId="46" applyNumberFormat="1" applyFont="1" applyFill="1" applyBorder="1" applyAlignment="1">
      <alignment/>
    </xf>
    <xf numFmtId="174" fontId="5" fillId="9" borderId="0" xfId="46" applyNumberFormat="1" applyFont="1" applyFill="1" applyBorder="1" applyAlignment="1">
      <alignment horizontal="right"/>
    </xf>
    <xf numFmtId="174" fontId="11" fillId="9" borderId="0" xfId="46" applyNumberFormat="1" applyFont="1" applyFill="1" applyBorder="1" applyAlignment="1">
      <alignment/>
    </xf>
    <xf numFmtId="173" fontId="11" fillId="9" borderId="0" xfId="46" applyNumberFormat="1" applyFont="1" applyFill="1" applyBorder="1" applyAlignment="1">
      <alignment/>
    </xf>
    <xf numFmtId="173" fontId="11" fillId="9" borderId="0" xfId="46" applyNumberFormat="1" applyFont="1" applyFill="1" applyBorder="1" applyAlignment="1">
      <alignment horizontal="center"/>
    </xf>
    <xf numFmtId="177" fontId="11" fillId="9" borderId="0" xfId="42" applyNumberFormat="1" applyFont="1" applyFill="1" applyBorder="1" applyAlignment="1">
      <alignment horizontal="center"/>
    </xf>
    <xf numFmtId="177" fontId="11" fillId="9" borderId="0" xfId="42" applyNumberFormat="1" applyFont="1" applyFill="1" applyBorder="1" applyAlignment="1">
      <alignment/>
    </xf>
    <xf numFmtId="172" fontId="5" fillId="9" borderId="0" xfId="46" applyNumberFormat="1" applyFont="1" applyFill="1" applyBorder="1" applyAlignment="1">
      <alignment/>
    </xf>
    <xf numFmtId="0" fontId="5" fillId="9" borderId="0" xfId="61" applyFont="1" applyFill="1" applyBorder="1">
      <alignment/>
      <protection/>
    </xf>
    <xf numFmtId="0" fontId="12" fillId="9" borderId="0" xfId="61" applyFont="1" applyFill="1" applyBorder="1" applyAlignment="1">
      <alignment/>
      <protection/>
    </xf>
    <xf numFmtId="177" fontId="12" fillId="9" borderId="0" xfId="42" applyNumberFormat="1" applyFont="1" applyFill="1" applyBorder="1" applyAlignment="1">
      <alignment/>
    </xf>
    <xf numFmtId="173" fontId="12" fillId="9" borderId="0" xfId="46" applyNumberFormat="1" applyFont="1" applyFill="1" applyBorder="1" applyAlignment="1">
      <alignment/>
    </xf>
    <xf numFmtId="174" fontId="12" fillId="9" borderId="0" xfId="46" applyNumberFormat="1" applyFont="1" applyFill="1" applyBorder="1" applyAlignment="1">
      <alignment/>
    </xf>
    <xf numFmtId="173" fontId="12" fillId="9" borderId="0" xfId="46" applyNumberFormat="1" applyFont="1" applyFill="1" applyBorder="1" applyAlignment="1">
      <alignment horizontal="right"/>
    </xf>
    <xf numFmtId="174" fontId="12" fillId="9" borderId="0" xfId="46" applyNumberFormat="1" applyFont="1" applyFill="1" applyBorder="1" applyAlignment="1">
      <alignment horizontal="right"/>
    </xf>
    <xf numFmtId="0" fontId="5" fillId="9" borderId="0" xfId="62" applyFont="1" applyFill="1" applyBorder="1" applyAlignment="1">
      <alignment vertical="center"/>
      <protection/>
    </xf>
    <xf numFmtId="0" fontId="4" fillId="9" borderId="0" xfId="61" applyFont="1" applyFill="1" applyBorder="1" applyAlignment="1">
      <alignment horizontal="center"/>
      <protection/>
    </xf>
    <xf numFmtId="174" fontId="4" fillId="9" borderId="0" xfId="46" applyNumberFormat="1" applyFont="1" applyFill="1" applyBorder="1" applyAlignment="1">
      <alignment/>
    </xf>
    <xf numFmtId="173" fontId="4" fillId="9" borderId="0" xfId="46" applyNumberFormat="1" applyFont="1" applyFill="1" applyBorder="1" applyAlignment="1">
      <alignment/>
    </xf>
    <xf numFmtId="177" fontId="4" fillId="9" borderId="0" xfId="42" applyNumberFormat="1" applyFont="1" applyFill="1" applyBorder="1" applyAlignment="1">
      <alignment/>
    </xf>
    <xf numFmtId="0" fontId="4" fillId="9" borderId="0" xfId="61" applyFont="1" applyFill="1" applyBorder="1">
      <alignment/>
      <protection/>
    </xf>
    <xf numFmtId="0" fontId="11" fillId="9" borderId="0" xfId="61" applyFont="1" applyFill="1" applyBorder="1">
      <alignment/>
      <protection/>
    </xf>
    <xf numFmtId="173" fontId="4" fillId="9" borderId="0" xfId="46" applyNumberFormat="1" applyFont="1" applyFill="1" applyBorder="1" applyAlignment="1">
      <alignment horizontal="center"/>
    </xf>
    <xf numFmtId="177" fontId="24" fillId="9" borderId="0" xfId="42" applyNumberFormat="1" applyFont="1" applyFill="1" applyBorder="1" applyAlignment="1">
      <alignment/>
    </xf>
    <xf numFmtId="174" fontId="4" fillId="9" borderId="0" xfId="61" applyNumberFormat="1" applyFont="1" applyFill="1" applyBorder="1">
      <alignment/>
      <protection/>
    </xf>
    <xf numFmtId="1" fontId="4" fillId="9" borderId="0" xfId="61" applyNumberFormat="1" applyFont="1" applyFill="1" applyBorder="1">
      <alignment/>
      <protection/>
    </xf>
    <xf numFmtId="173" fontId="11" fillId="9" borderId="11" xfId="47" applyNumberFormat="1" applyFont="1" applyFill="1" applyBorder="1" applyAlignment="1">
      <alignment vertical="center"/>
    </xf>
    <xf numFmtId="174" fontId="11" fillId="9" borderId="11" xfId="47" applyNumberFormat="1" applyFont="1" applyFill="1" applyBorder="1" applyAlignment="1">
      <alignment vertical="center"/>
    </xf>
    <xf numFmtId="173" fontId="5" fillId="9" borderId="0" xfId="62" applyNumberFormat="1" applyFont="1" applyFill="1" applyBorder="1" applyAlignment="1">
      <alignment vertical="center"/>
      <protection/>
    </xf>
    <xf numFmtId="172" fontId="5" fillId="9" borderId="0" xfId="62" applyNumberFormat="1" applyFont="1" applyFill="1" applyBorder="1" applyAlignment="1">
      <alignment vertical="center"/>
      <protection/>
    </xf>
    <xf numFmtId="173" fontId="24" fillId="9" borderId="0" xfId="47" applyNumberFormat="1" applyFont="1" applyFill="1" applyBorder="1" applyAlignment="1">
      <alignment vertical="center"/>
    </xf>
    <xf numFmtId="174" fontId="24" fillId="9" borderId="0" xfId="47" applyNumberFormat="1" applyFont="1" applyFill="1" applyBorder="1" applyAlignment="1">
      <alignment vertical="center"/>
    </xf>
    <xf numFmtId="173" fontId="24" fillId="9" borderId="0" xfId="47" applyNumberFormat="1" applyFont="1" applyFill="1" applyBorder="1" applyAlignment="1">
      <alignment horizontal="right" vertical="center"/>
    </xf>
    <xf numFmtId="174" fontId="24" fillId="9" borderId="0" xfId="47" applyNumberFormat="1" applyFont="1" applyFill="1" applyBorder="1" applyAlignment="1">
      <alignment horizontal="right" vertical="center"/>
    </xf>
    <xf numFmtId="173" fontId="5" fillId="9" borderId="11" xfId="62" applyNumberFormat="1" applyFont="1" applyFill="1" applyBorder="1" applyAlignment="1">
      <alignment vertical="center"/>
      <protection/>
    </xf>
    <xf numFmtId="172" fontId="5" fillId="9" borderId="11" xfId="62" applyNumberFormat="1" applyFont="1" applyFill="1" applyBorder="1" applyAlignment="1">
      <alignment vertical="center"/>
      <protection/>
    </xf>
    <xf numFmtId="0" fontId="24" fillId="9" borderId="0" xfId="0" applyFont="1" applyFill="1" applyBorder="1" applyAlignment="1">
      <alignment/>
    </xf>
    <xf numFmtId="172" fontId="24" fillId="9" borderId="0" xfId="0" applyNumberFormat="1" applyFont="1" applyFill="1" applyBorder="1" applyAlignment="1">
      <alignment/>
    </xf>
    <xf numFmtId="0" fontId="24" fillId="9" borderId="0" xfId="61" applyFont="1" applyFill="1" applyBorder="1">
      <alignment/>
      <protection/>
    </xf>
    <xf numFmtId="172" fontId="24" fillId="9" borderId="0" xfId="61" applyNumberFormat="1" applyFont="1" applyFill="1" applyBorder="1">
      <alignment/>
      <protection/>
    </xf>
    <xf numFmtId="0" fontId="24" fillId="0" borderId="10" xfId="62" applyFont="1" applyBorder="1">
      <alignment/>
      <protection/>
    </xf>
    <xf numFmtId="0" fontId="5" fillId="9" borderId="25" xfId="62" applyFont="1" applyFill="1" applyBorder="1" applyAlignment="1">
      <alignment vertical="center"/>
      <protection/>
    </xf>
    <xf numFmtId="0" fontId="11" fillId="9" borderId="25" xfId="62" applyFont="1" applyFill="1" applyBorder="1" applyAlignment="1">
      <alignment vertical="center"/>
      <protection/>
    </xf>
    <xf numFmtId="174" fontId="11" fillId="9" borderId="25" xfId="62" applyNumberFormat="1" applyFont="1" applyFill="1" applyBorder="1" applyAlignment="1">
      <alignment vertical="center"/>
      <protection/>
    </xf>
    <xf numFmtId="174" fontId="11" fillId="9" borderId="25" xfId="47" applyNumberFormat="1" applyFont="1" applyFill="1" applyBorder="1" applyAlignment="1">
      <alignment vertical="center"/>
    </xf>
    <xf numFmtId="173" fontId="11" fillId="9" borderId="25" xfId="47" applyNumberFormat="1" applyFont="1" applyFill="1" applyBorder="1" applyAlignment="1">
      <alignment vertical="center"/>
    </xf>
    <xf numFmtId="174" fontId="5" fillId="9" borderId="25" xfId="62" applyNumberFormat="1" applyFont="1" applyFill="1" applyBorder="1" applyAlignment="1">
      <alignment vertical="center"/>
      <protection/>
    </xf>
    <xf numFmtId="0" fontId="5" fillId="9" borderId="11" xfId="62" applyFont="1" applyFill="1" applyBorder="1" applyAlignment="1">
      <alignment vertical="center"/>
      <protection/>
    </xf>
    <xf numFmtId="0" fontId="24" fillId="9" borderId="0" xfId="62" applyFont="1" applyFill="1">
      <alignment/>
      <protection/>
    </xf>
    <xf numFmtId="174" fontId="5" fillId="9" borderId="11" xfId="62" applyNumberFormat="1" applyFont="1" applyFill="1" applyBorder="1" applyAlignment="1">
      <alignment vertical="center"/>
      <protection/>
    </xf>
    <xf numFmtId="0" fontId="5" fillId="9" borderId="0" xfId="62" applyFont="1" applyFill="1" applyBorder="1" applyAlignment="1">
      <alignment vertical="center"/>
      <protection/>
    </xf>
    <xf numFmtId="173" fontId="11" fillId="9" borderId="0" xfId="47" applyNumberFormat="1" applyFont="1" applyFill="1" applyBorder="1" applyAlignment="1">
      <alignment horizontal="right" vertical="center"/>
    </xf>
    <xf numFmtId="174" fontId="11" fillId="9" borderId="0" xfId="47" applyNumberFormat="1" applyFont="1" applyFill="1" applyBorder="1" applyAlignment="1">
      <alignment horizontal="right" vertical="center"/>
    </xf>
    <xf numFmtId="173" fontId="11" fillId="9" borderId="0" xfId="47" applyNumberFormat="1" applyFont="1" applyFill="1" applyBorder="1" applyAlignment="1">
      <alignment vertical="center"/>
    </xf>
    <xf numFmtId="174" fontId="11" fillId="9" borderId="0" xfId="47" applyNumberFormat="1" applyFont="1" applyFill="1" applyBorder="1" applyAlignment="1">
      <alignment vertical="center"/>
    </xf>
    <xf numFmtId="174" fontId="5" fillId="9" borderId="0" xfId="62" applyNumberFormat="1" applyFont="1" applyFill="1" applyBorder="1" applyAlignment="1">
      <alignment vertical="center"/>
      <protection/>
    </xf>
    <xf numFmtId="0" fontId="5" fillId="9" borderId="12" xfId="62" applyFont="1" applyFill="1" applyBorder="1" applyAlignment="1">
      <alignment vertical="center"/>
      <protection/>
    </xf>
    <xf numFmtId="173" fontId="11" fillId="9" borderId="12" xfId="47" applyNumberFormat="1" applyFont="1" applyFill="1" applyBorder="1" applyAlignment="1">
      <alignment horizontal="right" vertical="center"/>
    </xf>
    <xf numFmtId="174" fontId="11" fillId="9" borderId="12" xfId="47" applyNumberFormat="1" applyFont="1" applyFill="1" applyBorder="1" applyAlignment="1">
      <alignment horizontal="right" vertical="center"/>
    </xf>
    <xf numFmtId="1" fontId="11" fillId="9" borderId="12" xfId="47" applyNumberFormat="1" applyFont="1" applyFill="1" applyBorder="1" applyAlignment="1">
      <alignment horizontal="right" vertical="center"/>
    </xf>
    <xf numFmtId="0" fontId="5" fillId="9" borderId="0" xfId="61" applyFont="1" applyFill="1" applyBorder="1">
      <alignment/>
      <protection/>
    </xf>
    <xf numFmtId="0" fontId="7" fillId="9" borderId="0" xfId="61" applyFont="1" applyFill="1" applyBorder="1">
      <alignment/>
      <protection/>
    </xf>
    <xf numFmtId="174" fontId="7" fillId="9" borderId="0" xfId="61" applyNumberFormat="1" applyFont="1" applyFill="1" applyBorder="1">
      <alignment/>
      <protection/>
    </xf>
    <xf numFmtId="0" fontId="12" fillId="9" borderId="0" xfId="61" applyFont="1" applyFill="1" applyBorder="1" applyAlignment="1">
      <alignment horizontal="center"/>
      <protection/>
    </xf>
    <xf numFmtId="174" fontId="12" fillId="9" borderId="0" xfId="46" applyNumberFormat="1" applyFont="1" applyFill="1" applyBorder="1" applyAlignment="1">
      <alignment/>
    </xf>
    <xf numFmtId="173" fontId="12" fillId="9" borderId="0" xfId="46" applyNumberFormat="1" applyFont="1" applyFill="1" applyBorder="1" applyAlignment="1">
      <alignment/>
    </xf>
    <xf numFmtId="173" fontId="12" fillId="9" borderId="0" xfId="46" applyNumberFormat="1" applyFont="1" applyFill="1" applyBorder="1" applyAlignment="1">
      <alignment horizontal="center"/>
    </xf>
    <xf numFmtId="177" fontId="12" fillId="9" borderId="0" xfId="42" applyNumberFormat="1" applyFont="1" applyFill="1" applyBorder="1" applyAlignment="1">
      <alignment/>
    </xf>
    <xf numFmtId="0" fontId="16" fillId="9" borderId="0" xfId="61" applyFont="1" applyFill="1" applyBorder="1" applyAlignment="1">
      <alignment horizontal="center"/>
      <protection/>
    </xf>
    <xf numFmtId="174" fontId="16" fillId="9" borderId="0" xfId="61" applyNumberFormat="1" applyFont="1" applyFill="1" applyBorder="1" applyAlignment="1">
      <alignment horizontal="center"/>
      <protection/>
    </xf>
    <xf numFmtId="1" fontId="5" fillId="9" borderId="0" xfId="46" applyNumberFormat="1" applyFont="1" applyFill="1" applyBorder="1" applyAlignment="1">
      <alignment horizontal="right"/>
    </xf>
    <xf numFmtId="174" fontId="5" fillId="9" borderId="0" xfId="46" applyNumberFormat="1" applyFont="1" applyFill="1" applyBorder="1" applyAlignment="1">
      <alignment horizontal="right"/>
    </xf>
    <xf numFmtId="0" fontId="4" fillId="9" borderId="0" xfId="61" applyFont="1" applyFill="1" applyBorder="1" applyAlignment="1">
      <alignment horizontal="right"/>
      <protection/>
    </xf>
    <xf numFmtId="177" fontId="4" fillId="9" borderId="0" xfId="42" applyNumberFormat="1" applyFont="1" applyFill="1" applyBorder="1" applyAlignment="1">
      <alignment horizontal="right"/>
    </xf>
    <xf numFmtId="1" fontId="5" fillId="9" borderId="11" xfId="46" applyNumberFormat="1" applyFont="1" applyFill="1" applyBorder="1" applyAlignment="1">
      <alignment horizontal="right"/>
    </xf>
    <xf numFmtId="174" fontId="5" fillId="9" borderId="11" xfId="46" applyNumberFormat="1" applyFont="1" applyFill="1" applyBorder="1" applyAlignment="1">
      <alignment horizontal="right"/>
    </xf>
    <xf numFmtId="174" fontId="4" fillId="9" borderId="37" xfId="61" applyNumberFormat="1" applyFont="1" applyFill="1" applyBorder="1" applyAlignment="1">
      <alignment horizontal="right"/>
      <protection/>
    </xf>
    <xf numFmtId="0" fontId="4" fillId="9" borderId="37" xfId="61" applyFont="1" applyFill="1" applyBorder="1" applyAlignment="1">
      <alignment horizontal="right"/>
      <protection/>
    </xf>
    <xf numFmtId="0" fontId="5" fillId="0" borderId="26" xfId="62" applyFont="1" applyBorder="1" applyAlignment="1">
      <alignment horizontal="center" vertical="top" wrapText="1"/>
      <protection/>
    </xf>
    <xf numFmtId="0" fontId="24" fillId="0" borderId="28" xfId="62" applyFont="1" applyBorder="1" applyAlignment="1">
      <alignment horizontal="left" vertical="top" wrapText="1"/>
      <protection/>
    </xf>
    <xf numFmtId="0" fontId="11" fillId="0" borderId="28" xfId="62" applyFont="1" applyFill="1" applyBorder="1" applyAlignment="1">
      <alignment vertical="top" wrapText="1"/>
      <protection/>
    </xf>
    <xf numFmtId="173" fontId="11" fillId="0" borderId="28" xfId="62" applyNumberFormat="1" applyFont="1" applyBorder="1" applyAlignment="1">
      <alignment horizontal="center" vertical="top" wrapText="1"/>
      <protection/>
    </xf>
    <xf numFmtId="0" fontId="24" fillId="0" borderId="28" xfId="62" applyFont="1" applyBorder="1" applyAlignment="1">
      <alignment horizontal="center" vertical="top"/>
      <protection/>
    </xf>
    <xf numFmtId="0" fontId="24" fillId="0" borderId="28" xfId="62" applyFont="1" applyBorder="1" applyAlignment="1">
      <alignment horizontal="right" vertical="top"/>
      <protection/>
    </xf>
    <xf numFmtId="0" fontId="24" fillId="0" borderId="28" xfId="62" applyFont="1" applyBorder="1" applyAlignment="1">
      <alignment vertical="top"/>
      <protection/>
    </xf>
    <xf numFmtId="173" fontId="11" fillId="0" borderId="28" xfId="62" applyNumberFormat="1" applyFont="1" applyBorder="1" applyAlignment="1">
      <alignment vertical="top"/>
      <protection/>
    </xf>
    <xf numFmtId="175" fontId="5" fillId="0" borderId="28" xfId="62" applyNumberFormat="1" applyFont="1" applyBorder="1" applyAlignment="1">
      <alignment horizontal="right" vertical="top"/>
      <protection/>
    </xf>
    <xf numFmtId="0" fontId="11" fillId="0" borderId="15" xfId="62" applyFont="1" applyBorder="1" applyAlignment="1">
      <alignment horizontal="center" vertical="top" wrapText="1"/>
      <protection/>
    </xf>
    <xf numFmtId="0" fontId="24" fillId="36" borderId="17" xfId="62" applyFont="1" applyFill="1" applyBorder="1" applyAlignment="1">
      <alignment horizontal="center" vertical="top"/>
      <protection/>
    </xf>
    <xf numFmtId="175" fontId="24" fillId="36" borderId="28" xfId="47" applyNumberFormat="1" applyFont="1" applyFill="1" applyBorder="1" applyAlignment="1">
      <alignment vertical="top"/>
    </xf>
    <xf numFmtId="0" fontId="11" fillId="0" borderId="18" xfId="62" applyFont="1" applyBorder="1" applyAlignment="1">
      <alignment horizontal="center" vertical="top" wrapText="1"/>
      <protection/>
    </xf>
    <xf numFmtId="0" fontId="24" fillId="0" borderId="35" xfId="62" applyFont="1" applyBorder="1" applyAlignment="1">
      <alignment horizontal="left" vertical="top" wrapText="1"/>
      <protection/>
    </xf>
    <xf numFmtId="0" fontId="11" fillId="0" borderId="16" xfId="62" applyFont="1" applyBorder="1" applyAlignment="1">
      <alignment horizontal="center" vertical="top" wrapText="1"/>
      <protection/>
    </xf>
    <xf numFmtId="0" fontId="4" fillId="0" borderId="35" xfId="0" applyFont="1" applyFill="1" applyBorder="1" applyAlignment="1">
      <alignment vertical="top" wrapText="1"/>
    </xf>
    <xf numFmtId="0" fontId="24" fillId="0" borderId="18" xfId="62" applyFont="1" applyBorder="1" applyAlignment="1">
      <alignment horizontal="center" vertical="top"/>
      <protection/>
    </xf>
    <xf numFmtId="175" fontId="24" fillId="0" borderId="35" xfId="47" applyNumberFormat="1" applyFont="1" applyBorder="1" applyAlignment="1">
      <alignment vertical="top"/>
    </xf>
    <xf numFmtId="0" fontId="24" fillId="0" borderId="35" xfId="62" applyFont="1" applyBorder="1" applyAlignment="1">
      <alignment horizontal="center" vertical="top"/>
      <protection/>
    </xf>
    <xf numFmtId="0" fontId="24" fillId="0" borderId="35" xfId="62" applyFont="1" applyBorder="1" applyAlignment="1">
      <alignment horizontal="right" vertical="top"/>
      <protection/>
    </xf>
    <xf numFmtId="0" fontId="24" fillId="0" borderId="35" xfId="62" applyFont="1" applyBorder="1" applyAlignment="1">
      <alignment vertical="top"/>
      <protection/>
    </xf>
    <xf numFmtId="173" fontId="11" fillId="0" borderId="35" xfId="62" applyNumberFormat="1" applyFont="1" applyBorder="1" applyAlignment="1">
      <alignment vertical="top"/>
      <protection/>
    </xf>
    <xf numFmtId="175" fontId="5" fillId="0" borderId="35" xfId="62" applyNumberFormat="1" applyFont="1" applyBorder="1" applyAlignment="1">
      <alignment horizontal="right" vertical="top"/>
      <protection/>
    </xf>
    <xf numFmtId="0" fontId="5" fillId="0" borderId="38" xfId="62" applyFont="1" applyBorder="1" applyAlignment="1">
      <alignment horizontal="center" vertical="top" wrapText="1"/>
      <protection/>
    </xf>
    <xf numFmtId="0" fontId="24" fillId="0" borderId="27" xfId="62" applyFont="1" applyBorder="1" applyAlignment="1">
      <alignment horizontal="left" vertical="top"/>
      <protection/>
    </xf>
    <xf numFmtId="0" fontId="11" fillId="0" borderId="27" xfId="62" applyFont="1" applyBorder="1" applyAlignment="1">
      <alignment horizontal="center" vertical="top" wrapText="1"/>
      <protection/>
    </xf>
    <xf numFmtId="0" fontId="11" fillId="0" borderId="27" xfId="62" applyFont="1" applyFill="1" applyBorder="1" applyAlignment="1">
      <alignment vertical="top" wrapText="1"/>
      <protection/>
    </xf>
    <xf numFmtId="0" fontId="24" fillId="0" borderId="27" xfId="62" applyFont="1" applyBorder="1" applyAlignment="1">
      <alignment horizontal="center" vertical="top"/>
      <protection/>
    </xf>
    <xf numFmtId="0" fontId="24" fillId="0" borderId="27" xfId="62" applyFont="1" applyBorder="1" applyAlignment="1">
      <alignment vertical="top"/>
      <protection/>
    </xf>
    <xf numFmtId="175" fontId="4" fillId="0" borderId="27" xfId="62" applyNumberFormat="1" applyFont="1" applyBorder="1" applyAlignment="1">
      <alignment horizontal="right" vertical="top"/>
      <protection/>
    </xf>
    <xf numFmtId="175" fontId="4" fillId="0" borderId="28" xfId="62" applyNumberFormat="1" applyFont="1" applyBorder="1" applyAlignment="1">
      <alignment horizontal="right" vertical="top"/>
      <protection/>
    </xf>
    <xf numFmtId="0" fontId="24" fillId="0" borderId="27" xfId="62" applyFont="1" applyBorder="1" applyAlignment="1">
      <alignment horizontal="center" vertical="top"/>
      <protection/>
    </xf>
    <xf numFmtId="175" fontId="24" fillId="0" borderId="27" xfId="47" applyNumberFormat="1" applyFont="1" applyBorder="1" applyAlignment="1">
      <alignment vertical="top"/>
    </xf>
    <xf numFmtId="177" fontId="12" fillId="9" borderId="0" xfId="42" applyNumberFormat="1" applyFont="1" applyFill="1" applyBorder="1" applyAlignment="1">
      <alignment horizontal="right"/>
    </xf>
    <xf numFmtId="0" fontId="5" fillId="9" borderId="37" xfId="61" applyFont="1" applyFill="1" applyBorder="1">
      <alignment/>
      <protection/>
    </xf>
    <xf numFmtId="0" fontId="16" fillId="9" borderId="37" xfId="61" applyFont="1" applyFill="1" applyBorder="1" applyAlignment="1">
      <alignment horizontal="right"/>
      <protection/>
    </xf>
    <xf numFmtId="174" fontId="16" fillId="9" borderId="37" xfId="61" applyNumberFormat="1" applyFont="1" applyFill="1" applyBorder="1" applyAlignment="1">
      <alignment horizontal="right"/>
      <protection/>
    </xf>
    <xf numFmtId="1" fontId="16" fillId="9" borderId="37" xfId="61" applyNumberFormat="1" applyFont="1" applyFill="1" applyBorder="1" applyAlignment="1">
      <alignment horizontal="right"/>
      <protection/>
    </xf>
    <xf numFmtId="177" fontId="4" fillId="9" borderId="37" xfId="42" applyNumberFormat="1" applyFont="1" applyFill="1" applyBorder="1" applyAlignment="1">
      <alignment horizontal="right"/>
    </xf>
    <xf numFmtId="173" fontId="5" fillId="9" borderId="37" xfId="46" applyNumberFormat="1" applyFont="1" applyFill="1" applyBorder="1" applyAlignment="1">
      <alignment horizontal="right"/>
    </xf>
    <xf numFmtId="172" fontId="5" fillId="9" borderId="37" xfId="46" applyNumberFormat="1" applyFont="1" applyFill="1" applyBorder="1" applyAlignment="1">
      <alignment horizontal="right"/>
    </xf>
    <xf numFmtId="173" fontId="11" fillId="36" borderId="0" xfId="46" applyNumberFormat="1" applyFont="1" applyFill="1" applyBorder="1" applyAlignment="1">
      <alignment horizontal="right"/>
    </xf>
    <xf numFmtId="172" fontId="11" fillId="36" borderId="0" xfId="46" applyNumberFormat="1" applyFont="1" applyFill="1" applyBorder="1" applyAlignment="1">
      <alignment horizontal="right"/>
    </xf>
    <xf numFmtId="177" fontId="11" fillId="36" borderId="0" xfId="42" applyNumberFormat="1" applyFont="1" applyFill="1" applyBorder="1" applyAlignment="1">
      <alignment horizontal="right"/>
    </xf>
    <xf numFmtId="0" fontId="71" fillId="36" borderId="0" xfId="62" applyFont="1" applyFill="1" applyBorder="1">
      <alignment/>
      <protection/>
    </xf>
    <xf numFmtId="0" fontId="4" fillId="36" borderId="0" xfId="62" applyFont="1" applyFill="1">
      <alignment/>
      <protection/>
    </xf>
    <xf numFmtId="0" fontId="4" fillId="0" borderId="28" xfId="61" applyFont="1" applyBorder="1" applyAlignment="1">
      <alignment horizontal="left"/>
      <protection/>
    </xf>
    <xf numFmtId="0" fontId="0" fillId="0" borderId="35" xfId="0" applyBorder="1" applyAlignment="1">
      <alignment wrapText="1"/>
    </xf>
    <xf numFmtId="0" fontId="4" fillId="0" borderId="0" xfId="0" applyFont="1" applyAlignment="1">
      <alignment vertical="top" wrapText="1"/>
    </xf>
    <xf numFmtId="0" fontId="4" fillId="0" borderId="0" xfId="0" applyFont="1" applyAlignment="1">
      <alignment horizontal="center" vertical="top"/>
    </xf>
    <xf numFmtId="0" fontId="4" fillId="0" borderId="25" xfId="0" applyFont="1" applyBorder="1" applyAlignment="1">
      <alignment horizontal="center" vertical="top"/>
    </xf>
    <xf numFmtId="173" fontId="4" fillId="0" borderId="25" xfId="46" applyNumberFormat="1" applyFont="1" applyBorder="1" applyAlignment="1">
      <alignment horizontal="right" vertical="top"/>
    </xf>
    <xf numFmtId="177" fontId="4" fillId="0" borderId="25" xfId="42" applyNumberFormat="1" applyFont="1" applyBorder="1" applyAlignment="1">
      <alignment horizontal="right" vertical="top"/>
    </xf>
    <xf numFmtId="174" fontId="4" fillId="0" borderId="25" xfId="46" applyNumberFormat="1" applyFont="1" applyBorder="1" applyAlignment="1">
      <alignment horizontal="right" vertical="top"/>
    </xf>
    <xf numFmtId="173" fontId="5" fillId="0" borderId="25" xfId="46" applyNumberFormat="1" applyFont="1" applyBorder="1" applyAlignment="1">
      <alignment horizontal="right" vertical="top"/>
    </xf>
    <xf numFmtId="173" fontId="4" fillId="0" borderId="0" xfId="46" applyNumberFormat="1" applyFont="1" applyBorder="1" applyAlignment="1">
      <alignment horizontal="right" vertical="top"/>
    </xf>
    <xf numFmtId="177" fontId="4" fillId="0" borderId="0" xfId="42" applyNumberFormat="1" applyFont="1" applyBorder="1" applyAlignment="1">
      <alignment horizontal="right" vertical="top"/>
    </xf>
    <xf numFmtId="172" fontId="4" fillId="0" borderId="0" xfId="46" applyNumberFormat="1" applyFont="1" applyBorder="1" applyAlignment="1">
      <alignment horizontal="right" vertical="top"/>
    </xf>
    <xf numFmtId="173" fontId="5" fillId="0" borderId="0" xfId="46" applyNumberFormat="1" applyFont="1" applyBorder="1" applyAlignment="1">
      <alignment horizontal="right" vertical="top"/>
    </xf>
    <xf numFmtId="174" fontId="4" fillId="0" borderId="0" xfId="46" applyNumberFormat="1" applyFont="1" applyBorder="1" applyAlignment="1">
      <alignment horizontal="right" vertical="top"/>
    </xf>
    <xf numFmtId="172" fontId="5" fillId="0" borderId="0" xfId="46" applyNumberFormat="1" applyFont="1" applyBorder="1" applyAlignment="1">
      <alignment horizontal="right" vertical="top"/>
    </xf>
    <xf numFmtId="173" fontId="5" fillId="0" borderId="13" xfId="46" applyNumberFormat="1" applyFont="1" applyBorder="1" applyAlignment="1">
      <alignment horizontal="center" vertical="top"/>
    </xf>
    <xf numFmtId="172" fontId="5" fillId="0" borderId="13" xfId="46" applyNumberFormat="1" applyFont="1" applyBorder="1" applyAlignment="1">
      <alignment horizontal="center" vertical="top"/>
    </xf>
    <xf numFmtId="178" fontId="24" fillId="0" borderId="0" xfId="42" applyNumberFormat="1" applyFont="1" applyBorder="1" applyAlignment="1">
      <alignment horizontal="right" vertical="top"/>
    </xf>
    <xf numFmtId="174" fontId="24" fillId="0" borderId="0" xfId="0" applyNumberFormat="1" applyFont="1" applyAlignment="1">
      <alignment vertical="top" wrapText="1"/>
    </xf>
    <xf numFmtId="0" fontId="24" fillId="0" borderId="0" xfId="61" applyFont="1" applyBorder="1" applyAlignment="1">
      <alignment horizontal="left" vertical="top" wrapText="1"/>
      <protection/>
    </xf>
    <xf numFmtId="0" fontId="4" fillId="0" borderId="0" xfId="0" applyFont="1" applyBorder="1" applyAlignment="1">
      <alignment/>
    </xf>
    <xf numFmtId="0" fontId="4" fillId="0" borderId="28" xfId="61" applyFont="1" applyBorder="1" applyAlignment="1">
      <alignment horizontal="left" vertical="top" wrapText="1"/>
      <protection/>
    </xf>
    <xf numFmtId="177" fontId="4" fillId="0" borderId="28" xfId="42" applyNumberFormat="1" applyFont="1" applyBorder="1" applyAlignment="1">
      <alignment horizontal="right" vertical="top"/>
    </xf>
    <xf numFmtId="177" fontId="5" fillId="0" borderId="28" xfId="42" applyNumberFormat="1" applyFont="1" applyBorder="1" applyAlignment="1">
      <alignment horizontal="right" vertical="top"/>
    </xf>
    <xf numFmtId="0" fontId="24" fillId="0" borderId="0" xfId="0" applyFont="1" applyAlignment="1">
      <alignment horizontal="left" vertical="top" wrapText="1"/>
    </xf>
    <xf numFmtId="177" fontId="24" fillId="0" borderId="28" xfId="42" applyNumberFormat="1" applyFont="1" applyBorder="1" applyAlignment="1">
      <alignment vertical="top" wrapText="1"/>
    </xf>
    <xf numFmtId="173" fontId="24" fillId="0" borderId="10" xfId="0" applyNumberFormat="1" applyFont="1" applyBorder="1" applyAlignment="1">
      <alignment/>
    </xf>
    <xf numFmtId="173" fontId="24" fillId="9" borderId="0" xfId="0" applyNumberFormat="1" applyFont="1" applyFill="1" applyBorder="1" applyAlignment="1">
      <alignment/>
    </xf>
    <xf numFmtId="173" fontId="24" fillId="9" borderId="0" xfId="61" applyNumberFormat="1" applyFont="1" applyFill="1" applyBorder="1">
      <alignment/>
      <protection/>
    </xf>
    <xf numFmtId="173" fontId="24" fillId="0" borderId="10" xfId="61" applyNumberFormat="1" applyFont="1" applyBorder="1" applyAlignment="1">
      <alignment vertical="center"/>
      <protection/>
    </xf>
    <xf numFmtId="173" fontId="24" fillId="0" borderId="10" xfId="61" applyNumberFormat="1" applyFont="1" applyBorder="1">
      <alignment/>
      <protection/>
    </xf>
    <xf numFmtId="173" fontId="4" fillId="0" borderId="0" xfId="61" applyNumberFormat="1" applyFont="1">
      <alignment/>
      <protection/>
    </xf>
    <xf numFmtId="173" fontId="5" fillId="0" borderId="13" xfId="62" applyNumberFormat="1" applyFont="1" applyBorder="1" applyAlignment="1">
      <alignment horizontal="right" vertical="center"/>
      <protection/>
    </xf>
    <xf numFmtId="172" fontId="4" fillId="0" borderId="0" xfId="45" applyNumberFormat="1" applyFont="1" applyAlignment="1">
      <alignment/>
    </xf>
    <xf numFmtId="174" fontId="5" fillId="9" borderId="11" xfId="47" applyNumberFormat="1" applyFont="1" applyFill="1" applyBorder="1" applyAlignment="1">
      <alignment vertical="center"/>
    </xf>
    <xf numFmtId="172" fontId="5" fillId="0" borderId="10" xfId="62" applyNumberFormat="1" applyFont="1" applyBorder="1" applyAlignment="1">
      <alignment vertical="center"/>
      <protection/>
    </xf>
    <xf numFmtId="0" fontId="0" fillId="0" borderId="28" xfId="0" applyBorder="1" applyAlignment="1">
      <alignment vertical="top" wrapText="1"/>
    </xf>
    <xf numFmtId="0" fontId="24" fillId="0" borderId="28" xfId="62" applyFont="1" applyBorder="1">
      <alignment/>
      <protection/>
    </xf>
    <xf numFmtId="0" fontId="31" fillId="0" borderId="28" xfId="62" applyFont="1" applyBorder="1" applyAlignment="1">
      <alignment horizontal="center" vertical="top" wrapText="1"/>
      <protection/>
    </xf>
    <xf numFmtId="41" fontId="24" fillId="0" borderId="28" xfId="62" applyNumberFormat="1" applyFont="1" applyBorder="1" applyAlignment="1">
      <alignment vertical="top"/>
      <protection/>
    </xf>
    <xf numFmtId="175" fontId="24" fillId="0" borderId="28" xfId="62" applyNumberFormat="1" applyFont="1" applyBorder="1" applyAlignment="1">
      <alignment vertical="top"/>
      <protection/>
    </xf>
    <xf numFmtId="0" fontId="24" fillId="36" borderId="0" xfId="61" applyFont="1" applyFill="1" applyBorder="1" applyAlignment="1">
      <alignment vertical="top" wrapText="1"/>
      <protection/>
    </xf>
    <xf numFmtId="0" fontId="74" fillId="0" borderId="28" xfId="61" applyFont="1" applyBorder="1">
      <alignment/>
      <protection/>
    </xf>
    <xf numFmtId="0" fontId="5" fillId="0" borderId="28" xfId="61" applyFont="1" applyBorder="1" applyAlignment="1">
      <alignment horizontal="center" vertical="top"/>
      <protection/>
    </xf>
    <xf numFmtId="178" fontId="5" fillId="0" borderId="28" xfId="42" applyNumberFormat="1" applyFont="1" applyFill="1" applyBorder="1" applyAlignment="1">
      <alignment horizontal="right"/>
    </xf>
    <xf numFmtId="177" fontId="5" fillId="0" borderId="28" xfId="42" applyNumberFormat="1" applyFont="1" applyFill="1" applyBorder="1" applyAlignment="1">
      <alignment horizontal="right"/>
    </xf>
    <xf numFmtId="178" fontId="5" fillId="0" borderId="28" xfId="42" applyNumberFormat="1" applyFont="1" applyFill="1" applyBorder="1" applyAlignment="1">
      <alignment/>
    </xf>
    <xf numFmtId="0" fontId="11" fillId="0" borderId="28" xfId="61" applyFont="1" applyBorder="1" applyAlignment="1">
      <alignment horizontal="left" wrapText="1"/>
      <protection/>
    </xf>
    <xf numFmtId="0" fontId="10" fillId="0" borderId="0" xfId="62" applyFont="1" applyAlignment="1">
      <alignment horizontal="center" vertical="top"/>
      <protection/>
    </xf>
    <xf numFmtId="0" fontId="31" fillId="0" borderId="27" xfId="62" applyFont="1" applyBorder="1" applyAlignment="1">
      <alignment horizontal="center" vertical="top" wrapText="1"/>
      <protection/>
    </xf>
    <xf numFmtId="0" fontId="11" fillId="0" borderId="27" xfId="62" applyFont="1" applyBorder="1" applyAlignment="1">
      <alignment vertical="top"/>
      <protection/>
    </xf>
    <xf numFmtId="0" fontId="24" fillId="0" borderId="27" xfId="62" applyFont="1" applyBorder="1" applyAlignment="1">
      <alignment vertical="top"/>
      <protection/>
    </xf>
    <xf numFmtId="41" fontId="24" fillId="0" borderId="27" xfId="62" applyNumberFormat="1" applyFont="1" applyBorder="1" applyAlignment="1">
      <alignment vertical="top"/>
      <protection/>
    </xf>
    <xf numFmtId="0" fontId="24" fillId="36" borderId="0" xfId="0" applyFont="1" applyFill="1" applyAlignment="1">
      <alignment vertical="top" wrapText="1"/>
    </xf>
    <xf numFmtId="178" fontId="4" fillId="36" borderId="28" xfId="42" applyNumberFormat="1" applyFont="1" applyFill="1" applyBorder="1" applyAlignment="1">
      <alignment horizontal="right" vertical="top" wrapText="1"/>
    </xf>
    <xf numFmtId="177" fontId="4" fillId="36" borderId="28" xfId="42" applyNumberFormat="1" applyFont="1" applyFill="1" applyBorder="1" applyAlignment="1">
      <alignment horizontal="right" vertical="top" wrapText="1"/>
    </xf>
    <xf numFmtId="0" fontId="0" fillId="0" borderId="28" xfId="0" applyBorder="1" applyAlignment="1">
      <alignment/>
    </xf>
    <xf numFmtId="174" fontId="24" fillId="0" borderId="27" xfId="62" applyNumberFormat="1" applyFont="1" applyBorder="1" applyAlignment="1">
      <alignment horizontal="right" vertical="top"/>
      <protection/>
    </xf>
    <xf numFmtId="0" fontId="5" fillId="0" borderId="28" xfId="61" applyFont="1" applyBorder="1" applyAlignment="1" quotePrefix="1">
      <alignment vertical="top" wrapText="1"/>
      <protection/>
    </xf>
    <xf numFmtId="0" fontId="5" fillId="0" borderId="39" xfId="62" applyFont="1" applyBorder="1" applyAlignment="1">
      <alignment horizontal="left" vertical="top"/>
      <protection/>
    </xf>
    <xf numFmtId="0" fontId="24" fillId="0" borderId="39" xfId="62" applyFont="1" applyBorder="1" applyAlignment="1">
      <alignment horizontal="left" vertical="top" wrapText="1"/>
      <protection/>
    </xf>
    <xf numFmtId="0" fontId="31" fillId="0" borderId="39" xfId="62" applyFont="1" applyFill="1" applyBorder="1" applyAlignment="1">
      <alignment horizontal="left" vertical="top" wrapText="1"/>
      <protection/>
    </xf>
    <xf numFmtId="0" fontId="24" fillId="0" borderId="39" xfId="62" applyFont="1" applyBorder="1" applyAlignment="1">
      <alignment vertical="top" wrapText="1"/>
      <protection/>
    </xf>
    <xf numFmtId="0" fontId="24" fillId="0" borderId="39" xfId="62" applyFont="1" applyBorder="1" applyAlignment="1">
      <alignment horizontal="center" vertical="top"/>
      <protection/>
    </xf>
    <xf numFmtId="175" fontId="24" fillId="0" borderId="39" xfId="47" applyNumberFormat="1" applyFont="1" applyBorder="1" applyAlignment="1">
      <alignment horizontal="right" vertical="top" wrapText="1"/>
    </xf>
    <xf numFmtId="0" fontId="5" fillId="0" borderId="14" xfId="62" applyFont="1" applyBorder="1" applyAlignment="1">
      <alignment horizontal="left" vertical="top"/>
      <protection/>
    </xf>
    <xf numFmtId="0" fontId="24" fillId="0" borderId="14" xfId="62" applyFont="1" applyBorder="1" applyAlignment="1">
      <alignment horizontal="left" vertical="top" wrapText="1"/>
      <protection/>
    </xf>
    <xf numFmtId="0" fontId="31" fillId="0" borderId="14" xfId="62" applyFont="1" applyFill="1" applyBorder="1" applyAlignment="1">
      <alignment horizontal="left" vertical="top" wrapText="1"/>
      <protection/>
    </xf>
    <xf numFmtId="0" fontId="24" fillId="0" borderId="14" xfId="62" applyFont="1" applyBorder="1" applyAlignment="1">
      <alignment vertical="top" wrapText="1"/>
      <protection/>
    </xf>
    <xf numFmtId="0" fontId="24" fillId="0" borderId="14" xfId="62" applyFont="1" applyBorder="1" applyAlignment="1">
      <alignment horizontal="center" vertical="top"/>
      <protection/>
    </xf>
    <xf numFmtId="175" fontId="24" fillId="0" borderId="14" xfId="47" applyNumberFormat="1" applyFont="1" applyBorder="1" applyAlignment="1">
      <alignment horizontal="right" vertical="top" wrapText="1"/>
    </xf>
    <xf numFmtId="0" fontId="10" fillId="0" borderId="14" xfId="62" applyFont="1" applyBorder="1" applyAlignment="1">
      <alignment horizontal="center"/>
      <protection/>
    </xf>
    <xf numFmtId="0" fontId="24" fillId="0" borderId="14" xfId="62" applyFont="1" applyBorder="1" applyAlignment="1">
      <alignment horizontal="left" vertical="top" wrapText="1"/>
      <protection/>
    </xf>
    <xf numFmtId="0" fontId="5" fillId="0" borderId="14" xfId="62" applyFont="1" applyBorder="1" applyAlignment="1">
      <alignment horizontal="left" vertical="top" wrapText="1"/>
      <protection/>
    </xf>
    <xf numFmtId="0" fontId="10" fillId="0" borderId="14" xfId="62" applyFont="1" applyBorder="1" applyAlignment="1">
      <alignment vertical="top" wrapText="1"/>
      <protection/>
    </xf>
    <xf numFmtId="0" fontId="24" fillId="0" borderId="14" xfId="62" applyFont="1" applyBorder="1" applyAlignment="1">
      <alignment horizontal="center" vertical="top" wrapText="1"/>
      <protection/>
    </xf>
    <xf numFmtId="0" fontId="24" fillId="0" borderId="14" xfId="62" applyFont="1" applyBorder="1" applyAlignment="1">
      <alignment horizontal="center" vertical="top" wrapText="1"/>
      <protection/>
    </xf>
    <xf numFmtId="0" fontId="7" fillId="0" borderId="14" xfId="62" applyFont="1" applyBorder="1" applyAlignment="1">
      <alignment vertical="top" wrapText="1"/>
      <protection/>
    </xf>
    <xf numFmtId="0" fontId="7" fillId="0" borderId="14" xfId="62" applyFont="1" applyBorder="1" applyAlignment="1">
      <alignment vertical="top"/>
      <protection/>
    </xf>
    <xf numFmtId="0" fontId="5" fillId="33" borderId="14" xfId="62" applyFont="1" applyFill="1" applyBorder="1" applyAlignment="1">
      <alignment horizontal="center" vertical="center"/>
      <protection/>
    </xf>
    <xf numFmtId="0" fontId="5" fillId="33" borderId="14" xfId="62" applyFont="1" applyFill="1" applyBorder="1" applyAlignment="1">
      <alignment horizontal="left"/>
      <protection/>
    </xf>
    <xf numFmtId="0" fontId="5" fillId="33" borderId="14" xfId="62" applyFont="1" applyFill="1" applyBorder="1">
      <alignment/>
      <protection/>
    </xf>
    <xf numFmtId="175" fontId="5" fillId="33" borderId="14" xfId="62" applyNumberFormat="1" applyFont="1" applyFill="1" applyBorder="1" applyAlignment="1">
      <alignment horizontal="right" vertical="center"/>
      <protection/>
    </xf>
    <xf numFmtId="0" fontId="5" fillId="0" borderId="37" xfId="62" applyFont="1" applyBorder="1" applyAlignment="1">
      <alignment horizontal="center" vertical="center"/>
      <protection/>
    </xf>
    <xf numFmtId="0" fontId="5" fillId="0" borderId="37" xfId="62" applyFont="1" applyBorder="1" applyAlignment="1">
      <alignment horizontal="left"/>
      <protection/>
    </xf>
    <xf numFmtId="0" fontId="5" fillId="0" borderId="37" xfId="62" applyFont="1" applyFill="1" applyBorder="1" applyAlignment="1">
      <alignment horizontal="center" vertical="center"/>
      <protection/>
    </xf>
    <xf numFmtId="0" fontId="5" fillId="0" borderId="37" xfId="62" applyFont="1" applyBorder="1" applyAlignment="1">
      <alignment vertical="center"/>
      <protection/>
    </xf>
    <xf numFmtId="173" fontId="5" fillId="0" borderId="37" xfId="47" applyNumberFormat="1" applyFont="1" applyBorder="1" applyAlignment="1">
      <alignment horizontal="center" vertical="center"/>
    </xf>
    <xf numFmtId="175" fontId="5" fillId="0" borderId="37" xfId="47" applyNumberFormat="1" applyFont="1" applyBorder="1" applyAlignment="1">
      <alignment vertical="center"/>
    </xf>
    <xf numFmtId="0" fontId="0" fillId="0" borderId="28" xfId="0" applyBorder="1" applyAlignment="1">
      <alignment wrapText="1"/>
    </xf>
    <xf numFmtId="0" fontId="5" fillId="36" borderId="28" xfId="61" applyFont="1" applyFill="1" applyBorder="1" applyAlignment="1">
      <alignment horizontal="left" vertical="top" wrapText="1"/>
      <protection/>
    </xf>
    <xf numFmtId="178" fontId="4" fillId="0" borderId="28" xfId="42" applyNumberFormat="1" applyFont="1" applyBorder="1" applyAlignment="1">
      <alignment horizontal="right" vertical="top"/>
    </xf>
    <xf numFmtId="178" fontId="5" fillId="0" borderId="28" xfId="42" applyNumberFormat="1" applyFont="1" applyBorder="1" applyAlignment="1">
      <alignment horizontal="right" vertical="top"/>
    </xf>
    <xf numFmtId="178" fontId="4" fillId="0" borderId="28" xfId="42" applyNumberFormat="1" applyFont="1" applyBorder="1" applyAlignment="1">
      <alignment vertical="top"/>
    </xf>
    <xf numFmtId="178" fontId="5" fillId="0" borderId="28" xfId="42" applyNumberFormat="1" applyFont="1" applyBorder="1" applyAlignment="1">
      <alignment vertical="top"/>
    </xf>
    <xf numFmtId="0" fontId="4" fillId="0" borderId="27" xfId="0" applyFont="1" applyBorder="1" applyAlignment="1">
      <alignment/>
    </xf>
    <xf numFmtId="0" fontId="5" fillId="0" borderId="28" xfId="61" applyFont="1" applyBorder="1" applyAlignment="1">
      <alignment horizontal="left"/>
      <protection/>
    </xf>
    <xf numFmtId="177" fontId="24" fillId="36" borderId="28" xfId="42" applyNumberFormat="1" applyFont="1" applyFill="1" applyBorder="1" applyAlignment="1">
      <alignment horizontal="right" vertical="top"/>
    </xf>
    <xf numFmtId="0" fontId="4" fillId="36" borderId="28" xfId="61" applyFont="1" applyFill="1" applyBorder="1" applyAlignment="1">
      <alignment horizontal="left" vertical="top"/>
      <protection/>
    </xf>
    <xf numFmtId="177" fontId="24" fillId="0" borderId="28" xfId="42" applyNumberFormat="1" applyFont="1" applyBorder="1" applyAlignment="1">
      <alignment/>
    </xf>
    <xf numFmtId="172" fontId="7" fillId="38" borderId="15" xfId="69" applyNumberFormat="1" applyFont="1" applyFill="1" applyBorder="1" applyAlignment="1">
      <alignment horizontal="right"/>
      <protection/>
    </xf>
    <xf numFmtId="1" fontId="13" fillId="0" borderId="0" xfId="46" applyNumberFormat="1" applyFont="1" applyBorder="1" applyAlignment="1">
      <alignment/>
    </xf>
    <xf numFmtId="1" fontId="11" fillId="0" borderId="0" xfId="47" applyNumberFormat="1" applyFont="1" applyBorder="1" applyAlignment="1">
      <alignment vertical="center"/>
    </xf>
    <xf numFmtId="172" fontId="11" fillId="0" borderId="0" xfId="62" applyNumberFormat="1" applyFont="1" applyBorder="1" applyAlignment="1">
      <alignment horizontal="right"/>
      <protection/>
    </xf>
    <xf numFmtId="173" fontId="11" fillId="0" borderId="0" xfId="62" applyNumberFormat="1" applyFont="1" applyBorder="1" applyAlignment="1">
      <alignment horizontal="right"/>
      <protection/>
    </xf>
    <xf numFmtId="173" fontId="5" fillId="0" borderId="13" xfId="46" applyNumberFormat="1" applyFont="1" applyBorder="1" applyAlignment="1">
      <alignment horizontal="center" vertical="center"/>
    </xf>
    <xf numFmtId="0" fontId="5" fillId="0" borderId="13" xfId="61" applyFont="1" applyBorder="1" applyAlignment="1">
      <alignment horizontal="center" vertical="center"/>
      <protection/>
    </xf>
    <xf numFmtId="172" fontId="5" fillId="0" borderId="13" xfId="46" applyNumberFormat="1" applyFont="1" applyBorder="1" applyAlignment="1">
      <alignment horizontal="center" vertical="center"/>
    </xf>
    <xf numFmtId="174" fontId="5" fillId="0" borderId="13" xfId="46" applyNumberFormat="1" applyFont="1" applyBorder="1" applyAlignment="1">
      <alignment horizontal="center" vertical="center"/>
    </xf>
    <xf numFmtId="174" fontId="4" fillId="0" borderId="0" xfId="46" applyNumberFormat="1" applyFont="1" applyAlignment="1">
      <alignment horizontal="right"/>
    </xf>
    <xf numFmtId="174" fontId="0" fillId="0" borderId="0" xfId="0" applyNumberFormat="1" applyAlignment="1">
      <alignment horizontal="right"/>
    </xf>
    <xf numFmtId="174" fontId="26" fillId="0" borderId="12" xfId="46" applyNumberFormat="1" applyFont="1" applyBorder="1" applyAlignment="1">
      <alignment horizontal="right"/>
    </xf>
    <xf numFmtId="174" fontId="5" fillId="0" borderId="0" xfId="61" applyNumberFormat="1" applyFont="1" applyBorder="1" applyAlignment="1">
      <alignment horizontal="right"/>
      <protection/>
    </xf>
    <xf numFmtId="174" fontId="4" fillId="0" borderId="0" xfId="61" applyNumberFormat="1" applyAlignment="1">
      <alignment horizontal="right"/>
      <protection/>
    </xf>
    <xf numFmtId="174" fontId="3" fillId="0" borderId="0" xfId="56" applyNumberFormat="1" applyAlignment="1" applyProtection="1">
      <alignment horizontal="right"/>
      <protection/>
    </xf>
    <xf numFmtId="173" fontId="26" fillId="0" borderId="12" xfId="46" applyNumberFormat="1" applyFont="1" applyBorder="1" applyAlignment="1">
      <alignment horizontal="center" vertical="top"/>
    </xf>
    <xf numFmtId="0" fontId="0" fillId="0" borderId="0" xfId="0" applyAlignment="1">
      <alignment horizontal="center" vertical="top"/>
    </xf>
    <xf numFmtId="173" fontId="12" fillId="9" borderId="0" xfId="46" applyNumberFormat="1" applyFont="1" applyFill="1" applyBorder="1" applyAlignment="1">
      <alignment horizontal="center" vertical="top"/>
    </xf>
    <xf numFmtId="0" fontId="4" fillId="0" borderId="0" xfId="61" applyFont="1" applyBorder="1" applyAlignment="1">
      <alignment horizontal="center" vertical="top"/>
      <protection/>
    </xf>
    <xf numFmtId="173" fontId="5" fillId="0" borderId="12" xfId="61" applyNumberFormat="1" applyFont="1" applyBorder="1" applyAlignment="1">
      <alignment horizontal="center" vertical="top"/>
      <protection/>
    </xf>
    <xf numFmtId="173" fontId="5" fillId="0" borderId="0" xfId="61" applyNumberFormat="1" applyFont="1" applyBorder="1" applyAlignment="1">
      <alignment horizontal="center" vertical="top"/>
      <protection/>
    </xf>
    <xf numFmtId="0" fontId="26" fillId="0" borderId="12" xfId="61" applyFont="1" applyBorder="1" applyAlignment="1">
      <alignment horizontal="center" vertical="top"/>
      <protection/>
    </xf>
    <xf numFmtId="0" fontId="4" fillId="0" borderId="10" xfId="61" applyFont="1" applyBorder="1" applyAlignment="1">
      <alignment horizontal="center" vertical="top"/>
      <protection/>
    </xf>
    <xf numFmtId="171" fontId="5" fillId="0" borderId="0" xfId="61" applyNumberFormat="1" applyFont="1" applyBorder="1" applyAlignment="1">
      <alignment horizontal="center" vertical="top"/>
      <protection/>
    </xf>
    <xf numFmtId="173" fontId="5" fillId="39" borderId="10" xfId="46" applyNumberFormat="1" applyFont="1" applyFill="1" applyBorder="1" applyAlignment="1">
      <alignment/>
    </xf>
    <xf numFmtId="172" fontId="5" fillId="39" borderId="10" xfId="46" applyNumberFormat="1" applyFont="1" applyFill="1" applyBorder="1" applyAlignment="1">
      <alignment/>
    </xf>
    <xf numFmtId="0" fontId="74" fillId="3" borderId="14" xfId="62" applyFont="1" applyFill="1" applyBorder="1">
      <alignment/>
      <protection/>
    </xf>
    <xf numFmtId="173" fontId="11" fillId="3" borderId="14" xfId="46" applyNumberFormat="1" applyFont="1" applyFill="1" applyBorder="1" applyAlignment="1">
      <alignment horizontal="right"/>
    </xf>
    <xf numFmtId="177" fontId="11" fillId="3" borderId="14" xfId="42" applyNumberFormat="1" applyFont="1" applyFill="1" applyBorder="1" applyAlignment="1">
      <alignment horizontal="right"/>
    </xf>
    <xf numFmtId="172" fontId="11" fillId="3" borderId="14" xfId="46" applyNumberFormat="1" applyFont="1" applyFill="1" applyBorder="1" applyAlignment="1">
      <alignment horizontal="right"/>
    </xf>
    <xf numFmtId="173" fontId="5" fillId="3" borderId="14" xfId="62" applyNumberFormat="1" applyFont="1" applyFill="1" applyBorder="1" applyAlignment="1">
      <alignment horizontal="center"/>
      <protection/>
    </xf>
    <xf numFmtId="177" fontId="5" fillId="3" borderId="14" xfId="42" applyNumberFormat="1" applyFont="1" applyFill="1" applyBorder="1" applyAlignment="1">
      <alignment horizontal="right"/>
    </xf>
    <xf numFmtId="0" fontId="5" fillId="3" borderId="37" xfId="62" applyFont="1" applyFill="1" applyBorder="1">
      <alignment/>
      <protection/>
    </xf>
    <xf numFmtId="173" fontId="11" fillId="3" borderId="37" xfId="46" applyNumberFormat="1" applyFont="1" applyFill="1" applyBorder="1" applyAlignment="1">
      <alignment horizontal="right"/>
    </xf>
    <xf numFmtId="172" fontId="11" fillId="3" borderId="37" xfId="46" applyNumberFormat="1" applyFont="1" applyFill="1" applyBorder="1" applyAlignment="1">
      <alignment horizontal="right"/>
    </xf>
    <xf numFmtId="177" fontId="11" fillId="3" borderId="37" xfId="42" applyNumberFormat="1" applyFont="1" applyFill="1" applyBorder="1" applyAlignment="1">
      <alignment horizontal="right"/>
    </xf>
    <xf numFmtId="173" fontId="5" fillId="3" borderId="37" xfId="62" applyNumberFormat="1" applyFont="1" applyFill="1" applyBorder="1" applyAlignment="1">
      <alignment horizontal="center"/>
      <protection/>
    </xf>
    <xf numFmtId="177" fontId="5" fillId="3" borderId="37" xfId="42" applyNumberFormat="1" applyFont="1" applyFill="1" applyBorder="1" applyAlignment="1">
      <alignment horizontal="right"/>
    </xf>
    <xf numFmtId="0" fontId="5" fillId="3" borderId="14" xfId="62" applyFont="1" applyFill="1" applyBorder="1">
      <alignment/>
      <protection/>
    </xf>
    <xf numFmtId="173" fontId="7" fillId="3" borderId="14" xfId="46" applyNumberFormat="1" applyFont="1" applyFill="1" applyBorder="1" applyAlignment="1">
      <alignment horizontal="right"/>
    </xf>
    <xf numFmtId="177" fontId="7" fillId="3" borderId="14" xfId="42" applyNumberFormat="1" applyFont="1" applyFill="1" applyBorder="1" applyAlignment="1">
      <alignment horizontal="right"/>
    </xf>
    <xf numFmtId="0" fontId="7" fillId="3" borderId="14" xfId="62" applyFont="1" applyFill="1" applyBorder="1" applyAlignment="1">
      <alignment horizontal="right"/>
      <protection/>
    </xf>
    <xf numFmtId="177" fontId="7" fillId="3" borderId="14" xfId="42" applyNumberFormat="1" applyFont="1" applyFill="1" applyBorder="1" applyAlignment="1">
      <alignment/>
    </xf>
    <xf numFmtId="173" fontId="7" fillId="3" borderId="14" xfId="46" applyNumberFormat="1" applyFont="1" applyFill="1" applyBorder="1" applyAlignment="1">
      <alignment/>
    </xf>
    <xf numFmtId="173" fontId="7" fillId="3" borderId="14" xfId="46" applyNumberFormat="1" applyFont="1" applyFill="1" applyBorder="1" applyAlignment="1">
      <alignment horizontal="center"/>
    </xf>
    <xf numFmtId="0" fontId="7" fillId="3" borderId="14" xfId="62" applyFont="1" applyFill="1" applyBorder="1" applyAlignment="1">
      <alignment horizontal="center"/>
      <protection/>
    </xf>
    <xf numFmtId="0" fontId="5" fillId="3" borderId="14" xfId="62" applyFont="1" applyFill="1" applyBorder="1" applyAlignment="1">
      <alignment vertical="center"/>
      <protection/>
    </xf>
    <xf numFmtId="0" fontId="5" fillId="3" borderId="39" xfId="62" applyFont="1" applyFill="1" applyBorder="1">
      <alignment/>
      <protection/>
    </xf>
    <xf numFmtId="0" fontId="7" fillId="3" borderId="39" xfId="62" applyFont="1" applyFill="1" applyBorder="1" applyAlignment="1">
      <alignment horizontal="center"/>
      <protection/>
    </xf>
    <xf numFmtId="177" fontId="7" fillId="3" borderId="39" xfId="42" applyNumberFormat="1" applyFont="1" applyFill="1" applyBorder="1" applyAlignment="1">
      <alignment/>
    </xf>
    <xf numFmtId="0" fontId="7" fillId="3" borderId="39" xfId="62" applyFont="1" applyFill="1" applyBorder="1">
      <alignment/>
      <protection/>
    </xf>
    <xf numFmtId="173" fontId="7" fillId="3" borderId="39" xfId="46" applyNumberFormat="1" applyFont="1" applyFill="1" applyBorder="1" applyAlignment="1">
      <alignment horizontal="center"/>
    </xf>
    <xf numFmtId="177" fontId="7" fillId="3" borderId="39" xfId="42" applyNumberFormat="1" applyFont="1" applyFill="1" applyBorder="1" applyAlignment="1">
      <alignment horizontal="right"/>
    </xf>
    <xf numFmtId="173" fontId="7" fillId="3" borderId="39" xfId="46" applyNumberFormat="1" applyFont="1" applyFill="1" applyBorder="1" applyAlignment="1">
      <alignment/>
    </xf>
    <xf numFmtId="0" fontId="11" fillId="36" borderId="0" xfId="61" applyFont="1" applyFill="1" applyBorder="1" applyAlignment="1">
      <alignment horizontal="center"/>
      <protection/>
    </xf>
    <xf numFmtId="174" fontId="11" fillId="36" borderId="0" xfId="46" applyNumberFormat="1" applyFont="1" applyFill="1" applyBorder="1" applyAlignment="1">
      <alignment horizontal="right"/>
    </xf>
    <xf numFmtId="1" fontId="11" fillId="36" borderId="0" xfId="46" applyNumberFormat="1" applyFont="1" applyFill="1" applyBorder="1" applyAlignment="1">
      <alignment horizontal="right"/>
    </xf>
    <xf numFmtId="174" fontId="11" fillId="36" borderId="10" xfId="47" applyNumberFormat="1" applyFont="1" applyFill="1" applyBorder="1" applyAlignment="1">
      <alignment horizontal="right" vertical="center"/>
    </xf>
    <xf numFmtId="174" fontId="11" fillId="36" borderId="0" xfId="47" applyNumberFormat="1" applyFont="1" applyFill="1" applyBorder="1" applyAlignment="1">
      <alignment horizontal="right" vertical="center"/>
    </xf>
    <xf numFmtId="0" fontId="4" fillId="9" borderId="37" xfId="61" applyFont="1" applyFill="1" applyBorder="1" applyAlignment="1">
      <alignment horizontal="center" vertical="top"/>
      <protection/>
    </xf>
    <xf numFmtId="174" fontId="4" fillId="0" borderId="0" xfId="46" applyNumberFormat="1" applyFont="1" applyBorder="1" applyAlignment="1">
      <alignment horizontal="right"/>
    </xf>
    <xf numFmtId="0" fontId="4" fillId="9" borderId="0" xfId="61" applyFont="1" applyFill="1" applyBorder="1" applyAlignment="1">
      <alignment horizontal="center" vertical="top"/>
      <protection/>
    </xf>
    <xf numFmtId="174" fontId="4" fillId="9" borderId="0" xfId="61" applyNumberFormat="1" applyFont="1" applyFill="1" applyBorder="1" applyAlignment="1">
      <alignment horizontal="center"/>
      <protection/>
    </xf>
    <xf numFmtId="174" fontId="4" fillId="9" borderId="0" xfId="61" applyNumberFormat="1" applyFont="1" applyFill="1" applyBorder="1" applyAlignment="1">
      <alignment horizontal="right"/>
      <protection/>
    </xf>
    <xf numFmtId="174" fontId="4" fillId="0" borderId="10" xfId="61" applyNumberFormat="1" applyFont="1" applyBorder="1" applyAlignment="1">
      <alignment horizontal="center"/>
      <protection/>
    </xf>
    <xf numFmtId="172" fontId="5" fillId="0" borderId="12" xfId="61" applyNumberFormat="1" applyFont="1" applyBorder="1" applyAlignment="1">
      <alignment horizontal="center" vertical="top"/>
      <protection/>
    </xf>
    <xf numFmtId="0" fontId="5" fillId="39" borderId="11" xfId="62" applyFont="1" applyFill="1" applyBorder="1">
      <alignment/>
      <protection/>
    </xf>
    <xf numFmtId="0" fontId="4" fillId="39" borderId="11" xfId="61" applyFont="1" applyFill="1" applyBorder="1" applyAlignment="1">
      <alignment horizontal="center"/>
      <protection/>
    </xf>
    <xf numFmtId="172" fontId="4" fillId="39" borderId="11" xfId="46" applyNumberFormat="1" applyFont="1" applyFill="1" applyBorder="1" applyAlignment="1">
      <alignment horizontal="right"/>
    </xf>
    <xf numFmtId="174" fontId="4" fillId="39" borderId="11" xfId="46" applyNumberFormat="1" applyFont="1" applyFill="1" applyBorder="1" applyAlignment="1">
      <alignment horizontal="right"/>
    </xf>
    <xf numFmtId="173" fontId="4" fillId="39" borderId="11" xfId="46" applyNumberFormat="1" applyFont="1" applyFill="1" applyBorder="1" applyAlignment="1">
      <alignment horizontal="right"/>
    </xf>
    <xf numFmtId="173" fontId="5" fillId="39" borderId="11" xfId="46" applyNumberFormat="1" applyFont="1" applyFill="1" applyBorder="1" applyAlignment="1">
      <alignment horizontal="center"/>
    </xf>
    <xf numFmtId="174" fontId="5" fillId="39" borderId="11" xfId="46" applyNumberFormat="1" applyFont="1" applyFill="1" applyBorder="1" applyAlignment="1">
      <alignment horizontal="center"/>
    </xf>
    <xf numFmtId="0" fontId="5" fillId="39" borderId="0" xfId="61" applyFont="1" applyFill="1" applyBorder="1">
      <alignment/>
      <protection/>
    </xf>
    <xf numFmtId="0" fontId="12" fillId="39" borderId="0" xfId="61" applyFont="1" applyFill="1" applyBorder="1" applyAlignment="1">
      <alignment horizontal="center"/>
      <protection/>
    </xf>
    <xf numFmtId="172" fontId="12" fillId="39" borderId="0" xfId="46" applyNumberFormat="1" applyFont="1" applyFill="1" applyBorder="1" applyAlignment="1">
      <alignment/>
    </xf>
    <xf numFmtId="173" fontId="12" fillId="39" borderId="0" xfId="46" applyNumberFormat="1" applyFont="1" applyFill="1" applyBorder="1" applyAlignment="1">
      <alignment/>
    </xf>
    <xf numFmtId="174" fontId="12" fillId="39" borderId="0" xfId="46" applyNumberFormat="1" applyFont="1" applyFill="1" applyBorder="1" applyAlignment="1">
      <alignment/>
    </xf>
    <xf numFmtId="173" fontId="12" fillId="39" borderId="0" xfId="46" applyNumberFormat="1" applyFont="1" applyFill="1" applyBorder="1" applyAlignment="1">
      <alignment horizontal="center"/>
    </xf>
    <xf numFmtId="0" fontId="5" fillId="39" borderId="11" xfId="61" applyFont="1" applyFill="1" applyBorder="1">
      <alignment/>
      <protection/>
    </xf>
    <xf numFmtId="172" fontId="4" fillId="39" borderId="11" xfId="46" applyNumberFormat="1" applyFont="1" applyFill="1" applyBorder="1" applyAlignment="1">
      <alignment/>
    </xf>
    <xf numFmtId="173" fontId="4" fillId="39" borderId="11" xfId="46" applyNumberFormat="1" applyFont="1" applyFill="1" applyBorder="1" applyAlignment="1">
      <alignment horizontal="center"/>
    </xf>
    <xf numFmtId="174" fontId="4" fillId="39" borderId="11" xfId="46" applyNumberFormat="1" applyFont="1" applyFill="1" applyBorder="1" applyAlignment="1">
      <alignment horizontal="center"/>
    </xf>
    <xf numFmtId="178" fontId="4" fillId="39" borderId="11" xfId="46" applyNumberFormat="1" applyFont="1" applyFill="1" applyBorder="1" applyAlignment="1">
      <alignment horizontal="center"/>
    </xf>
    <xf numFmtId="172" fontId="4" fillId="39" borderId="11" xfId="46" applyNumberFormat="1" applyFont="1" applyFill="1" applyBorder="1" applyAlignment="1">
      <alignment horizontal="center"/>
    </xf>
    <xf numFmtId="173" fontId="4" fillId="39" borderId="11" xfId="46" applyNumberFormat="1" applyFont="1" applyFill="1" applyBorder="1" applyAlignment="1">
      <alignment/>
    </xf>
    <xf numFmtId="174" fontId="4" fillId="39" borderId="11" xfId="46" applyNumberFormat="1" applyFont="1" applyFill="1" applyBorder="1" applyAlignment="1">
      <alignment/>
    </xf>
    <xf numFmtId="0" fontId="5" fillId="39" borderId="0" xfId="62" applyFont="1" applyFill="1" applyBorder="1">
      <alignment/>
      <protection/>
    </xf>
    <xf numFmtId="0" fontId="4" fillId="39" borderId="0" xfId="61" applyFont="1" applyFill="1" applyAlignment="1">
      <alignment horizontal="center"/>
      <protection/>
    </xf>
    <xf numFmtId="172" fontId="4" fillId="39" borderId="0" xfId="46" applyNumberFormat="1" applyFont="1" applyFill="1" applyAlignment="1">
      <alignment/>
    </xf>
    <xf numFmtId="173" fontId="4" fillId="39" borderId="0" xfId="46" applyNumberFormat="1" applyFont="1" applyFill="1" applyAlignment="1">
      <alignment/>
    </xf>
    <xf numFmtId="174" fontId="4" fillId="39" borderId="0" xfId="46" applyNumberFormat="1" applyFont="1" applyFill="1" applyAlignment="1">
      <alignment/>
    </xf>
    <xf numFmtId="0" fontId="4" fillId="39" borderId="0" xfId="61" applyFont="1" applyFill="1">
      <alignment/>
      <protection/>
    </xf>
    <xf numFmtId="174" fontId="4" fillId="39" borderId="0" xfId="61" applyNumberFormat="1" applyFont="1" applyFill="1">
      <alignment/>
      <protection/>
    </xf>
    <xf numFmtId="173" fontId="4" fillId="39" borderId="0" xfId="46" applyNumberFormat="1" applyFont="1" applyFill="1" applyAlignment="1">
      <alignment horizontal="center"/>
    </xf>
    <xf numFmtId="172" fontId="4" fillId="39" borderId="0" xfId="61" applyNumberFormat="1" applyFont="1" applyFill="1">
      <alignment/>
      <protection/>
    </xf>
    <xf numFmtId="173" fontId="4" fillId="39" borderId="0" xfId="46" applyNumberFormat="1" applyFont="1" applyFill="1" applyAlignment="1">
      <alignment horizontal="center"/>
    </xf>
    <xf numFmtId="174" fontId="4" fillId="39" borderId="0" xfId="61" applyNumberFormat="1" applyFont="1" applyFill="1">
      <alignment/>
      <protection/>
    </xf>
    <xf numFmtId="0" fontId="5" fillId="3" borderId="0" xfId="61" applyFont="1" applyFill="1" applyBorder="1">
      <alignment/>
      <protection/>
    </xf>
    <xf numFmtId="0" fontId="12" fillId="3" borderId="0" xfId="61" applyFont="1" applyFill="1" applyBorder="1" applyAlignment="1">
      <alignment/>
      <protection/>
    </xf>
    <xf numFmtId="177" fontId="12" fillId="3" borderId="0" xfId="42" applyNumberFormat="1" applyFont="1" applyFill="1" applyBorder="1" applyAlignment="1">
      <alignment/>
    </xf>
    <xf numFmtId="173" fontId="12" fillId="3" borderId="0" xfId="46" applyNumberFormat="1" applyFont="1" applyFill="1" applyBorder="1" applyAlignment="1">
      <alignment/>
    </xf>
    <xf numFmtId="174" fontId="12" fillId="3" borderId="0" xfId="46" applyNumberFormat="1" applyFont="1" applyFill="1" applyBorder="1" applyAlignment="1">
      <alignment/>
    </xf>
    <xf numFmtId="173" fontId="12" fillId="3" borderId="0" xfId="46" applyNumberFormat="1" applyFont="1" applyFill="1" applyBorder="1" applyAlignment="1">
      <alignment horizontal="right"/>
    </xf>
    <xf numFmtId="174" fontId="12" fillId="3" borderId="0" xfId="46" applyNumberFormat="1" applyFont="1" applyFill="1" applyBorder="1" applyAlignment="1">
      <alignment horizontal="right"/>
    </xf>
    <xf numFmtId="0" fontId="5" fillId="3" borderId="0" xfId="62" applyFont="1" applyFill="1" applyBorder="1">
      <alignment/>
      <protection/>
    </xf>
    <xf numFmtId="0" fontId="11" fillId="3" borderId="0" xfId="61" applyFont="1" applyFill="1" applyBorder="1" applyAlignment="1">
      <alignment horizontal="center"/>
      <protection/>
    </xf>
    <xf numFmtId="174" fontId="11" fillId="3" borderId="0" xfId="46" applyNumberFormat="1" applyFont="1" applyFill="1" applyBorder="1" applyAlignment="1">
      <alignment horizontal="right"/>
    </xf>
    <xf numFmtId="173" fontId="11" fillId="3" borderId="0" xfId="46" applyNumberFormat="1" applyFont="1" applyFill="1" applyBorder="1" applyAlignment="1">
      <alignment horizontal="right"/>
    </xf>
    <xf numFmtId="177" fontId="11" fillId="3" borderId="0" xfId="42" applyNumberFormat="1" applyFont="1" applyFill="1" applyBorder="1" applyAlignment="1">
      <alignment horizontal="right"/>
    </xf>
    <xf numFmtId="1" fontId="11" fillId="3" borderId="0" xfId="46" applyNumberFormat="1" applyFont="1" applyFill="1" applyBorder="1" applyAlignment="1">
      <alignment horizontal="right"/>
    </xf>
    <xf numFmtId="173" fontId="5" fillId="3" borderId="0" xfId="46" applyNumberFormat="1" applyFont="1" applyFill="1" applyBorder="1" applyAlignment="1">
      <alignment/>
    </xf>
    <xf numFmtId="174" fontId="5" fillId="3" borderId="0" xfId="46" applyNumberFormat="1" applyFont="1" applyFill="1" applyBorder="1" applyAlignment="1">
      <alignment horizontal="right"/>
    </xf>
    <xf numFmtId="172" fontId="5" fillId="3" borderId="0" xfId="46" applyNumberFormat="1" applyFont="1" applyFill="1" applyBorder="1" applyAlignment="1">
      <alignment/>
    </xf>
    <xf numFmtId="0" fontId="5" fillId="3" borderId="0" xfId="62" applyFont="1" applyFill="1" applyBorder="1" applyAlignment="1">
      <alignment vertical="center"/>
      <protection/>
    </xf>
    <xf numFmtId="174" fontId="11" fillId="3" borderId="0" xfId="46" applyNumberFormat="1" applyFont="1" applyFill="1" applyBorder="1" applyAlignment="1">
      <alignment/>
    </xf>
    <xf numFmtId="173" fontId="11" fillId="3" borderId="0" xfId="46" applyNumberFormat="1" applyFont="1" applyFill="1" applyBorder="1" applyAlignment="1">
      <alignment/>
    </xf>
    <xf numFmtId="173" fontId="11" fillId="3" borderId="0" xfId="46" applyNumberFormat="1" applyFont="1" applyFill="1" applyBorder="1" applyAlignment="1">
      <alignment horizontal="center"/>
    </xf>
    <xf numFmtId="177" fontId="11" fillId="3" borderId="0" xfId="42" applyNumberFormat="1" applyFont="1" applyFill="1" applyBorder="1" applyAlignment="1">
      <alignment horizontal="center"/>
    </xf>
    <xf numFmtId="177" fontId="11" fillId="3" borderId="0" xfId="42" applyNumberFormat="1" applyFont="1" applyFill="1" applyBorder="1" applyAlignment="1">
      <alignment/>
    </xf>
    <xf numFmtId="0" fontId="11" fillId="36" borderId="0" xfId="62" applyFont="1" applyFill="1" applyBorder="1">
      <alignment/>
      <protection/>
    </xf>
    <xf numFmtId="0" fontId="24" fillId="36" borderId="0" xfId="61" applyFont="1" applyFill="1" applyBorder="1" applyAlignment="1">
      <alignment horizontal="right"/>
      <protection/>
    </xf>
    <xf numFmtId="173" fontId="26" fillId="0" borderId="13" xfId="46" applyNumberFormat="1" applyFont="1" applyBorder="1" applyAlignment="1">
      <alignment horizontal="center" textRotation="46" wrapText="1"/>
    </xf>
    <xf numFmtId="174" fontId="0" fillId="37" borderId="0" xfId="0" applyNumberFormat="1" applyFill="1" applyAlignment="1">
      <alignment/>
    </xf>
    <xf numFmtId="0" fontId="26" fillId="37" borderId="13" xfId="62" applyFont="1" applyFill="1" applyBorder="1" applyAlignment="1">
      <alignment horizontal="center" textRotation="58"/>
      <protection/>
    </xf>
    <xf numFmtId="174" fontId="10" fillId="37" borderId="0" xfId="47" applyNumberFormat="1" applyFont="1" applyFill="1" applyAlignment="1">
      <alignment/>
    </xf>
    <xf numFmtId="174" fontId="5" fillId="37" borderId="13" xfId="62" applyNumberFormat="1" applyFont="1" applyFill="1" applyBorder="1" applyAlignment="1">
      <alignment horizontal="right" vertical="center"/>
      <protection/>
    </xf>
    <xf numFmtId="174" fontId="11" fillId="37" borderId="25" xfId="62" applyNumberFormat="1" applyFont="1" applyFill="1" applyBorder="1" applyAlignment="1">
      <alignment vertical="center"/>
      <protection/>
    </xf>
    <xf numFmtId="174" fontId="11" fillId="37" borderId="0" xfId="47" applyNumberFormat="1" applyFont="1" applyFill="1" applyBorder="1" applyAlignment="1">
      <alignment horizontal="right" vertical="center"/>
    </xf>
    <xf numFmtId="174" fontId="11" fillId="37" borderId="10" xfId="47" applyNumberFormat="1" applyFont="1" applyFill="1" applyBorder="1" applyAlignment="1">
      <alignment horizontal="right" vertical="center"/>
    </xf>
    <xf numFmtId="174" fontId="11" fillId="37" borderId="0" xfId="47" applyNumberFormat="1" applyFont="1" applyFill="1" applyBorder="1" applyAlignment="1">
      <alignment vertical="center"/>
    </xf>
    <xf numFmtId="177" fontId="5" fillId="37" borderId="13" xfId="42" applyNumberFormat="1" applyFont="1" applyFill="1" applyBorder="1" applyAlignment="1">
      <alignment vertical="center"/>
    </xf>
    <xf numFmtId="174" fontId="2" fillId="37" borderId="0" xfId="0" applyNumberFormat="1" applyFont="1" applyFill="1" applyAlignment="1">
      <alignment/>
    </xf>
    <xf numFmtId="174" fontId="10" fillId="37" borderId="0" xfId="62" applyNumberFormat="1" applyFont="1" applyFill="1">
      <alignment/>
      <protection/>
    </xf>
    <xf numFmtId="0" fontId="11" fillId="3" borderId="14" xfId="61" applyFont="1" applyFill="1" applyBorder="1" applyAlignment="1">
      <alignment horizontal="center"/>
      <protection/>
    </xf>
    <xf numFmtId="174" fontId="11" fillId="3" borderId="14" xfId="46" applyNumberFormat="1" applyFont="1" applyFill="1" applyBorder="1" applyAlignment="1">
      <alignment/>
    </xf>
    <xf numFmtId="173" fontId="11" fillId="3" borderId="14" xfId="46" applyNumberFormat="1" applyFont="1" applyFill="1" applyBorder="1" applyAlignment="1">
      <alignment/>
    </xf>
    <xf numFmtId="173" fontId="11" fillId="3" borderId="14" xfId="46" applyNumberFormat="1" applyFont="1" applyFill="1" applyBorder="1" applyAlignment="1">
      <alignment horizontal="center"/>
    </xf>
    <xf numFmtId="177" fontId="11" fillId="3" borderId="14" xfId="42" applyNumberFormat="1" applyFont="1" applyFill="1" applyBorder="1" applyAlignment="1">
      <alignment horizontal="center"/>
    </xf>
    <xf numFmtId="177" fontId="11" fillId="3" borderId="14" xfId="42" applyNumberFormat="1" applyFont="1" applyFill="1" applyBorder="1" applyAlignment="1">
      <alignment/>
    </xf>
    <xf numFmtId="174" fontId="11" fillId="3" borderId="14" xfId="46" applyNumberFormat="1" applyFont="1" applyFill="1" applyBorder="1" applyAlignment="1">
      <alignment horizontal="right"/>
    </xf>
    <xf numFmtId="1" fontId="11" fillId="3" borderId="14" xfId="46" applyNumberFormat="1" applyFont="1" applyFill="1" applyBorder="1" applyAlignment="1">
      <alignment horizontal="right"/>
    </xf>
    <xf numFmtId="173" fontId="5" fillId="3" borderId="14" xfId="46" applyNumberFormat="1" applyFont="1" applyFill="1" applyBorder="1" applyAlignment="1">
      <alignment/>
    </xf>
    <xf numFmtId="172" fontId="5" fillId="3" borderId="14" xfId="46" applyNumberFormat="1" applyFont="1" applyFill="1" applyBorder="1" applyAlignment="1">
      <alignment/>
    </xf>
    <xf numFmtId="0" fontId="4" fillId="3" borderId="37" xfId="61" applyFont="1" applyFill="1" applyBorder="1" applyAlignment="1">
      <alignment horizontal="center"/>
      <protection/>
    </xf>
    <xf numFmtId="174" fontId="4" fillId="3" borderId="37" xfId="46" applyNumberFormat="1" applyFont="1" applyFill="1" applyBorder="1" applyAlignment="1">
      <alignment/>
    </xf>
    <xf numFmtId="173" fontId="4" fillId="3" borderId="37" xfId="46" applyNumberFormat="1" applyFont="1" applyFill="1" applyBorder="1" applyAlignment="1">
      <alignment/>
    </xf>
    <xf numFmtId="177" fontId="4" fillId="3" borderId="37" xfId="42" applyNumberFormat="1" applyFont="1" applyFill="1" applyBorder="1" applyAlignment="1">
      <alignment/>
    </xf>
    <xf numFmtId="0" fontId="4" fillId="3" borderId="37" xfId="61" applyFont="1" applyFill="1" applyBorder="1">
      <alignment/>
      <protection/>
    </xf>
    <xf numFmtId="0" fontId="11" fillId="3" borderId="37" xfId="61" applyFont="1" applyFill="1" applyBorder="1">
      <alignment/>
      <protection/>
    </xf>
    <xf numFmtId="177" fontId="11" fillId="3" borderId="37" xfId="42" applyNumberFormat="1" applyFont="1" applyFill="1" applyBorder="1" applyAlignment="1">
      <alignment/>
    </xf>
    <xf numFmtId="0" fontId="4" fillId="3" borderId="37" xfId="61" applyFont="1" applyFill="1" applyBorder="1" applyAlignment="1">
      <alignment horizontal="center" vertical="top"/>
      <protection/>
    </xf>
    <xf numFmtId="174" fontId="4" fillId="3" borderId="37" xfId="61" applyNumberFormat="1" applyFont="1" applyFill="1" applyBorder="1" applyAlignment="1">
      <alignment horizontal="right"/>
      <protection/>
    </xf>
    <xf numFmtId="173" fontId="11" fillId="3" borderId="37" xfId="46" applyNumberFormat="1" applyFont="1" applyFill="1" applyBorder="1" applyAlignment="1">
      <alignment horizontal="center"/>
    </xf>
    <xf numFmtId="173" fontId="11" fillId="3" borderId="37" xfId="46" applyNumberFormat="1" applyFont="1" applyFill="1" applyBorder="1" applyAlignment="1">
      <alignment/>
    </xf>
    <xf numFmtId="173" fontId="4" fillId="3" borderId="37" xfId="46" applyNumberFormat="1" applyFont="1" applyFill="1" applyBorder="1" applyAlignment="1">
      <alignment horizontal="center"/>
    </xf>
    <xf numFmtId="177" fontId="24" fillId="3" borderId="37" xfId="42" applyNumberFormat="1" applyFont="1" applyFill="1" applyBorder="1" applyAlignment="1">
      <alignment/>
    </xf>
    <xf numFmtId="1" fontId="4" fillId="3" borderId="37" xfId="61" applyNumberFormat="1" applyFont="1" applyFill="1" applyBorder="1">
      <alignment/>
      <protection/>
    </xf>
    <xf numFmtId="174" fontId="4" fillId="3" borderId="37" xfId="61" applyNumberFormat="1" applyFont="1" applyFill="1" applyBorder="1">
      <alignment/>
      <protection/>
    </xf>
    <xf numFmtId="173" fontId="5" fillId="3" borderId="37" xfId="46" applyNumberFormat="1" applyFont="1" applyFill="1" applyBorder="1" applyAlignment="1">
      <alignment/>
    </xf>
    <xf numFmtId="172" fontId="5" fillId="3" borderId="37" xfId="46" applyNumberFormat="1" applyFont="1" applyFill="1" applyBorder="1" applyAlignment="1">
      <alignment/>
    </xf>
    <xf numFmtId="173" fontId="24" fillId="36" borderId="0" xfId="47" applyNumberFormat="1" applyFont="1" applyFill="1" applyBorder="1" applyAlignment="1">
      <alignment vertical="center"/>
    </xf>
    <xf numFmtId="174" fontId="24" fillId="36" borderId="0" xfId="47" applyNumberFormat="1" applyFont="1" applyFill="1" applyBorder="1" applyAlignment="1">
      <alignment vertical="center"/>
    </xf>
    <xf numFmtId="173" fontId="24" fillId="36" borderId="0" xfId="47" applyNumberFormat="1" applyFont="1" applyFill="1" applyBorder="1" applyAlignment="1">
      <alignment horizontal="right" vertical="center"/>
    </xf>
    <xf numFmtId="174" fontId="24" fillId="36" borderId="0" xfId="47" applyNumberFormat="1" applyFont="1" applyFill="1" applyBorder="1" applyAlignment="1">
      <alignment horizontal="right" vertical="center"/>
    </xf>
    <xf numFmtId="173" fontId="24" fillId="36" borderId="10" xfId="47" applyNumberFormat="1" applyFont="1" applyFill="1" applyBorder="1" applyAlignment="1">
      <alignment horizontal="right" vertical="center"/>
    </xf>
    <xf numFmtId="174" fontId="24" fillId="36" borderId="10" xfId="47" applyNumberFormat="1" applyFont="1" applyFill="1" applyBorder="1" applyAlignment="1">
      <alignment horizontal="right" vertical="center"/>
    </xf>
    <xf numFmtId="0" fontId="24" fillId="36" borderId="0" xfId="62" applyFont="1" applyFill="1" applyBorder="1" applyAlignment="1">
      <alignment vertical="center"/>
      <protection/>
    </xf>
    <xf numFmtId="0" fontId="24" fillId="36" borderId="0" xfId="0" applyFont="1" applyFill="1" applyBorder="1" applyAlignment="1">
      <alignment/>
    </xf>
    <xf numFmtId="172" fontId="24" fillId="36" borderId="0" xfId="0" applyNumberFormat="1" applyFont="1" applyFill="1" applyBorder="1" applyAlignment="1">
      <alignment/>
    </xf>
    <xf numFmtId="0" fontId="24" fillId="36" borderId="10" xfId="0" applyFont="1" applyFill="1" applyBorder="1" applyAlignment="1">
      <alignment/>
    </xf>
    <xf numFmtId="172" fontId="24" fillId="36" borderId="10" xfId="0" applyNumberFormat="1" applyFont="1" applyFill="1" applyBorder="1" applyAlignment="1">
      <alignment/>
    </xf>
    <xf numFmtId="0" fontId="24" fillId="36" borderId="0" xfId="61" applyFont="1" applyFill="1" applyBorder="1">
      <alignment/>
      <protection/>
    </xf>
    <xf numFmtId="172" fontId="24" fillId="36" borderId="0" xfId="61" applyNumberFormat="1" applyFont="1" applyFill="1" applyBorder="1">
      <alignment/>
      <protection/>
    </xf>
    <xf numFmtId="0" fontId="24" fillId="36" borderId="10" xfId="61" applyFont="1" applyFill="1" applyBorder="1" applyAlignment="1">
      <alignment vertical="center"/>
      <protection/>
    </xf>
    <xf numFmtId="172" fontId="24" fillId="36" borderId="10" xfId="61" applyNumberFormat="1" applyFont="1" applyFill="1" applyBorder="1" applyAlignment="1">
      <alignment vertical="center"/>
      <protection/>
    </xf>
    <xf numFmtId="0" fontId="24" fillId="39" borderId="0" xfId="61" applyFont="1" applyFill="1">
      <alignment/>
      <protection/>
    </xf>
    <xf numFmtId="172" fontId="24" fillId="39" borderId="0" xfId="61" applyNumberFormat="1" applyFont="1" applyFill="1">
      <alignment/>
      <protection/>
    </xf>
    <xf numFmtId="173" fontId="24" fillId="39" borderId="0" xfId="61" applyNumberFormat="1" applyFont="1" applyFill="1">
      <alignment/>
      <protection/>
    </xf>
    <xf numFmtId="173" fontId="7" fillId="38" borderId="0" xfId="61" applyNumberFormat="1" applyFont="1" applyFill="1" applyBorder="1">
      <alignment/>
      <protection/>
    </xf>
    <xf numFmtId="177" fontId="7" fillId="38" borderId="0" xfId="42" applyNumberFormat="1" applyFont="1" applyFill="1" applyBorder="1" applyAlignment="1">
      <alignment/>
    </xf>
    <xf numFmtId="0" fontId="16" fillId="0" borderId="0" xfId="61" applyFont="1" applyBorder="1" applyAlignment="1">
      <alignment vertical="center"/>
      <protection/>
    </xf>
    <xf numFmtId="0" fontId="24" fillId="36" borderId="28" xfId="0" applyFont="1" applyFill="1" applyBorder="1" applyAlignment="1">
      <alignment vertical="top" wrapText="1"/>
    </xf>
    <xf numFmtId="0" fontId="24" fillId="36" borderId="28" xfId="61" applyFont="1" applyFill="1" applyBorder="1" applyAlignment="1" quotePrefix="1">
      <alignment vertical="top" wrapText="1"/>
      <protection/>
    </xf>
    <xf numFmtId="0" fontId="9" fillId="35" borderId="13" xfId="62" applyFont="1" applyFill="1" applyBorder="1" applyAlignment="1">
      <alignment horizontal="center" vertical="center"/>
      <protection/>
    </xf>
    <xf numFmtId="173" fontId="9" fillId="35" borderId="13" xfId="46" applyNumberFormat="1" applyFont="1" applyFill="1" applyBorder="1" applyAlignment="1">
      <alignment horizontal="center" vertical="center" wrapText="1"/>
    </xf>
    <xf numFmtId="173" fontId="9" fillId="35" borderId="13" xfId="46" applyNumberFormat="1" applyFont="1" applyFill="1" applyBorder="1" applyAlignment="1">
      <alignment horizontal="center" vertical="center"/>
    </xf>
    <xf numFmtId="0" fontId="8" fillId="35" borderId="25" xfId="62" applyFont="1" applyFill="1" applyBorder="1" applyAlignment="1">
      <alignment horizontal="center" vertical="center"/>
      <protection/>
    </xf>
    <xf numFmtId="0" fontId="8" fillId="35" borderId="12" xfId="62" applyFont="1" applyFill="1" applyBorder="1" applyAlignment="1">
      <alignment horizontal="center" vertical="center"/>
      <protection/>
    </xf>
    <xf numFmtId="173" fontId="21" fillId="35" borderId="13" xfId="46" applyNumberFormat="1" applyFont="1" applyFill="1" applyBorder="1" applyAlignment="1">
      <alignment horizontal="center" vertical="center" textRotation="60" wrapText="1"/>
    </xf>
    <xf numFmtId="0" fontId="19" fillId="35" borderId="25" xfId="61" applyFont="1" applyFill="1" applyBorder="1" applyAlignment="1">
      <alignment horizontal="center" vertical="center"/>
      <protection/>
    </xf>
    <xf numFmtId="0" fontId="19" fillId="35" borderId="12" xfId="61" applyFont="1" applyFill="1" applyBorder="1" applyAlignment="1">
      <alignment vertical="center"/>
      <protection/>
    </xf>
    <xf numFmtId="173" fontId="20" fillId="35" borderId="13" xfId="46" applyNumberFormat="1" applyFont="1" applyFill="1" applyBorder="1" applyAlignment="1">
      <alignment horizontal="center" vertical="center" textRotation="59" wrapText="1"/>
    </xf>
    <xf numFmtId="173" fontId="21" fillId="35" borderId="13" xfId="46" applyNumberFormat="1" applyFont="1" applyFill="1" applyBorder="1" applyAlignment="1">
      <alignment horizontal="center" vertical="center" textRotation="61" wrapText="1"/>
    </xf>
    <xf numFmtId="173" fontId="21" fillId="35" borderId="25" xfId="46" applyNumberFormat="1" applyFont="1" applyFill="1" applyBorder="1" applyAlignment="1">
      <alignment vertical="center" textRotation="60" wrapText="1"/>
    </xf>
    <xf numFmtId="173" fontId="21" fillId="35" borderId="13" xfId="46" applyNumberFormat="1" applyFont="1" applyFill="1" applyBorder="1" applyAlignment="1">
      <alignment vertical="center" textRotation="61" wrapText="1"/>
    </xf>
    <xf numFmtId="173" fontId="21" fillId="35" borderId="25" xfId="46" applyNumberFormat="1" applyFont="1" applyFill="1" applyBorder="1" applyAlignment="1">
      <alignment vertical="center" textRotation="61" wrapText="1"/>
    </xf>
    <xf numFmtId="173" fontId="9" fillId="35" borderId="13" xfId="46" applyNumberFormat="1" applyFont="1" applyFill="1" applyBorder="1" applyAlignment="1">
      <alignment vertical="center"/>
    </xf>
    <xf numFmtId="173" fontId="21" fillId="35" borderId="25" xfId="46" applyNumberFormat="1" applyFont="1" applyFill="1" applyBorder="1" applyAlignment="1">
      <alignment horizontal="center" vertical="center" textRotation="61" wrapText="1"/>
    </xf>
    <xf numFmtId="173" fontId="5" fillId="35" borderId="25" xfId="46" applyNumberFormat="1" applyFont="1" applyFill="1" applyBorder="1" applyAlignment="1">
      <alignment horizontal="center" vertical="center"/>
    </xf>
    <xf numFmtId="0" fontId="0" fillId="35" borderId="40" xfId="0" applyFont="1" applyFill="1" applyBorder="1" applyAlignment="1">
      <alignment horizontal="center" vertical="center"/>
    </xf>
    <xf numFmtId="0" fontId="5" fillId="35" borderId="40" xfId="69" applyFont="1" applyFill="1" applyBorder="1" applyAlignment="1">
      <alignment horizontal="center" vertical="center"/>
      <protection/>
    </xf>
    <xf numFmtId="0" fontId="5" fillId="35" borderId="41" xfId="69" applyFont="1" applyFill="1" applyBorder="1" applyAlignment="1">
      <alignment horizontal="center" vertical="center"/>
      <protection/>
    </xf>
    <xf numFmtId="0" fontId="5" fillId="35" borderId="42" xfId="69" applyFont="1" applyFill="1" applyBorder="1" applyAlignment="1">
      <alignment horizontal="center" vertical="center"/>
      <protection/>
    </xf>
    <xf numFmtId="173" fontId="5" fillId="35" borderId="43" xfId="46" applyNumberFormat="1" applyFont="1" applyFill="1" applyBorder="1" applyAlignment="1">
      <alignment horizontal="center" vertical="center"/>
    </xf>
    <xf numFmtId="173" fontId="5" fillId="35" borderId="44" xfId="46" applyNumberFormat="1" applyFont="1" applyFill="1" applyBorder="1" applyAlignment="1">
      <alignment horizontal="center" vertical="center"/>
    </xf>
    <xf numFmtId="173" fontId="5" fillId="35" borderId="45" xfId="46" applyNumberFormat="1" applyFont="1" applyFill="1" applyBorder="1" applyAlignment="1">
      <alignment horizontal="center" vertical="center"/>
    </xf>
    <xf numFmtId="173" fontId="5" fillId="35" borderId="20" xfId="46" applyNumberFormat="1" applyFont="1" applyFill="1" applyBorder="1" applyAlignment="1">
      <alignment horizontal="center" vertical="center"/>
    </xf>
    <xf numFmtId="173" fontId="5" fillId="35" borderId="26" xfId="46" applyNumberFormat="1" applyFont="1" applyFill="1" applyBorder="1" applyAlignment="1">
      <alignment horizontal="center" vertical="center"/>
    </xf>
    <xf numFmtId="0" fontId="0" fillId="35" borderId="41" xfId="0" applyFont="1" applyFill="1" applyBorder="1" applyAlignment="1">
      <alignment horizontal="center" vertical="center"/>
    </xf>
    <xf numFmtId="173" fontId="5" fillId="35" borderId="46" xfId="46" applyNumberFormat="1" applyFont="1" applyFill="1" applyBorder="1" applyAlignment="1">
      <alignment horizontal="center" vertical="center" wrapText="1"/>
    </xf>
    <xf numFmtId="173" fontId="5" fillId="35" borderId="25" xfId="46" applyNumberFormat="1"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5" fillId="35" borderId="25" xfId="61" applyFont="1" applyFill="1" applyBorder="1" applyAlignment="1">
      <alignment horizontal="center" vertical="center"/>
      <protection/>
    </xf>
    <xf numFmtId="0" fontId="0" fillId="35" borderId="0" xfId="0" applyFill="1" applyAlignment="1">
      <alignment/>
    </xf>
    <xf numFmtId="0" fontId="0" fillId="35" borderId="12" xfId="0" applyFill="1" applyBorder="1" applyAlignment="1">
      <alignment/>
    </xf>
    <xf numFmtId="0" fontId="5" fillId="35" borderId="43" xfId="69" applyFont="1" applyFill="1" applyBorder="1" applyAlignment="1">
      <alignment horizontal="center" vertical="center"/>
      <protection/>
    </xf>
    <xf numFmtId="0" fontId="5" fillId="35" borderId="44" xfId="69" applyFont="1" applyFill="1" applyBorder="1" applyAlignment="1">
      <alignment horizontal="center" vertical="center"/>
      <protection/>
    </xf>
    <xf numFmtId="0" fontId="5" fillId="35" borderId="45" xfId="69" applyFont="1" applyFill="1" applyBorder="1" applyAlignment="1">
      <alignment horizontal="center" vertical="center"/>
      <protection/>
    </xf>
    <xf numFmtId="172" fontId="5" fillId="35" borderId="25" xfId="46" applyNumberFormat="1" applyFont="1" applyFill="1" applyBorder="1" applyAlignment="1">
      <alignment horizontal="center" vertical="center"/>
    </xf>
    <xf numFmtId="172" fontId="0" fillId="35" borderId="40" xfId="0" applyNumberFormat="1" applyFont="1" applyFill="1" applyBorder="1" applyAlignment="1">
      <alignment horizontal="center" vertical="center"/>
    </xf>
    <xf numFmtId="0" fontId="5" fillId="33" borderId="33" xfId="61" applyFont="1" applyFill="1" applyBorder="1" applyAlignment="1">
      <alignment horizontal="center" vertical="center"/>
      <protection/>
    </xf>
    <xf numFmtId="43" fontId="5" fillId="0" borderId="33" xfId="42" applyFont="1" applyBorder="1" applyAlignment="1">
      <alignment horizontal="center"/>
    </xf>
    <xf numFmtId="177" fontId="5" fillId="0" borderId="34" xfId="42" applyNumberFormat="1" applyFont="1" applyBorder="1" applyAlignment="1">
      <alignment horizontal="right" vertical="center" textRotation="60"/>
    </xf>
    <xf numFmtId="177" fontId="5" fillId="0" borderId="29" xfId="42" applyNumberFormat="1" applyFont="1" applyBorder="1" applyAlignment="1">
      <alignment horizontal="right" vertical="center" textRotation="60"/>
    </xf>
    <xf numFmtId="177" fontId="5" fillId="0" borderId="34" xfId="42" applyNumberFormat="1" applyFont="1" applyBorder="1" applyAlignment="1">
      <alignment horizontal="center" vertical="center"/>
    </xf>
    <xf numFmtId="177" fontId="5" fillId="0" borderId="29" xfId="42" applyNumberFormat="1" applyFont="1" applyBorder="1" applyAlignment="1">
      <alignment horizontal="center" vertical="center"/>
    </xf>
    <xf numFmtId="0" fontId="5" fillId="0" borderId="34"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34" xfId="61" applyFont="1" applyBorder="1" applyAlignment="1">
      <alignment horizontal="center" vertical="top"/>
      <protection/>
    </xf>
    <xf numFmtId="0" fontId="4" fillId="0" borderId="29" xfId="61" applyFont="1" applyBorder="1" applyAlignment="1">
      <alignment horizontal="center" vertical="top"/>
      <protection/>
    </xf>
    <xf numFmtId="0" fontId="5" fillId="0" borderId="29" xfId="61" applyFont="1" applyBorder="1" applyAlignment="1">
      <alignment horizontal="center" vertical="center"/>
      <protection/>
    </xf>
    <xf numFmtId="0" fontId="5" fillId="0" borderId="28" xfId="61" applyFont="1" applyBorder="1" applyAlignment="1" quotePrefix="1">
      <alignment horizontal="center" vertical="center" wrapText="1"/>
      <protection/>
    </xf>
    <xf numFmtId="0" fontId="0" fillId="0" borderId="28" xfId="0" applyBorder="1" applyAlignment="1">
      <alignment horizontal="center" vertical="center" wrapText="1"/>
    </xf>
    <xf numFmtId="0" fontId="11" fillId="0" borderId="28" xfId="61" applyFont="1" applyBorder="1" applyAlignment="1">
      <alignment wrapText="1"/>
      <protection/>
    </xf>
    <xf numFmtId="0" fontId="0" fillId="0" borderId="28" xfId="0" applyBorder="1" applyAlignment="1">
      <alignment/>
    </xf>
    <xf numFmtId="0" fontId="11" fillId="0" borderId="28" xfId="61" applyFont="1" applyBorder="1" applyAlignment="1" quotePrefix="1">
      <alignment vertical="top" wrapText="1"/>
      <protection/>
    </xf>
    <xf numFmtId="0" fontId="0" fillId="0" borderId="35" xfId="0" applyBorder="1" applyAlignment="1">
      <alignment vertical="top" wrapText="1"/>
    </xf>
    <xf numFmtId="0" fontId="11" fillId="0" borderId="28" xfId="61" applyFont="1" applyBorder="1" applyAlignment="1">
      <alignment vertical="top" wrapText="1"/>
      <protection/>
    </xf>
    <xf numFmtId="0" fontId="0" fillId="0" borderId="28" xfId="0" applyBorder="1" applyAlignment="1">
      <alignment vertical="top" wrapText="1"/>
    </xf>
    <xf numFmtId="0" fontId="0" fillId="0" borderId="28" xfId="0" applyBorder="1" applyAlignment="1">
      <alignment wrapText="1"/>
    </xf>
    <xf numFmtId="173" fontId="26" fillId="0" borderId="13" xfId="46" applyNumberFormat="1" applyFont="1" applyBorder="1" applyAlignment="1">
      <alignment horizontal="center" textRotation="45" wrapText="1"/>
    </xf>
    <xf numFmtId="173" fontId="26" fillId="0" borderId="13" xfId="46" applyNumberFormat="1" applyFont="1" applyBorder="1" applyAlignment="1">
      <alignment horizontal="center" vertical="center" textRotation="46" wrapText="1"/>
    </xf>
    <xf numFmtId="0" fontId="8" fillId="0" borderId="25" xfId="61" applyFont="1" applyBorder="1" applyAlignment="1">
      <alignment horizontal="center" vertical="center"/>
      <protection/>
    </xf>
    <xf numFmtId="0" fontId="8" fillId="0" borderId="12" xfId="61" applyFont="1" applyBorder="1" applyAlignment="1">
      <alignment vertical="center"/>
      <protection/>
    </xf>
    <xf numFmtId="173" fontId="26" fillId="0" borderId="13" xfId="46" applyNumberFormat="1" applyFont="1" applyFill="1" applyBorder="1" applyAlignment="1">
      <alignment horizontal="center" textRotation="46" wrapText="1"/>
    </xf>
    <xf numFmtId="173" fontId="21" fillId="36" borderId="13" xfId="46" applyNumberFormat="1" applyFont="1" applyFill="1" applyBorder="1" applyAlignment="1">
      <alignment vertical="center" textRotation="47" wrapText="1"/>
    </xf>
    <xf numFmtId="173" fontId="9" fillId="0" borderId="13" xfId="46" applyNumberFormat="1" applyFont="1" applyBorder="1" applyAlignment="1">
      <alignment horizontal="center" vertical="center"/>
    </xf>
    <xf numFmtId="173" fontId="26" fillId="0" borderId="13" xfId="46" applyNumberFormat="1" applyFont="1" applyBorder="1" applyAlignment="1">
      <alignment horizontal="center" textRotation="46" wrapText="1"/>
    </xf>
    <xf numFmtId="173" fontId="21" fillId="36" borderId="13" xfId="46" applyNumberFormat="1" applyFont="1" applyFill="1" applyBorder="1" applyAlignment="1">
      <alignment vertical="center" textRotation="46" wrapText="1"/>
    </xf>
    <xf numFmtId="173" fontId="26" fillId="0" borderId="13" xfId="46" applyNumberFormat="1" applyFont="1" applyBorder="1" applyAlignment="1">
      <alignment horizontal="left" textRotation="46" wrapText="1"/>
    </xf>
    <xf numFmtId="173" fontId="20" fillId="0" borderId="13" xfId="46" applyNumberFormat="1" applyFont="1" applyBorder="1" applyAlignment="1">
      <alignment horizontal="center" textRotation="60" wrapText="1"/>
    </xf>
    <xf numFmtId="173" fontId="20" fillId="0" borderId="25" xfId="46" applyNumberFormat="1" applyFont="1" applyBorder="1" applyAlignment="1">
      <alignment horizontal="center" textRotation="60" wrapText="1"/>
    </xf>
    <xf numFmtId="0" fontId="19" fillId="0" borderId="25" xfId="61" applyFont="1" applyBorder="1" applyAlignment="1">
      <alignment horizontal="center" vertical="center"/>
      <protection/>
    </xf>
    <xf numFmtId="0" fontId="28" fillId="0" borderId="12" xfId="0" applyFont="1" applyBorder="1" applyAlignment="1">
      <alignment horizontal="center" vertical="center"/>
    </xf>
    <xf numFmtId="0" fontId="28" fillId="0" borderId="25" xfId="0" applyFont="1" applyBorder="1" applyAlignment="1">
      <alignment horizontal="center" vertical="center"/>
    </xf>
    <xf numFmtId="0" fontId="8" fillId="0" borderId="44" xfId="0" applyFont="1" applyBorder="1" applyAlignment="1">
      <alignment horizontal="center" vertical="center"/>
    </xf>
    <xf numFmtId="0" fontId="0" fillId="0" borderId="44" xfId="0" applyBorder="1" applyAlignment="1">
      <alignment horizontal="center" vertical="center"/>
    </xf>
    <xf numFmtId="0" fontId="9" fillId="0" borderId="25" xfId="0" applyFont="1" applyBorder="1" applyAlignment="1">
      <alignment horizontal="left" vertical="center" textRotation="71"/>
    </xf>
    <xf numFmtId="0" fontId="0" fillId="0" borderId="12" xfId="0" applyBorder="1" applyAlignment="1">
      <alignment vertical="center"/>
    </xf>
    <xf numFmtId="0" fontId="0" fillId="0" borderId="12" xfId="0" applyBorder="1" applyAlignment="1">
      <alignment horizontal="left" vertical="center"/>
    </xf>
    <xf numFmtId="173" fontId="5" fillId="0" borderId="44" xfId="46" applyNumberFormat="1" applyFont="1" applyBorder="1" applyAlignment="1">
      <alignment horizontal="center" vertical="center"/>
    </xf>
    <xf numFmtId="0" fontId="0" fillId="0" borderId="44" xfId="0" applyBorder="1" applyAlignment="1">
      <alignment vertical="center"/>
    </xf>
    <xf numFmtId="0" fontId="26" fillId="0" borderId="13" xfId="62" applyFont="1" applyBorder="1" applyAlignment="1">
      <alignment horizontal="center" textRotation="58"/>
      <protection/>
    </xf>
    <xf numFmtId="0" fontId="0" fillId="0" borderId="13" xfId="0" applyBorder="1" applyAlignment="1">
      <alignment horizontal="center" textRotation="58"/>
    </xf>
    <xf numFmtId="173" fontId="26" fillId="0" borderId="13" xfId="47" applyNumberFormat="1" applyFont="1" applyBorder="1" applyAlignment="1">
      <alignment horizontal="center" textRotation="58" wrapText="1"/>
    </xf>
    <xf numFmtId="0" fontId="0" fillId="0" borderId="13" xfId="0" applyBorder="1" applyAlignment="1">
      <alignment horizontal="center" textRotation="58" wrapText="1"/>
    </xf>
    <xf numFmtId="0" fontId="26" fillId="0" borderId="13" xfId="62" applyFont="1" applyBorder="1" applyAlignment="1">
      <alignment horizontal="center" textRotation="58" wrapText="1"/>
      <protection/>
    </xf>
    <xf numFmtId="0" fontId="9" fillId="0" borderId="25"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3" xfId="62" applyFont="1" applyBorder="1" applyAlignment="1">
      <alignment horizontal="center" vertical="center"/>
      <protection/>
    </xf>
    <xf numFmtId="173" fontId="26" fillId="0" borderId="13" xfId="47" applyNumberFormat="1" applyFont="1" applyBorder="1" applyAlignment="1">
      <alignment horizontal="center" textRotation="58"/>
    </xf>
    <xf numFmtId="0" fontId="5" fillId="0" borderId="14" xfId="62" applyFont="1" applyBorder="1" applyAlignment="1">
      <alignment horizontal="left" vertical="top" wrapText="1"/>
      <protection/>
    </xf>
    <xf numFmtId="0" fontId="0" fillId="0" borderId="14" xfId="0" applyBorder="1" applyAlignment="1">
      <alignment horizontal="left" vertical="top" wrapText="1"/>
    </xf>
    <xf numFmtId="173" fontId="26" fillId="0" borderId="13" xfId="47" applyNumberFormat="1" applyFont="1" applyBorder="1" applyAlignment="1">
      <alignment horizontal="center" vertical="top" textRotation="58" wrapText="1"/>
    </xf>
    <xf numFmtId="0" fontId="0" fillId="0" borderId="13" xfId="0" applyBorder="1" applyAlignment="1">
      <alignment horizontal="center" vertical="top" textRotation="58" wrapText="1"/>
    </xf>
    <xf numFmtId="177" fontId="5" fillId="0" borderId="19" xfId="42" applyNumberFormat="1" applyFont="1" applyBorder="1" applyAlignment="1">
      <alignment horizontal="center" vertical="center"/>
    </xf>
    <xf numFmtId="177" fontId="5" fillId="0" borderId="32" xfId="42" applyNumberFormat="1" applyFont="1" applyBorder="1" applyAlignment="1">
      <alignment horizontal="center" vertical="center"/>
    </xf>
    <xf numFmtId="177" fontId="5" fillId="0" borderId="34" xfId="42" applyNumberFormat="1" applyFont="1" applyBorder="1" applyAlignment="1">
      <alignment horizontal="right" vertical="center"/>
    </xf>
    <xf numFmtId="177" fontId="5" fillId="0" borderId="29" xfId="42" applyNumberFormat="1" applyFont="1" applyBorder="1" applyAlignment="1">
      <alignment horizontal="right" vertical="center"/>
    </xf>
    <xf numFmtId="173" fontId="26" fillId="0" borderId="44" xfId="46" applyNumberFormat="1" applyFont="1" applyBorder="1" applyAlignment="1">
      <alignment horizontal="left" textRotation="78" wrapText="1"/>
    </xf>
    <xf numFmtId="173" fontId="26" fillId="0" borderId="44" xfId="46" applyNumberFormat="1" applyFont="1" applyBorder="1" applyAlignment="1">
      <alignment horizontal="center" textRotation="78" wrapText="1"/>
    </xf>
    <xf numFmtId="173" fontId="9" fillId="0" borderId="44" xfId="46" applyNumberFormat="1" applyFont="1" applyBorder="1" applyAlignment="1">
      <alignment horizontal="center" vertical="center"/>
    </xf>
    <xf numFmtId="173" fontId="26" fillId="0" borderId="44" xfId="46" applyNumberFormat="1" applyFont="1" applyBorder="1" applyAlignment="1">
      <alignment horizontal="center" vertical="center" textRotation="78" wrapText="1"/>
    </xf>
    <xf numFmtId="0" fontId="4" fillId="0" borderId="34" xfId="61" applyFont="1" applyBorder="1" applyAlignment="1">
      <alignment vertical="top"/>
      <protection/>
    </xf>
    <xf numFmtId="0" fontId="4" fillId="0" borderId="29" xfId="61" applyFont="1" applyBorder="1" applyAlignment="1">
      <alignment vertical="top"/>
      <protection/>
    </xf>
    <xf numFmtId="177" fontId="5" fillId="0" borderId="34" xfId="42" applyNumberFormat="1" applyFont="1" applyBorder="1" applyAlignment="1">
      <alignment vertical="center"/>
    </xf>
    <xf numFmtId="177" fontId="5" fillId="0" borderId="29" xfId="42" applyNumberFormat="1" applyFont="1" applyBorder="1" applyAlignment="1">
      <alignment vertical="center"/>
    </xf>
    <xf numFmtId="0" fontId="9" fillId="0" borderId="25" xfId="62" applyFont="1" applyBorder="1" applyAlignment="1">
      <alignment horizontal="center" vertical="center" wrapText="1"/>
      <protection/>
    </xf>
    <xf numFmtId="0" fontId="0" fillId="0" borderId="12" xfId="0" applyBorder="1" applyAlignment="1">
      <alignment horizontal="center" vertical="center" wrapText="1"/>
    </xf>
    <xf numFmtId="177" fontId="5" fillId="0" borderId="34" xfId="42" applyNumberFormat="1" applyFont="1" applyBorder="1" applyAlignment="1">
      <alignment vertical="center" textRotation="60"/>
    </xf>
    <xf numFmtId="177" fontId="5" fillId="0" borderId="29" xfId="42" applyNumberFormat="1" applyFont="1" applyBorder="1" applyAlignment="1">
      <alignment vertical="center" textRotation="6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Ann Report 2005 June_30" xfId="45"/>
    <cellStyle name="Comma_Annual TICP Report 2005" xfId="46"/>
    <cellStyle name="Comma_Draft Ann Rep 2005 June_30"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_Annual Report 2001new" xfId="61"/>
    <cellStyle name="Normal_Publish Annual Report 2001new" xfId="62"/>
    <cellStyle name="Note" xfId="63"/>
    <cellStyle name="Output" xfId="64"/>
    <cellStyle name="Percent" xfId="65"/>
    <cellStyle name="Title" xfId="66"/>
    <cellStyle name="Total" xfId="67"/>
    <cellStyle name="Warning Text" xfId="68"/>
    <cellStyle name="ปกติ_Annual Report 2003 27Ju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1:R152"/>
  <sheetViews>
    <sheetView zoomScalePageLayoutView="0" workbookViewId="0" topLeftCell="A1">
      <selection activeCell="A10" sqref="A10"/>
    </sheetView>
  </sheetViews>
  <sheetFormatPr defaultColWidth="9.140625" defaultRowHeight="12.75"/>
  <cols>
    <col min="1" max="1" width="31.7109375" style="25" customWidth="1"/>
    <col min="2" max="2" width="6.7109375" style="24" bestFit="1" customWidth="1"/>
    <col min="3" max="3" width="10.28125" style="301" bestFit="1" customWidth="1"/>
    <col min="4" max="4" width="5.00390625" style="25" customWidth="1"/>
    <col min="5" max="5" width="9.28125" style="301" bestFit="1" customWidth="1"/>
    <col min="6" max="6" width="5.421875" style="30" customWidth="1"/>
    <col min="7" max="7" width="10.28125" style="304" bestFit="1" customWidth="1"/>
    <col min="8" max="8" width="4.140625" style="23" customWidth="1"/>
    <col min="9" max="9" width="8.28125" style="301" bestFit="1" customWidth="1"/>
    <col min="10" max="10" width="6.140625" style="24" customWidth="1"/>
    <col min="11" max="11" width="9.28125" style="301" customWidth="1"/>
    <col min="12" max="12" width="5.7109375" style="23" customWidth="1"/>
    <col min="13" max="13" width="9.57421875" style="23" customWidth="1"/>
    <col min="14" max="14" width="7.00390625" style="24" customWidth="1"/>
    <col min="15" max="15" width="10.140625" style="304" customWidth="1"/>
    <col min="16" max="17" width="9.140625" style="109" customWidth="1"/>
    <col min="18" max="18" width="14.57421875" style="109" bestFit="1" customWidth="1"/>
    <col min="19" max="16384" width="9.140625" style="109" customWidth="1"/>
  </cols>
  <sheetData>
    <row r="1" spans="1:15" ht="29.25" customHeight="1" thickBot="1">
      <c r="A1" s="1" t="s">
        <v>473</v>
      </c>
      <c r="B1" s="2"/>
      <c r="C1" s="295"/>
      <c r="D1" s="3"/>
      <c r="E1" s="295"/>
      <c r="F1" s="4"/>
      <c r="G1" s="303"/>
      <c r="H1" s="5"/>
      <c r="I1" s="295"/>
      <c r="J1" s="2"/>
      <c r="K1" s="295"/>
      <c r="L1" s="5"/>
      <c r="M1" s="355"/>
      <c r="O1" s="356" t="s">
        <v>89</v>
      </c>
    </row>
    <row r="2" spans="1:15" s="7" customFormat="1" ht="32.25" customHeight="1" thickBot="1">
      <c r="A2" s="1322" t="s">
        <v>1</v>
      </c>
      <c r="B2" s="1319" t="s">
        <v>2</v>
      </c>
      <c r="C2" s="1319"/>
      <c r="D2" s="1319" t="s">
        <v>3</v>
      </c>
      <c r="E2" s="1319"/>
      <c r="F2" s="1321" t="s">
        <v>4</v>
      </c>
      <c r="G2" s="1321"/>
      <c r="H2" s="1321" t="s">
        <v>5</v>
      </c>
      <c r="I2" s="1321"/>
      <c r="J2" s="1321" t="s">
        <v>6</v>
      </c>
      <c r="K2" s="1321"/>
      <c r="L2" s="1320" t="s">
        <v>119</v>
      </c>
      <c r="M2" s="1320"/>
      <c r="N2" s="1319" t="s">
        <v>7</v>
      </c>
      <c r="O2" s="1319"/>
    </row>
    <row r="3" spans="1:15" s="7" customFormat="1" ht="21.75" customHeight="1" thickBot="1">
      <c r="A3" s="1323"/>
      <c r="B3" s="323" t="s">
        <v>8</v>
      </c>
      <c r="C3" s="324" t="s">
        <v>9</v>
      </c>
      <c r="D3" s="323" t="s">
        <v>10</v>
      </c>
      <c r="E3" s="324" t="s">
        <v>9</v>
      </c>
      <c r="F3" s="325" t="s">
        <v>10</v>
      </c>
      <c r="G3" s="324" t="s">
        <v>9</v>
      </c>
      <c r="H3" s="325" t="s">
        <v>10</v>
      </c>
      <c r="I3" s="324" t="s">
        <v>9</v>
      </c>
      <c r="J3" s="323" t="s">
        <v>10</v>
      </c>
      <c r="K3" s="324" t="s">
        <v>9</v>
      </c>
      <c r="L3" s="323" t="s">
        <v>10</v>
      </c>
      <c r="M3" s="325" t="s">
        <v>9</v>
      </c>
      <c r="N3" s="323" t="s">
        <v>160</v>
      </c>
      <c r="O3" s="324" t="s">
        <v>9</v>
      </c>
    </row>
    <row r="4" spans="1:15" ht="21.75" customHeight="1">
      <c r="A4" s="1182" t="s">
        <v>126</v>
      </c>
      <c r="B4" s="1183"/>
      <c r="C4" s="1184"/>
      <c r="D4" s="1185"/>
      <c r="E4" s="1184"/>
      <c r="F4" s="1186"/>
      <c r="G4" s="1187"/>
      <c r="H4" s="1188"/>
      <c r="I4" s="1184"/>
      <c r="J4" s="1183"/>
      <c r="K4" s="1184"/>
      <c r="L4" s="1188"/>
      <c r="M4" s="1188"/>
      <c r="N4" s="1183"/>
      <c r="O4" s="1187"/>
    </row>
    <row r="5" spans="1:15" ht="19.5" customHeight="1">
      <c r="A5" s="10" t="s">
        <v>11</v>
      </c>
      <c r="B5" s="11">
        <f>ApIII!T6</f>
        <v>817</v>
      </c>
      <c r="C5" s="271">
        <f>ApIII!U6</f>
        <v>60192.100000000006</v>
      </c>
      <c r="D5" s="12">
        <f>ApVI!Z5</f>
        <v>2</v>
      </c>
      <c r="E5" s="293">
        <f>ApVI!AA5</f>
        <v>669.4</v>
      </c>
      <c r="F5" s="11">
        <f>ApIX!X5</f>
        <v>19</v>
      </c>
      <c r="G5" s="271">
        <f>ApIX!Y5</f>
        <v>2399.5</v>
      </c>
      <c r="H5" s="11"/>
      <c r="I5" s="297"/>
      <c r="J5" s="13">
        <f>ApXI!AB5</f>
        <v>55</v>
      </c>
      <c r="K5" s="617">
        <f>ApXI!AC5</f>
        <v>2307.7</v>
      </c>
      <c r="L5" s="12">
        <v>8</v>
      </c>
      <c r="M5" s="293">
        <v>1102</v>
      </c>
      <c r="N5" s="132">
        <f aca="true" t="shared" si="0" ref="N5:O8">SUM(B5,D5,F5,H5,J5,L5)</f>
        <v>901</v>
      </c>
      <c r="O5" s="306">
        <f t="shared" si="0"/>
        <v>66670.70000000001</v>
      </c>
    </row>
    <row r="6" spans="1:15" ht="19.5" customHeight="1">
      <c r="A6" s="10" t="s">
        <v>12</v>
      </c>
      <c r="B6" s="11">
        <f>ApIII!T7</f>
        <v>220</v>
      </c>
      <c r="C6" s="271">
        <f>ApIII!U7</f>
        <v>56911.4</v>
      </c>
      <c r="D6" s="12">
        <f>ApVI!Z6</f>
        <v>1</v>
      </c>
      <c r="E6" s="293">
        <f>ApVI!AA6</f>
        <v>320.20000000000005</v>
      </c>
      <c r="F6" s="11">
        <f>ApIX!X6</f>
        <v>15</v>
      </c>
      <c r="G6" s="271">
        <f>ApIX!Y6</f>
        <v>1581.8</v>
      </c>
      <c r="H6" s="11"/>
      <c r="I6" s="297"/>
      <c r="J6" s="13">
        <f>ApXI!AB6</f>
        <v>56</v>
      </c>
      <c r="K6" s="617">
        <f>ApXI!AC6</f>
        <v>2602</v>
      </c>
      <c r="L6" s="12">
        <v>7</v>
      </c>
      <c r="M6" s="293">
        <v>506.3</v>
      </c>
      <c r="N6" s="132">
        <f t="shared" si="0"/>
        <v>299</v>
      </c>
      <c r="O6" s="306">
        <f t="shared" si="0"/>
        <v>61921.700000000004</v>
      </c>
    </row>
    <row r="7" spans="1:15" ht="19.5" customHeight="1">
      <c r="A7" s="10" t="s">
        <v>13</v>
      </c>
      <c r="B7" s="11">
        <f>ApIII!T8</f>
        <v>189</v>
      </c>
      <c r="C7" s="271">
        <f>ApIII!U8</f>
        <v>47023.3</v>
      </c>
      <c r="D7" s="12">
        <f>ApVI!Z7</f>
        <v>11</v>
      </c>
      <c r="E7" s="293">
        <f>ApVI!AA7</f>
        <v>4612.5</v>
      </c>
      <c r="F7" s="11">
        <f>ApIX!X7</f>
        <v>27</v>
      </c>
      <c r="G7" s="271">
        <f>ApIX!Y7</f>
        <v>2792.9000000000005</v>
      </c>
      <c r="H7" s="11"/>
      <c r="I7" s="297"/>
      <c r="J7" s="13">
        <f>ApXI!AB7</f>
        <v>69</v>
      </c>
      <c r="K7" s="617">
        <f>ApXI!AC7</f>
        <v>5627</v>
      </c>
      <c r="L7" s="12">
        <v>8</v>
      </c>
      <c r="M7" s="293">
        <v>1443</v>
      </c>
      <c r="N7" s="132">
        <f t="shared" si="0"/>
        <v>304</v>
      </c>
      <c r="O7" s="306">
        <f t="shared" si="0"/>
        <v>61498.700000000004</v>
      </c>
    </row>
    <row r="8" spans="1:15" ht="19.5" customHeight="1">
      <c r="A8" s="10" t="s">
        <v>14</v>
      </c>
      <c r="B8" s="11">
        <f>ApIII!T9</f>
        <v>54</v>
      </c>
      <c r="C8" s="271">
        <f>ApIII!U9</f>
        <v>9950.1</v>
      </c>
      <c r="D8" s="12">
        <f>ApVI!Z8</f>
        <v>0</v>
      </c>
      <c r="E8" s="293">
        <f>ApVI!AA8</f>
        <v>257.8</v>
      </c>
      <c r="F8" s="11">
        <f>ApIX!X8</f>
        <v>27</v>
      </c>
      <c r="G8" s="271">
        <f>ApIX!Y8</f>
        <v>3243</v>
      </c>
      <c r="H8" s="11"/>
      <c r="I8" s="297"/>
      <c r="J8" s="13">
        <f>ApXI!AB8</f>
        <v>38</v>
      </c>
      <c r="K8" s="617">
        <f>ApXI!AC8</f>
        <v>1737.6</v>
      </c>
      <c r="L8" s="12">
        <v>8</v>
      </c>
      <c r="M8" s="293">
        <v>477.6</v>
      </c>
      <c r="N8" s="132">
        <f t="shared" si="0"/>
        <v>127</v>
      </c>
      <c r="O8" s="306">
        <f t="shared" si="0"/>
        <v>15666.1</v>
      </c>
    </row>
    <row r="9" spans="1:15" ht="21.75" customHeight="1">
      <c r="A9" s="1173" t="s">
        <v>15</v>
      </c>
      <c r="B9" s="1179"/>
      <c r="C9" s="1177"/>
      <c r="D9" s="1178"/>
      <c r="E9" s="1177"/>
      <c r="F9" s="1179"/>
      <c r="G9" s="1175"/>
      <c r="H9" s="1178"/>
      <c r="I9" s="1177"/>
      <c r="J9" s="1180"/>
      <c r="K9" s="1177"/>
      <c r="L9" s="1178"/>
      <c r="M9" s="1178"/>
      <c r="N9" s="1165"/>
      <c r="O9" s="1166"/>
    </row>
    <row r="10" spans="1:15" ht="19.5" customHeight="1">
      <c r="A10" s="10" t="s">
        <v>294</v>
      </c>
      <c r="B10" s="11"/>
      <c r="C10" s="271"/>
      <c r="D10" s="11"/>
      <c r="E10" s="297"/>
      <c r="F10" s="11">
        <f>ApIX!X10</f>
        <v>1</v>
      </c>
      <c r="G10" s="271">
        <f>ApIX!Y10</f>
        <v>302.7</v>
      </c>
      <c r="H10" s="11"/>
      <c r="I10" s="271"/>
      <c r="J10" s="13">
        <f>ApXI!AB10</f>
        <v>10</v>
      </c>
      <c r="K10" s="13">
        <f>ApXI!AC10</f>
        <v>48.7</v>
      </c>
      <c r="L10" s="11"/>
      <c r="M10" s="271"/>
      <c r="N10" s="132">
        <f>SUM(B10,D10,F10,H10,J10,L10)</f>
        <v>11</v>
      </c>
      <c r="O10" s="306">
        <f>SUM(C10,E10,G10,I10,K10,M10)</f>
        <v>351.4</v>
      </c>
    </row>
    <row r="11" spans="1:15" ht="19.5" customHeight="1">
      <c r="A11" s="10" t="s">
        <v>16</v>
      </c>
      <c r="B11" s="11">
        <f>ApIII!T11</f>
        <v>2</v>
      </c>
      <c r="C11" s="271">
        <f>ApIII!U11</f>
        <v>928.1</v>
      </c>
      <c r="D11" s="12"/>
      <c r="E11" s="293"/>
      <c r="F11" s="14">
        <f>ApIX!X11</f>
        <v>6</v>
      </c>
      <c r="G11" s="580">
        <f>ApIX!Y11</f>
        <v>869.3</v>
      </c>
      <c r="H11" s="11"/>
      <c r="I11" s="297"/>
      <c r="J11" s="11">
        <f>ApXI!AB11</f>
        <v>12</v>
      </c>
      <c r="K11" s="271">
        <f>ApXI!AC11</f>
        <v>660.4</v>
      </c>
      <c r="L11" s="11">
        <v>3</v>
      </c>
      <c r="M11" s="271">
        <v>90.9</v>
      </c>
      <c r="N11" s="132">
        <f aca="true" t="shared" si="1" ref="N11:O15">SUM(B11,D11,F11,H11,J11,L11)</f>
        <v>23</v>
      </c>
      <c r="O11" s="306">
        <f t="shared" si="1"/>
        <v>2548.7000000000003</v>
      </c>
    </row>
    <row r="12" spans="1:15" ht="19.5" customHeight="1">
      <c r="A12" s="10" t="s">
        <v>17</v>
      </c>
      <c r="B12" s="11"/>
      <c r="C12" s="271"/>
      <c r="D12" s="12"/>
      <c r="E12" s="293"/>
      <c r="F12" s="14">
        <f>ApIX!X12</f>
        <v>9</v>
      </c>
      <c r="G12" s="580">
        <f>ApIX!Y12</f>
        <v>1146.8999999999999</v>
      </c>
      <c r="H12" s="11"/>
      <c r="I12" s="297"/>
      <c r="J12" s="11">
        <f>ApXI!AB12</f>
        <v>8</v>
      </c>
      <c r="K12" s="271">
        <f>ApXI!AC12</f>
        <v>461.6</v>
      </c>
      <c r="L12" s="11"/>
      <c r="M12" s="271"/>
      <c r="N12" s="132">
        <f t="shared" si="1"/>
        <v>17</v>
      </c>
      <c r="O12" s="306">
        <f>SUM(C12,E12,G12,I12,K12,M12)</f>
        <v>1608.5</v>
      </c>
    </row>
    <row r="13" spans="1:15" ht="19.5" customHeight="1">
      <c r="A13" s="10" t="s">
        <v>18</v>
      </c>
      <c r="B13" s="11">
        <f>ApIII!T12</f>
        <v>1</v>
      </c>
      <c r="C13" s="271">
        <f>ApIII!U12</f>
        <v>1453.2</v>
      </c>
      <c r="D13" s="12"/>
      <c r="E13" s="293"/>
      <c r="F13" s="14">
        <f>ApIX!X13</f>
        <v>13</v>
      </c>
      <c r="G13" s="580">
        <f>ApIX!Y13</f>
        <v>1937</v>
      </c>
      <c r="H13" s="11"/>
      <c r="I13" s="297"/>
      <c r="J13" s="11">
        <f>ApXI!AB13</f>
        <v>11</v>
      </c>
      <c r="K13" s="271">
        <f>ApXI!AC13</f>
        <v>496.9</v>
      </c>
      <c r="L13" s="11"/>
      <c r="M13" s="271"/>
      <c r="N13" s="132">
        <f>SUM(B13,D13,F13,H13,J13,L13)</f>
        <v>25</v>
      </c>
      <c r="O13" s="306">
        <f>SUM(C13,E13,G13,I13,K13,M13)</f>
        <v>3887.1</v>
      </c>
    </row>
    <row r="14" spans="1:15" ht="19.5" customHeight="1">
      <c r="A14" s="10" t="s">
        <v>319</v>
      </c>
      <c r="B14" s="11"/>
      <c r="C14" s="271"/>
      <c r="D14" s="12"/>
      <c r="E14" s="293"/>
      <c r="F14" s="14">
        <f>ApIX!X14</f>
        <v>1</v>
      </c>
      <c r="G14" s="580">
        <f>ApIX!Y14</f>
        <v>314.5</v>
      </c>
      <c r="H14" s="11"/>
      <c r="I14" s="297"/>
      <c r="J14" s="11"/>
      <c r="K14" s="271"/>
      <c r="L14" s="11">
        <v>3</v>
      </c>
      <c r="M14" s="271">
        <v>89.3</v>
      </c>
      <c r="N14" s="132">
        <f>SUM(B14,D14,F14,H14,J14,L14)</f>
        <v>4</v>
      </c>
      <c r="O14" s="306">
        <f>SUM(C14,E14,G14,I14,K14,M14)</f>
        <v>403.8</v>
      </c>
    </row>
    <row r="15" spans="1:15" ht="19.5" customHeight="1">
      <c r="A15" s="10" t="s">
        <v>19</v>
      </c>
      <c r="B15" s="11">
        <f>ApIII!T13</f>
        <v>0</v>
      </c>
      <c r="C15" s="271">
        <f>ApIII!U13</f>
        <v>2621.5</v>
      </c>
      <c r="D15" s="12">
        <f>ApVI!Z10</f>
        <v>6</v>
      </c>
      <c r="E15" s="293">
        <f>ApVI!AA10</f>
        <v>1484.9</v>
      </c>
      <c r="F15" s="14">
        <f>ApIX!X15</f>
        <v>9</v>
      </c>
      <c r="G15" s="580">
        <f>ApIX!Y15</f>
        <v>1348.4</v>
      </c>
      <c r="H15" s="11"/>
      <c r="I15" s="297"/>
      <c r="J15" s="11">
        <f>ApXI!AB14</f>
        <v>18</v>
      </c>
      <c r="K15" s="271">
        <f>ApXI!AC14</f>
        <v>547.8</v>
      </c>
      <c r="L15" s="11"/>
      <c r="M15" s="271"/>
      <c r="N15" s="132">
        <f t="shared" si="1"/>
        <v>33</v>
      </c>
      <c r="O15" s="306">
        <f t="shared" si="1"/>
        <v>6002.599999999999</v>
      </c>
    </row>
    <row r="16" spans="1:15" ht="21.75" customHeight="1">
      <c r="A16" s="1173" t="s">
        <v>20</v>
      </c>
      <c r="B16" s="1179"/>
      <c r="C16" s="1177"/>
      <c r="D16" s="1174"/>
      <c r="E16" s="1175"/>
      <c r="F16" s="1179"/>
      <c r="G16" s="1175"/>
      <c r="H16" s="1178"/>
      <c r="I16" s="1177"/>
      <c r="J16" s="1180"/>
      <c r="K16" s="1177"/>
      <c r="L16" s="1178"/>
      <c r="M16" s="1178"/>
      <c r="N16" s="1165"/>
      <c r="O16" s="1166"/>
    </row>
    <row r="17" spans="1:15" ht="19.5" customHeight="1">
      <c r="A17" s="10" t="s">
        <v>21</v>
      </c>
      <c r="B17" s="11"/>
      <c r="C17" s="271"/>
      <c r="D17" s="11"/>
      <c r="E17" s="297"/>
      <c r="F17" s="11">
        <f>ApIX!X17</f>
        <v>6</v>
      </c>
      <c r="G17" s="271">
        <f>ApIX!Y17</f>
        <v>891.5999999999999</v>
      </c>
      <c r="H17" s="11">
        <v>10</v>
      </c>
      <c r="I17" s="271">
        <v>109.6</v>
      </c>
      <c r="J17" s="13">
        <f>ApXI!AB16</f>
        <v>3</v>
      </c>
      <c r="K17" s="13">
        <f>ApXI!AC16</f>
        <v>198.3</v>
      </c>
      <c r="L17" s="11"/>
      <c r="M17" s="271"/>
      <c r="N17" s="132">
        <f>SUM(B17,D17,F17,H17,J17,L17)</f>
        <v>19</v>
      </c>
      <c r="O17" s="306">
        <f>SUM(C17,E17,G17,I17,K17,M17)</f>
        <v>1199.5</v>
      </c>
    </row>
    <row r="18" spans="1:15" s="192" customFormat="1" ht="19.5" customHeight="1">
      <c r="A18" s="10" t="s">
        <v>22</v>
      </c>
      <c r="B18" s="11">
        <f>ApIII!T15</f>
        <v>28</v>
      </c>
      <c r="C18" s="271">
        <f>ApIII!U15</f>
        <v>1642.8</v>
      </c>
      <c r="D18" s="11"/>
      <c r="E18" s="297"/>
      <c r="F18" s="11">
        <f>ApIX!X18</f>
        <v>3</v>
      </c>
      <c r="G18" s="271">
        <f>ApIX!Y18</f>
        <v>544.5</v>
      </c>
      <c r="H18" s="11"/>
      <c r="I18" s="297"/>
      <c r="J18" s="1139">
        <f>ApXI!AB17</f>
        <v>3</v>
      </c>
      <c r="K18" s="1138">
        <f>ApXI!AC17</f>
        <v>197.7</v>
      </c>
      <c r="L18" s="11"/>
      <c r="M18" s="271"/>
      <c r="N18" s="132">
        <f>SUM(B18,D18,F18,H18,J18,L18)</f>
        <v>34</v>
      </c>
      <c r="O18" s="306">
        <f>SUM(C18,E18,G18,I18,K18,M18)</f>
        <v>2385</v>
      </c>
    </row>
    <row r="19" spans="1:15" ht="21.75" customHeight="1">
      <c r="A19" s="1181" t="s">
        <v>23</v>
      </c>
      <c r="B19" s="1179"/>
      <c r="C19" s="1177"/>
      <c r="D19" s="1178"/>
      <c r="E19" s="1177"/>
      <c r="F19" s="1179"/>
      <c r="G19" s="1175"/>
      <c r="H19" s="1178"/>
      <c r="I19" s="1177"/>
      <c r="J19" s="1176"/>
      <c r="K19" s="1177"/>
      <c r="L19" s="1178"/>
      <c r="M19" s="1178"/>
      <c r="N19" s="1165"/>
      <c r="O19" s="1166"/>
    </row>
    <row r="20" spans="1:15" ht="19.5" customHeight="1">
      <c r="A20" s="10" t="s">
        <v>292</v>
      </c>
      <c r="B20" s="11"/>
      <c r="C20" s="271"/>
      <c r="D20" s="11"/>
      <c r="E20" s="271"/>
      <c r="F20" s="11"/>
      <c r="G20" s="271"/>
      <c r="H20" s="11"/>
      <c r="I20" s="297"/>
      <c r="J20" s="13">
        <f>ApXI!AB19</f>
        <v>2</v>
      </c>
      <c r="K20" s="617">
        <f>ApXI!AC19</f>
        <v>35.4</v>
      </c>
      <c r="L20" s="11"/>
      <c r="M20" s="271"/>
      <c r="N20" s="132">
        <f aca="true" t="shared" si="2" ref="N20:O22">SUM(B20,D20,F20,H20,J20,L20)</f>
        <v>2</v>
      </c>
      <c r="O20" s="306">
        <f t="shared" si="2"/>
        <v>35.4</v>
      </c>
    </row>
    <row r="21" spans="1:15" ht="19.5" customHeight="1">
      <c r="A21" s="10" t="s">
        <v>24</v>
      </c>
      <c r="B21" s="11">
        <f>ApIII!T17</f>
        <v>4</v>
      </c>
      <c r="C21" s="271">
        <f>ApIII!U17</f>
        <v>1530.1</v>
      </c>
      <c r="D21" s="11">
        <f>ApVI!Z12</f>
        <v>0</v>
      </c>
      <c r="E21" s="271">
        <f>ApVI!AA12</f>
        <v>362.79999999999995</v>
      </c>
      <c r="F21" s="11">
        <f>ApIX!X20</f>
        <v>12</v>
      </c>
      <c r="G21" s="271">
        <f>ApIX!Y20</f>
        <v>1643.3</v>
      </c>
      <c r="H21" s="11"/>
      <c r="I21" s="297"/>
      <c r="J21" s="13">
        <f>ApXI!AB20</f>
        <v>9</v>
      </c>
      <c r="K21" s="617">
        <f>ApXI!AC20</f>
        <v>420.79999999999995</v>
      </c>
      <c r="L21" s="11"/>
      <c r="M21" s="271"/>
      <c r="N21" s="132">
        <f t="shared" si="2"/>
        <v>25</v>
      </c>
      <c r="O21" s="306">
        <f t="shared" si="2"/>
        <v>3957</v>
      </c>
    </row>
    <row r="22" spans="1:15" ht="19.5" customHeight="1">
      <c r="A22" s="10" t="s">
        <v>25</v>
      </c>
      <c r="B22" s="11">
        <f>ApIII!T18</f>
        <v>64</v>
      </c>
      <c r="C22" s="271">
        <f>ApIII!U18</f>
        <v>43897.0579</v>
      </c>
      <c r="D22" s="11">
        <f>ApVI!Z13</f>
        <v>0</v>
      </c>
      <c r="E22" s="271">
        <f>ApVI!AA13</f>
        <v>337.1</v>
      </c>
      <c r="F22" s="11">
        <f>ApIX!X21</f>
        <v>17</v>
      </c>
      <c r="G22" s="271">
        <f>ApIX!Y21</f>
        <v>2152.1000000000004</v>
      </c>
      <c r="H22" s="11"/>
      <c r="I22" s="297"/>
      <c r="J22" s="13">
        <f>ApXI!AB21</f>
        <v>7</v>
      </c>
      <c r="K22" s="617">
        <f>ApXI!AC21</f>
        <v>321.9</v>
      </c>
      <c r="L22" s="11">
        <v>1</v>
      </c>
      <c r="M22" s="271">
        <v>6</v>
      </c>
      <c r="N22" s="132">
        <f t="shared" si="2"/>
        <v>89</v>
      </c>
      <c r="O22" s="306">
        <f t="shared" si="2"/>
        <v>46714.1579</v>
      </c>
    </row>
    <row r="23" spans="1:15" ht="19.5" customHeight="1">
      <c r="A23" s="10" t="s">
        <v>26</v>
      </c>
      <c r="B23" s="11"/>
      <c r="C23" s="271"/>
      <c r="D23" s="11"/>
      <c r="E23" s="297"/>
      <c r="F23" s="11">
        <f>ApIX!X22</f>
        <v>3</v>
      </c>
      <c r="G23" s="271">
        <f>ApIX!Y22</f>
        <v>263</v>
      </c>
      <c r="H23" s="11"/>
      <c r="I23" s="297"/>
      <c r="J23" s="13">
        <f>ApXI!AB22</f>
        <v>3</v>
      </c>
      <c r="K23" s="13">
        <f>ApXI!AC22</f>
        <v>169.5</v>
      </c>
      <c r="L23" s="11"/>
      <c r="M23" s="271"/>
      <c r="N23" s="132">
        <f>SUM(B23,D23,F23,H23,J23,L23)</f>
        <v>6</v>
      </c>
      <c r="O23" s="306">
        <f>SUM(C23,E23,G23,I23,K23,M23)</f>
        <v>432.5</v>
      </c>
    </row>
    <row r="24" spans="1:15" ht="19.5" customHeight="1">
      <c r="A24" s="10" t="s">
        <v>321</v>
      </c>
      <c r="B24" s="11"/>
      <c r="C24" s="271"/>
      <c r="D24" s="11"/>
      <c r="E24" s="297"/>
      <c r="F24" s="11">
        <f>ApIX!X23</f>
        <v>9</v>
      </c>
      <c r="G24" s="271">
        <f>ApIX!Y23</f>
        <v>1360.1999999999998</v>
      </c>
      <c r="H24" s="11"/>
      <c r="I24" s="297"/>
      <c r="J24" s="13"/>
      <c r="K24" s="13"/>
      <c r="L24" s="11"/>
      <c r="M24" s="271"/>
      <c r="N24" s="132">
        <f aca="true" t="shared" si="3" ref="N24:N32">SUM(B24,D24,F24,H24,J24,L24)</f>
        <v>9</v>
      </c>
      <c r="O24" s="306">
        <f aca="true" t="shared" si="4" ref="O24:O32">SUM(C24,E24,G24,I24,K24,M24)</f>
        <v>1360.1999999999998</v>
      </c>
    </row>
    <row r="25" spans="1:15" ht="19.5" customHeight="1">
      <c r="A25" s="10" t="s">
        <v>322</v>
      </c>
      <c r="B25" s="11"/>
      <c r="C25" s="271"/>
      <c r="D25" s="11"/>
      <c r="E25" s="297"/>
      <c r="F25" s="11">
        <f>ApIX!X24</f>
        <v>1</v>
      </c>
      <c r="G25" s="271">
        <f>ApIX!Y24</f>
        <v>172.9</v>
      </c>
      <c r="H25" s="11"/>
      <c r="I25" s="297"/>
      <c r="J25" s="13"/>
      <c r="K25" s="13"/>
      <c r="L25" s="11"/>
      <c r="M25" s="271"/>
      <c r="N25" s="132">
        <f>SUM(B25,D25,F25,H25,J25,L25)</f>
        <v>1</v>
      </c>
      <c r="O25" s="306">
        <f>SUM(C25,E25,G25,I25,K25,M25)</f>
        <v>172.9</v>
      </c>
    </row>
    <row r="26" spans="1:15" ht="19.5" customHeight="1">
      <c r="A26" s="10" t="s">
        <v>27</v>
      </c>
      <c r="B26" s="11">
        <f>ApIII!T19</f>
        <v>3</v>
      </c>
      <c r="C26" s="271">
        <f>ApIII!U19</f>
        <v>1939.7</v>
      </c>
      <c r="D26" s="11"/>
      <c r="E26" s="297"/>
      <c r="F26" s="11">
        <f>ApIX!X25</f>
        <v>8</v>
      </c>
      <c r="G26" s="271">
        <f>ApIX!Y25</f>
        <v>1231.1</v>
      </c>
      <c r="H26" s="11"/>
      <c r="I26" s="297"/>
      <c r="J26" s="11"/>
      <c r="K26" s="271"/>
      <c r="L26" s="11"/>
      <c r="M26" s="271"/>
      <c r="N26" s="132">
        <f t="shared" si="3"/>
        <v>11</v>
      </c>
      <c r="O26" s="306">
        <f t="shared" si="4"/>
        <v>3170.8</v>
      </c>
    </row>
    <row r="27" spans="1:15" ht="19.5" customHeight="1">
      <c r="A27" s="10" t="s">
        <v>28</v>
      </c>
      <c r="B27" s="11"/>
      <c r="C27" s="271"/>
      <c r="D27" s="11">
        <f>ApVI!Z14</f>
        <v>1</v>
      </c>
      <c r="E27" s="271">
        <f>ApVI!AA14</f>
        <v>350.1</v>
      </c>
      <c r="F27" s="11">
        <f>ApIX!X26</f>
        <v>18</v>
      </c>
      <c r="G27" s="271">
        <f>ApIX!Y26</f>
        <v>2261.1</v>
      </c>
      <c r="H27" s="11"/>
      <c r="I27" s="297"/>
      <c r="J27" s="11"/>
      <c r="K27" s="271"/>
      <c r="L27" s="11"/>
      <c r="M27" s="271"/>
      <c r="N27" s="132">
        <f t="shared" si="3"/>
        <v>19</v>
      </c>
      <c r="O27" s="306">
        <f t="shared" si="4"/>
        <v>2611.2</v>
      </c>
    </row>
    <row r="28" spans="1:15" ht="19.5" customHeight="1">
      <c r="A28" s="10" t="s">
        <v>29</v>
      </c>
      <c r="B28" s="11"/>
      <c r="C28" s="271"/>
      <c r="D28" s="11">
        <f>ApVI!Z15</f>
        <v>5</v>
      </c>
      <c r="E28" s="271">
        <f>ApVI!AA15</f>
        <v>4466.8</v>
      </c>
      <c r="F28" s="11">
        <f>ApIX!X27</f>
        <v>14</v>
      </c>
      <c r="G28" s="271">
        <f>ApIX!Y27</f>
        <v>1504.4</v>
      </c>
      <c r="H28" s="11"/>
      <c r="I28" s="297"/>
      <c r="J28" s="11">
        <f>ApXI!AB23</f>
        <v>5</v>
      </c>
      <c r="K28" s="271">
        <f>ApXI!AC23</f>
        <v>218.3</v>
      </c>
      <c r="L28" s="11"/>
      <c r="M28" s="271"/>
      <c r="N28" s="132">
        <f t="shared" si="3"/>
        <v>24</v>
      </c>
      <c r="O28" s="306">
        <f t="shared" si="4"/>
        <v>6189.500000000001</v>
      </c>
    </row>
    <row r="29" spans="1:15" ht="19.5" customHeight="1">
      <c r="A29" s="10" t="s">
        <v>193</v>
      </c>
      <c r="B29" s="11"/>
      <c r="C29" s="297"/>
      <c r="D29" s="11"/>
      <c r="E29" s="297"/>
      <c r="F29" s="11">
        <f>ApIX!X28</f>
        <v>3</v>
      </c>
      <c r="G29" s="271">
        <f>ApIX!Y28</f>
        <v>269.7</v>
      </c>
      <c r="H29" s="11"/>
      <c r="I29" s="297"/>
      <c r="J29" s="13"/>
      <c r="K29" s="297"/>
      <c r="L29" s="11"/>
      <c r="M29" s="271"/>
      <c r="N29" s="132">
        <f t="shared" si="3"/>
        <v>3</v>
      </c>
      <c r="O29" s="306">
        <f t="shared" si="4"/>
        <v>269.7</v>
      </c>
    </row>
    <row r="30" spans="1:15" ht="19.5" customHeight="1">
      <c r="A30" s="10" t="s">
        <v>30</v>
      </c>
      <c r="B30" s="11"/>
      <c r="C30" s="271"/>
      <c r="D30" s="11">
        <f>ApVI!Z16</f>
        <v>0</v>
      </c>
      <c r="E30" s="271">
        <f>ApVI!AA16</f>
        <v>512.9</v>
      </c>
      <c r="F30" s="11">
        <f>ApIX!X29</f>
        <v>3</v>
      </c>
      <c r="G30" s="271">
        <f>ApIX!Y29</f>
        <v>385.6</v>
      </c>
      <c r="H30" s="11"/>
      <c r="I30" s="297"/>
      <c r="J30" s="11">
        <f>ApXI!AB24</f>
        <v>3</v>
      </c>
      <c r="K30" s="271">
        <f>ApXI!AC24</f>
        <v>177.4</v>
      </c>
      <c r="L30" s="11"/>
      <c r="M30" s="271"/>
      <c r="N30" s="132">
        <f t="shared" si="3"/>
        <v>6</v>
      </c>
      <c r="O30" s="306">
        <f t="shared" si="4"/>
        <v>1075.9</v>
      </c>
    </row>
    <row r="31" spans="1:15" ht="19.5" customHeight="1">
      <c r="A31" s="10" t="s">
        <v>180</v>
      </c>
      <c r="B31" s="11"/>
      <c r="C31" s="271"/>
      <c r="D31" s="11"/>
      <c r="E31" s="297"/>
      <c r="F31" s="11">
        <f>ApIX!X30</f>
        <v>5</v>
      </c>
      <c r="G31" s="271">
        <f>ApIX!Y30</f>
        <v>822.9000000000001</v>
      </c>
      <c r="H31" s="11"/>
      <c r="I31" s="297"/>
      <c r="J31" s="11"/>
      <c r="K31" s="271"/>
      <c r="L31" s="11"/>
      <c r="M31" s="11"/>
      <c r="N31" s="132">
        <f t="shared" si="3"/>
        <v>5</v>
      </c>
      <c r="O31" s="306">
        <f t="shared" si="4"/>
        <v>822.9000000000001</v>
      </c>
    </row>
    <row r="32" spans="1:15" s="192" customFormat="1" ht="19.5" customHeight="1">
      <c r="A32" s="10" t="s">
        <v>31</v>
      </c>
      <c r="B32" s="11">
        <f>ApIII!T20</f>
        <v>0</v>
      </c>
      <c r="C32" s="271">
        <f>ApIII!U20</f>
        <v>557.8</v>
      </c>
      <c r="D32" s="12">
        <f>ApVI!Z17</f>
        <v>1</v>
      </c>
      <c r="E32" s="293">
        <f>ApVI!AA17</f>
        <v>473.70000000000005</v>
      </c>
      <c r="F32" s="11">
        <f>ApIX!X31</f>
        <v>30</v>
      </c>
      <c r="G32" s="271">
        <f>ApIX!Y31</f>
        <v>4133.599999999999</v>
      </c>
      <c r="H32" s="11"/>
      <c r="I32" s="297"/>
      <c r="J32" s="11">
        <f>ApXI!AB25</f>
        <v>7</v>
      </c>
      <c r="K32" s="271">
        <f>ApXI!AC25</f>
        <v>360.2</v>
      </c>
      <c r="L32" s="11"/>
      <c r="M32" s="271"/>
      <c r="N32" s="132">
        <f t="shared" si="3"/>
        <v>38</v>
      </c>
      <c r="O32" s="306">
        <f t="shared" si="4"/>
        <v>5525.299999999999</v>
      </c>
    </row>
    <row r="33" spans="1:15" ht="21.75" customHeight="1">
      <c r="A33" s="1173" t="s">
        <v>32</v>
      </c>
      <c r="B33" s="1174"/>
      <c r="C33" s="1177"/>
      <c r="D33" s="1178"/>
      <c r="E33" s="1177"/>
      <c r="F33" s="1179"/>
      <c r="G33" s="1175"/>
      <c r="H33" s="1178"/>
      <c r="I33" s="1177"/>
      <c r="J33" s="1180"/>
      <c r="K33" s="1177"/>
      <c r="L33" s="1178"/>
      <c r="M33" s="1178"/>
      <c r="N33" s="1165"/>
      <c r="O33" s="1166"/>
    </row>
    <row r="34" spans="1:15" ht="19.5" customHeight="1">
      <c r="A34" s="10" t="s">
        <v>127</v>
      </c>
      <c r="B34" s="11">
        <f>ApIII!T22</f>
        <v>18</v>
      </c>
      <c r="C34" s="271">
        <f>ApIII!U22</f>
        <v>4612.7</v>
      </c>
      <c r="D34" s="11">
        <f>ApVI!Z19</f>
        <v>0</v>
      </c>
      <c r="E34" s="271">
        <f>ApVI!AA19</f>
        <v>104.3</v>
      </c>
      <c r="F34" s="11">
        <f>ApIX!X33</f>
        <v>2</v>
      </c>
      <c r="G34" s="271">
        <f>ApIX!Y33</f>
        <v>586.5999999999999</v>
      </c>
      <c r="H34" s="11"/>
      <c r="I34" s="297"/>
      <c r="J34" s="11"/>
      <c r="K34" s="271"/>
      <c r="L34" s="11"/>
      <c r="M34" s="11"/>
      <c r="N34" s="132">
        <f aca="true" t="shared" si="5" ref="N34:O36">SUM(B34,D34,F34,H34,J34,L34)</f>
        <v>20</v>
      </c>
      <c r="O34" s="306">
        <f t="shared" si="5"/>
        <v>5303.6</v>
      </c>
    </row>
    <row r="35" spans="1:15" ht="19.5" customHeight="1">
      <c r="A35" s="10" t="s">
        <v>287</v>
      </c>
      <c r="B35" s="11"/>
      <c r="C35" s="271"/>
      <c r="D35" s="11"/>
      <c r="E35" s="297"/>
      <c r="F35" s="11">
        <f>ApIX!X34</f>
        <v>4</v>
      </c>
      <c r="G35" s="271">
        <f>ApIX!Y34</f>
        <v>1009.1999999999999</v>
      </c>
      <c r="H35" s="11"/>
      <c r="I35" s="297"/>
      <c r="J35" s="11"/>
      <c r="K35" s="271"/>
      <c r="L35" s="11"/>
      <c r="M35" s="11"/>
      <c r="N35" s="132">
        <f t="shared" si="5"/>
        <v>4</v>
      </c>
      <c r="O35" s="306">
        <f t="shared" si="5"/>
        <v>1009.1999999999999</v>
      </c>
    </row>
    <row r="36" spans="1:15" ht="19.5" customHeight="1">
      <c r="A36" s="10" t="s">
        <v>682</v>
      </c>
      <c r="B36" s="11"/>
      <c r="C36" s="271"/>
      <c r="D36" s="11"/>
      <c r="E36" s="297"/>
      <c r="F36" s="11"/>
      <c r="G36" s="271"/>
      <c r="H36" s="11"/>
      <c r="I36" s="297"/>
      <c r="J36" s="11">
        <f>ApXI!AB27</f>
        <v>1</v>
      </c>
      <c r="K36" s="271">
        <f>ApXI!AC27</f>
        <v>18.2</v>
      </c>
      <c r="L36" s="11"/>
      <c r="M36" s="11"/>
      <c r="N36" s="132">
        <f t="shared" si="5"/>
        <v>1</v>
      </c>
      <c r="O36" s="306">
        <f t="shared" si="5"/>
        <v>18.2</v>
      </c>
    </row>
    <row r="37" spans="1:15" ht="19.5" customHeight="1">
      <c r="A37" s="10" t="s">
        <v>187</v>
      </c>
      <c r="B37" s="11"/>
      <c r="C37" s="271"/>
      <c r="D37" s="11"/>
      <c r="E37" s="297"/>
      <c r="F37" s="11">
        <f>ApIX!X35</f>
        <v>14</v>
      </c>
      <c r="G37" s="271">
        <f>ApIX!Y35</f>
        <v>3183.7000000000003</v>
      </c>
      <c r="H37" s="11"/>
      <c r="I37" s="297"/>
      <c r="J37" s="11"/>
      <c r="K37" s="271"/>
      <c r="L37" s="11"/>
      <c r="M37" s="11"/>
      <c r="N37" s="132">
        <f aca="true" t="shared" si="6" ref="N37:O40">SUM(B37,D37,F37,H37,J37,L37)</f>
        <v>14</v>
      </c>
      <c r="O37" s="306">
        <f t="shared" si="6"/>
        <v>3183.7000000000003</v>
      </c>
    </row>
    <row r="38" spans="1:15" ht="19.5" customHeight="1">
      <c r="A38" s="10" t="s">
        <v>295</v>
      </c>
      <c r="B38" s="11"/>
      <c r="C38" s="271"/>
      <c r="D38" s="11">
        <f>ApVI!Z20</f>
        <v>1</v>
      </c>
      <c r="E38" s="271">
        <f>ApVI!AA20</f>
        <v>146.3</v>
      </c>
      <c r="F38" s="11"/>
      <c r="G38" s="271"/>
      <c r="H38" s="11"/>
      <c r="I38" s="297"/>
      <c r="J38" s="11"/>
      <c r="K38" s="271"/>
      <c r="L38" s="11"/>
      <c r="M38" s="11"/>
      <c r="N38" s="132">
        <f t="shared" si="6"/>
        <v>1</v>
      </c>
      <c r="O38" s="306">
        <f t="shared" si="6"/>
        <v>146.3</v>
      </c>
    </row>
    <row r="39" spans="1:15" ht="19.5" customHeight="1">
      <c r="A39" s="10" t="s">
        <v>286</v>
      </c>
      <c r="B39" s="11">
        <f>ApIII!T23</f>
        <v>7</v>
      </c>
      <c r="C39" s="271">
        <f>ApIII!U23</f>
        <v>10419.6</v>
      </c>
      <c r="D39" s="11"/>
      <c r="E39" s="297"/>
      <c r="F39" s="11">
        <f>ApIX!X36</f>
        <v>6</v>
      </c>
      <c r="G39" s="271">
        <f>ApIX!Y36</f>
        <v>1334.6999999999998</v>
      </c>
      <c r="H39" s="11"/>
      <c r="I39" s="297"/>
      <c r="J39" s="11"/>
      <c r="K39" s="271"/>
      <c r="L39" s="11"/>
      <c r="M39" s="11"/>
      <c r="N39" s="132">
        <f t="shared" si="6"/>
        <v>13</v>
      </c>
      <c r="O39" s="306">
        <f t="shared" si="6"/>
        <v>11754.3</v>
      </c>
    </row>
    <row r="40" spans="1:15" ht="19.5" customHeight="1">
      <c r="A40" s="10" t="s">
        <v>219</v>
      </c>
      <c r="B40" s="11"/>
      <c r="C40" s="271"/>
      <c r="D40" s="11"/>
      <c r="E40" s="271"/>
      <c r="F40" s="11">
        <f>ApIX!X37</f>
        <v>2</v>
      </c>
      <c r="G40" s="271">
        <f>ApIX!Y37</f>
        <v>440.1</v>
      </c>
      <c r="H40" s="11"/>
      <c r="I40" s="297"/>
      <c r="J40" s="11"/>
      <c r="K40" s="271"/>
      <c r="L40" s="11"/>
      <c r="M40" s="11"/>
      <c r="N40" s="132">
        <f t="shared" si="6"/>
        <v>2</v>
      </c>
      <c r="O40" s="306">
        <f t="shared" si="6"/>
        <v>440.1</v>
      </c>
    </row>
    <row r="41" spans="1:15" ht="21.75" customHeight="1">
      <c r="A41" s="1173" t="s">
        <v>61</v>
      </c>
      <c r="B41" s="1174"/>
      <c r="C41" s="1175"/>
      <c r="D41" s="1174"/>
      <c r="E41" s="1175"/>
      <c r="F41" s="1179"/>
      <c r="G41" s="1175"/>
      <c r="H41" s="1178"/>
      <c r="I41" s="1177"/>
      <c r="J41" s="1176"/>
      <c r="K41" s="1175"/>
      <c r="L41" s="1174"/>
      <c r="M41" s="1174"/>
      <c r="N41" s="1165" t="s">
        <v>318</v>
      </c>
      <c r="O41" s="1166"/>
    </row>
    <row r="42" spans="1:15" ht="19.5" customHeight="1">
      <c r="A42" s="684" t="s">
        <v>401</v>
      </c>
      <c r="B42" s="11"/>
      <c r="C42" s="271"/>
      <c r="D42" s="11"/>
      <c r="E42" s="271"/>
      <c r="F42" s="11">
        <f>ApIX!X39</f>
        <v>3</v>
      </c>
      <c r="G42" s="271">
        <f>ApIX!Y39</f>
        <v>433.90000000000003</v>
      </c>
      <c r="H42" s="11"/>
      <c r="I42" s="297"/>
      <c r="J42" s="11"/>
      <c r="K42" s="271"/>
      <c r="L42" s="11"/>
      <c r="M42" s="11"/>
      <c r="N42" s="132">
        <f>SUM(B42,D42,F42,H42,J42,L42)</f>
        <v>3</v>
      </c>
      <c r="O42" s="306">
        <f>SUM(C42,E42,G42,I42,K42,M42)</f>
        <v>433.90000000000003</v>
      </c>
    </row>
    <row r="43" spans="1:15" ht="19.5" customHeight="1">
      <c r="A43" s="684" t="s">
        <v>332</v>
      </c>
      <c r="B43" s="11">
        <f>ApIII!T25</f>
        <v>5</v>
      </c>
      <c r="C43" s="271">
        <f>ApIII!U25</f>
        <v>3133.2999999999997</v>
      </c>
      <c r="D43" s="11"/>
      <c r="E43" s="271"/>
      <c r="F43" s="11">
        <f>ApIX!X40</f>
        <v>1</v>
      </c>
      <c r="G43" s="271">
        <f>ApIX!Y40</f>
        <v>159.9</v>
      </c>
      <c r="H43" s="11"/>
      <c r="I43" s="297"/>
      <c r="J43" s="11"/>
      <c r="K43" s="271"/>
      <c r="L43" s="11"/>
      <c r="M43" s="11"/>
      <c r="N43" s="132">
        <f>SUM(B43,D43,F43,H43,J43,L43)</f>
        <v>6</v>
      </c>
      <c r="O43" s="306">
        <f>SUM(C43,E43,G43,I43,K43,M43)</f>
        <v>3293.2</v>
      </c>
    </row>
    <row r="44" spans="1:15" ht="19.5" customHeight="1">
      <c r="A44" s="684" t="s">
        <v>584</v>
      </c>
      <c r="B44" s="11"/>
      <c r="C44" s="271"/>
      <c r="D44" s="11"/>
      <c r="E44" s="271"/>
      <c r="F44" s="11">
        <f>ApIX!X41</f>
        <v>1</v>
      </c>
      <c r="G44" s="271">
        <f>ApIX!Y41</f>
        <v>208.1</v>
      </c>
      <c r="H44" s="11"/>
      <c r="I44" s="297"/>
      <c r="J44" s="11"/>
      <c r="K44" s="271"/>
      <c r="L44" s="11"/>
      <c r="M44" s="11"/>
      <c r="N44" s="132">
        <f aca="true" t="shared" si="7" ref="N44:N50">SUM(B44,D44,F44,H44,J44,L44)</f>
        <v>1</v>
      </c>
      <c r="O44" s="306">
        <f aca="true" t="shared" si="8" ref="O44:O50">SUM(C44,E44,G44,I44,K44,M44)</f>
        <v>208.1</v>
      </c>
    </row>
    <row r="45" spans="1:15" ht="19.5" customHeight="1">
      <c r="A45" s="684" t="s">
        <v>334</v>
      </c>
      <c r="B45" s="11"/>
      <c r="C45" s="271"/>
      <c r="D45" s="11">
        <f>ApVI!Z22</f>
        <v>1</v>
      </c>
      <c r="E45" s="271">
        <f>ApVI!AA22</f>
        <v>1410.2</v>
      </c>
      <c r="F45" s="11">
        <f>ApIX!X42</f>
        <v>8</v>
      </c>
      <c r="G45" s="271">
        <f>ApIX!Y42</f>
        <v>1400.7</v>
      </c>
      <c r="H45" s="11"/>
      <c r="I45" s="297"/>
      <c r="J45" s="11"/>
      <c r="K45" s="271"/>
      <c r="L45" s="11"/>
      <c r="M45" s="11"/>
      <c r="N45" s="132">
        <f t="shared" si="7"/>
        <v>9</v>
      </c>
      <c r="O45" s="306">
        <f t="shared" si="8"/>
        <v>2810.9</v>
      </c>
    </row>
    <row r="46" spans="1:15" ht="19.5" customHeight="1">
      <c r="A46" s="684" t="s">
        <v>296</v>
      </c>
      <c r="B46" s="11">
        <f>ApIII!T26</f>
        <v>2</v>
      </c>
      <c r="C46" s="271">
        <f>ApIII!U26</f>
        <v>340.1</v>
      </c>
      <c r="D46" s="11"/>
      <c r="E46" s="297"/>
      <c r="F46" s="11"/>
      <c r="G46" s="271"/>
      <c r="H46" s="11"/>
      <c r="I46" s="297"/>
      <c r="J46" s="11"/>
      <c r="K46" s="271"/>
      <c r="L46" s="11"/>
      <c r="M46" s="11"/>
      <c r="N46" s="132">
        <f t="shared" si="7"/>
        <v>2</v>
      </c>
      <c r="O46" s="306">
        <f t="shared" si="8"/>
        <v>340.1</v>
      </c>
    </row>
    <row r="47" spans="1:15" ht="19.5" customHeight="1">
      <c r="A47" s="684" t="s">
        <v>290</v>
      </c>
      <c r="B47" s="11"/>
      <c r="C47" s="271"/>
      <c r="D47" s="11">
        <f>ApVI!Z23</f>
        <v>0</v>
      </c>
      <c r="E47" s="271">
        <f>ApVI!AA23</f>
        <v>100.9</v>
      </c>
      <c r="F47" s="11"/>
      <c r="G47" s="271"/>
      <c r="H47" s="11"/>
      <c r="I47" s="297"/>
      <c r="J47" s="11"/>
      <c r="K47" s="271"/>
      <c r="L47" s="11"/>
      <c r="M47" s="11"/>
      <c r="N47" s="132">
        <f t="shared" si="7"/>
        <v>0</v>
      </c>
      <c r="O47" s="306">
        <f t="shared" si="8"/>
        <v>100.9</v>
      </c>
    </row>
    <row r="48" spans="1:15" ht="19.5" customHeight="1">
      <c r="A48" s="684" t="s">
        <v>298</v>
      </c>
      <c r="B48" s="11"/>
      <c r="C48" s="271"/>
      <c r="D48" s="11"/>
      <c r="E48" s="271"/>
      <c r="F48" s="11">
        <f>ApIX!X43</f>
        <v>3</v>
      </c>
      <c r="G48" s="271">
        <f>ApIX!Y43</f>
        <v>533.4</v>
      </c>
      <c r="H48" s="11"/>
      <c r="I48" s="297"/>
      <c r="J48" s="11"/>
      <c r="K48" s="271"/>
      <c r="L48" s="11"/>
      <c r="M48" s="11"/>
      <c r="N48" s="132">
        <f t="shared" si="7"/>
        <v>3</v>
      </c>
      <c r="O48" s="306">
        <f t="shared" si="8"/>
        <v>533.4</v>
      </c>
    </row>
    <row r="49" spans="1:15" ht="19.5" customHeight="1">
      <c r="A49" s="684" t="s">
        <v>436</v>
      </c>
      <c r="B49" s="11">
        <f>ApIII!T27</f>
        <v>1</v>
      </c>
      <c r="C49" s="271">
        <f>ApIII!U27</f>
        <v>162.5</v>
      </c>
      <c r="D49" s="11"/>
      <c r="E49" s="271"/>
      <c r="F49" s="11">
        <f>ApIX!X44</f>
        <v>3</v>
      </c>
      <c r="G49" s="271">
        <f>ApIX!Y44</f>
        <v>657.5</v>
      </c>
      <c r="H49" s="11"/>
      <c r="I49" s="297"/>
      <c r="J49" s="11"/>
      <c r="K49" s="271"/>
      <c r="L49" s="11"/>
      <c r="M49" s="11"/>
      <c r="N49" s="132">
        <f t="shared" si="7"/>
        <v>4</v>
      </c>
      <c r="O49" s="306">
        <f t="shared" si="8"/>
        <v>820</v>
      </c>
    </row>
    <row r="50" spans="1:15" ht="19.5" customHeight="1">
      <c r="A50" s="684" t="s">
        <v>335</v>
      </c>
      <c r="B50" s="11"/>
      <c r="C50" s="271"/>
      <c r="D50" s="11"/>
      <c r="E50" s="297"/>
      <c r="F50" s="11">
        <f>ApIX!X45</f>
        <v>2</v>
      </c>
      <c r="G50" s="271">
        <f>ApIX!Y45</f>
        <v>467.5</v>
      </c>
      <c r="H50" s="11"/>
      <c r="I50" s="297"/>
      <c r="J50" s="11"/>
      <c r="K50" s="271"/>
      <c r="L50" s="11"/>
      <c r="M50" s="11"/>
      <c r="N50" s="132">
        <f t="shared" si="7"/>
        <v>2</v>
      </c>
      <c r="O50" s="306">
        <f t="shared" si="8"/>
        <v>467.5</v>
      </c>
    </row>
    <row r="51" spans="1:15" s="1034" customFormat="1" ht="19.5" customHeight="1">
      <c r="A51" s="1033" t="s">
        <v>35</v>
      </c>
      <c r="B51" s="1030"/>
      <c r="C51" s="1031"/>
      <c r="D51" s="11">
        <f>ApVI!Z24</f>
        <v>2</v>
      </c>
      <c r="E51" s="271">
        <f>ApVI!AA24</f>
        <v>242</v>
      </c>
      <c r="F51" s="11">
        <f>ApIX!X46</f>
        <v>6</v>
      </c>
      <c r="G51" s="271">
        <f>ApIX!Y46</f>
        <v>988.4</v>
      </c>
      <c r="H51" s="1030"/>
      <c r="I51" s="1032"/>
      <c r="J51" s="1030"/>
      <c r="K51" s="1032"/>
      <c r="L51" s="1030"/>
      <c r="M51" s="1030"/>
      <c r="N51" s="132">
        <f>SUM(B51,D51,F51,H51,J51,L51)</f>
        <v>8</v>
      </c>
      <c r="O51" s="306">
        <f>SUM(C51,E51,G51,I51,K51,M51)</f>
        <v>1230.4</v>
      </c>
    </row>
    <row r="52" spans="1:15" ht="19.5" customHeight="1">
      <c r="A52" s="685" t="s">
        <v>691</v>
      </c>
      <c r="B52" s="11"/>
      <c r="C52" s="271"/>
      <c r="D52" s="11">
        <f>ApVI!Z25</f>
        <v>0</v>
      </c>
      <c r="E52" s="271">
        <f>ApVI!AA25</f>
        <v>569.1</v>
      </c>
      <c r="F52" s="11">
        <f>ApIX!X47</f>
        <v>1</v>
      </c>
      <c r="G52" s="271">
        <f>ApIX!Y47</f>
        <v>175.7</v>
      </c>
      <c r="H52" s="11"/>
      <c r="I52" s="297"/>
      <c r="J52" s="11"/>
      <c r="K52" s="271"/>
      <c r="L52" s="11"/>
      <c r="M52" s="11"/>
      <c r="N52" s="132">
        <f aca="true" t="shared" si="9" ref="N52:O54">SUM(B52,D52,F52,H52,J52,L52)</f>
        <v>1</v>
      </c>
      <c r="O52" s="306">
        <f t="shared" si="9"/>
        <v>744.8</v>
      </c>
    </row>
    <row r="53" spans="1:15" ht="19.5" customHeight="1">
      <c r="A53" s="685" t="s">
        <v>469</v>
      </c>
      <c r="B53" s="11">
        <f>ApIII!T28</f>
        <v>2</v>
      </c>
      <c r="C53" s="271">
        <f>ApIII!U28</f>
        <v>280.8</v>
      </c>
      <c r="D53" s="11">
        <f>ApVI!Z26</f>
        <v>0</v>
      </c>
      <c r="E53" s="271">
        <f>ApVI!AA26</f>
        <v>622.5</v>
      </c>
      <c r="F53" s="11">
        <f>ApIX!X48</f>
        <v>4</v>
      </c>
      <c r="G53" s="271">
        <f>ApIX!Y48</f>
        <v>695.3000000000001</v>
      </c>
      <c r="H53" s="11"/>
      <c r="I53" s="297"/>
      <c r="J53" s="11"/>
      <c r="K53" s="297"/>
      <c r="L53" s="11"/>
      <c r="M53" s="11"/>
      <c r="N53" s="132">
        <f t="shared" si="9"/>
        <v>6</v>
      </c>
      <c r="O53" s="306">
        <f t="shared" si="9"/>
        <v>1598.6</v>
      </c>
    </row>
    <row r="54" spans="1:15" ht="19.5" customHeight="1">
      <c r="A54" s="10" t="s">
        <v>156</v>
      </c>
      <c r="B54" s="11">
        <f>ApIII!T29</f>
        <v>2</v>
      </c>
      <c r="C54" s="271">
        <f>ApIII!U29</f>
        <v>383</v>
      </c>
      <c r="D54" s="11">
        <f>ApVI!Z27</f>
        <v>0</v>
      </c>
      <c r="E54" s="271">
        <f>ApVI!AA27</f>
        <v>785.9</v>
      </c>
      <c r="F54" s="11">
        <f>ApIX!X49</f>
        <v>5</v>
      </c>
      <c r="G54" s="271">
        <f>ApIX!Y49</f>
        <v>794.9</v>
      </c>
      <c r="H54" s="11"/>
      <c r="I54" s="297"/>
      <c r="J54" s="11"/>
      <c r="K54" s="271"/>
      <c r="L54" s="11"/>
      <c r="M54" s="11"/>
      <c r="N54" s="132">
        <f t="shared" si="9"/>
        <v>7</v>
      </c>
      <c r="O54" s="306">
        <f t="shared" si="9"/>
        <v>1963.8000000000002</v>
      </c>
    </row>
    <row r="55" spans="1:15" ht="19.5" customHeight="1">
      <c r="A55" s="10" t="s">
        <v>336</v>
      </c>
      <c r="B55" s="11"/>
      <c r="C55" s="271"/>
      <c r="D55" s="11"/>
      <c r="E55" s="271"/>
      <c r="F55" s="11">
        <f>ApIX!X50</f>
        <v>3</v>
      </c>
      <c r="G55" s="271">
        <f>ApIX!Y50</f>
        <v>691.9000000000001</v>
      </c>
      <c r="H55" s="11"/>
      <c r="I55" s="297"/>
      <c r="J55" s="11"/>
      <c r="K55" s="271"/>
      <c r="L55" s="11"/>
      <c r="M55" s="11"/>
      <c r="N55" s="132">
        <f aca="true" t="shared" si="10" ref="N55:N63">SUM(B55,D55,F55,H55,J55,L55)</f>
        <v>3</v>
      </c>
      <c r="O55" s="306">
        <f aca="true" t="shared" si="11" ref="O55:O63">SUM(C55,E55,G55,I55,K55,M55)</f>
        <v>691.9000000000001</v>
      </c>
    </row>
    <row r="56" spans="1:15" ht="19.5" customHeight="1">
      <c r="A56" s="10" t="s">
        <v>36</v>
      </c>
      <c r="B56" s="11"/>
      <c r="C56" s="271"/>
      <c r="D56" s="11">
        <f>ApVI!Z28</f>
        <v>3</v>
      </c>
      <c r="E56" s="271">
        <f>ApVI!AA28</f>
        <v>501.1</v>
      </c>
      <c r="F56" s="11">
        <f>ApIX!X51</f>
        <v>6</v>
      </c>
      <c r="G56" s="271">
        <f>ApIX!Y51</f>
        <v>1312.1000000000001</v>
      </c>
      <c r="H56" s="11"/>
      <c r="I56" s="297"/>
      <c r="J56" s="11"/>
      <c r="K56" s="271"/>
      <c r="L56" s="11"/>
      <c r="M56" s="11"/>
      <c r="N56" s="132">
        <f t="shared" si="10"/>
        <v>9</v>
      </c>
      <c r="O56" s="306">
        <f t="shared" si="11"/>
        <v>1813.2000000000003</v>
      </c>
    </row>
    <row r="57" spans="1:15" ht="19.5" customHeight="1">
      <c r="A57" s="10" t="s">
        <v>224</v>
      </c>
      <c r="B57" s="11">
        <f>ApIII!T30</f>
        <v>2</v>
      </c>
      <c r="C57" s="271">
        <f>ApIII!U30</f>
        <v>326.6</v>
      </c>
      <c r="D57" s="11"/>
      <c r="E57" s="271"/>
      <c r="F57" s="11">
        <f>ApIX!X52</f>
        <v>0</v>
      </c>
      <c r="G57" s="271">
        <f>ApIX!Y52</f>
        <v>0</v>
      </c>
      <c r="H57" s="11"/>
      <c r="I57" s="297"/>
      <c r="J57" s="11"/>
      <c r="K57" s="271"/>
      <c r="L57" s="11"/>
      <c r="M57" s="11"/>
      <c r="N57" s="132">
        <f t="shared" si="10"/>
        <v>2</v>
      </c>
      <c r="O57" s="306">
        <f t="shared" si="11"/>
        <v>326.6</v>
      </c>
    </row>
    <row r="58" spans="1:15" ht="19.5" customHeight="1">
      <c r="A58" s="10" t="s">
        <v>179</v>
      </c>
      <c r="B58" s="11">
        <f>ApIII!T31</f>
        <v>0</v>
      </c>
      <c r="C58" s="271">
        <f>ApIII!U31</f>
        <v>83.2</v>
      </c>
      <c r="D58" s="11"/>
      <c r="E58" s="271"/>
      <c r="F58" s="11">
        <f>ApIX!X53</f>
        <v>1</v>
      </c>
      <c r="G58" s="271">
        <f>ApIX!Y53</f>
        <v>201.8</v>
      </c>
      <c r="H58" s="11"/>
      <c r="I58" s="297"/>
      <c r="J58" s="11">
        <f>ApXI!AB29</f>
        <v>2</v>
      </c>
      <c r="K58" s="271">
        <f>ApXI!AC29</f>
        <v>80.7</v>
      </c>
      <c r="L58" s="11"/>
      <c r="M58" s="11"/>
      <c r="N58" s="132">
        <f t="shared" si="10"/>
        <v>3</v>
      </c>
      <c r="O58" s="306">
        <f t="shared" si="11"/>
        <v>365.7</v>
      </c>
    </row>
    <row r="59" spans="1:15" ht="19.5" customHeight="1">
      <c r="A59" s="10" t="s">
        <v>586</v>
      </c>
      <c r="B59" s="11"/>
      <c r="C59" s="271"/>
      <c r="D59" s="11"/>
      <c r="E59" s="271"/>
      <c r="F59" s="11">
        <f>ApIX!X54</f>
        <v>1</v>
      </c>
      <c r="G59" s="271">
        <f>ApIX!Y54</f>
        <v>200</v>
      </c>
      <c r="H59" s="11"/>
      <c r="I59" s="297"/>
      <c r="J59" s="11"/>
      <c r="K59" s="271"/>
      <c r="L59" s="11"/>
      <c r="M59" s="11"/>
      <c r="N59" s="132">
        <f t="shared" si="10"/>
        <v>1</v>
      </c>
      <c r="O59" s="306">
        <f t="shared" si="11"/>
        <v>200</v>
      </c>
    </row>
    <row r="60" spans="1:15" ht="19.5" customHeight="1">
      <c r="A60" s="684" t="s">
        <v>37</v>
      </c>
      <c r="B60" s="11">
        <f>ApIII!T32</f>
        <v>2</v>
      </c>
      <c r="C60" s="271">
        <f>ApIII!U32</f>
        <v>295</v>
      </c>
      <c r="D60" s="11">
        <f>ApVI!Z29</f>
        <v>1</v>
      </c>
      <c r="E60" s="271">
        <f>ApVI!AA29</f>
        <v>2040.1</v>
      </c>
      <c r="F60" s="11">
        <f>ApIX!X55</f>
        <v>12</v>
      </c>
      <c r="G60" s="271">
        <f>ApIX!Y55</f>
        <v>1470.7</v>
      </c>
      <c r="H60" s="11"/>
      <c r="I60" s="297"/>
      <c r="J60" s="11"/>
      <c r="K60" s="11"/>
      <c r="L60" s="11"/>
      <c r="M60" s="11"/>
      <c r="N60" s="132">
        <f t="shared" si="10"/>
        <v>15</v>
      </c>
      <c r="O60" s="306">
        <f t="shared" si="11"/>
        <v>3805.8</v>
      </c>
    </row>
    <row r="61" spans="1:15" ht="19.5" customHeight="1">
      <c r="A61" s="684" t="s">
        <v>291</v>
      </c>
      <c r="B61" s="11"/>
      <c r="C61" s="271">
        <f>ApIII!U33</f>
        <v>1811.8999999999999</v>
      </c>
      <c r="D61" s="11"/>
      <c r="E61" s="271"/>
      <c r="F61" s="11"/>
      <c r="G61" s="271"/>
      <c r="H61" s="11"/>
      <c r="I61" s="297"/>
      <c r="J61" s="11"/>
      <c r="K61" s="11"/>
      <c r="L61" s="11"/>
      <c r="M61" s="11"/>
      <c r="N61" s="132">
        <f t="shared" si="10"/>
        <v>0</v>
      </c>
      <c r="O61" s="306">
        <f t="shared" si="11"/>
        <v>1811.8999999999999</v>
      </c>
    </row>
    <row r="62" spans="1:15" ht="19.5" customHeight="1">
      <c r="A62" s="684" t="s">
        <v>337</v>
      </c>
      <c r="B62" s="11">
        <f>ApIII!T34</f>
        <v>0</v>
      </c>
      <c r="C62" s="271">
        <f>ApIII!U34</f>
        <v>256.4</v>
      </c>
      <c r="D62" s="11">
        <f>ApVI!Z30</f>
        <v>0</v>
      </c>
      <c r="E62" s="271">
        <f>ApVI!AA30</f>
        <v>696.5</v>
      </c>
      <c r="F62" s="11"/>
      <c r="G62" s="271"/>
      <c r="H62" s="11"/>
      <c r="I62" s="297"/>
      <c r="J62" s="11"/>
      <c r="K62" s="11"/>
      <c r="L62" s="11"/>
      <c r="M62" s="11"/>
      <c r="N62" s="132">
        <f t="shared" si="10"/>
        <v>0</v>
      </c>
      <c r="O62" s="306">
        <f t="shared" si="11"/>
        <v>952.9</v>
      </c>
    </row>
    <row r="63" spans="1:15" ht="19.5" customHeight="1">
      <c r="A63" s="684" t="s">
        <v>338</v>
      </c>
      <c r="B63" s="11"/>
      <c r="C63" s="271"/>
      <c r="D63" s="11"/>
      <c r="E63" s="271"/>
      <c r="F63" s="11">
        <f>ApIX!X56</f>
        <v>1</v>
      </c>
      <c r="G63" s="271">
        <f>ApIX!Y56</f>
        <v>181.1</v>
      </c>
      <c r="H63" s="11"/>
      <c r="I63" s="297"/>
      <c r="J63" s="11"/>
      <c r="K63" s="11"/>
      <c r="L63" s="11"/>
      <c r="M63" s="11"/>
      <c r="N63" s="132">
        <f t="shared" si="10"/>
        <v>1</v>
      </c>
      <c r="O63" s="306">
        <f t="shared" si="11"/>
        <v>181.1</v>
      </c>
    </row>
    <row r="64" spans="1:15" ht="19.5" customHeight="1">
      <c r="A64" s="10" t="s">
        <v>38</v>
      </c>
      <c r="B64" s="11">
        <f>ApIII!T35</f>
        <v>2</v>
      </c>
      <c r="C64" s="271">
        <f>ApIII!U35</f>
        <v>293.4</v>
      </c>
      <c r="D64" s="11">
        <f>ApVI!Z31</f>
        <v>0</v>
      </c>
      <c r="E64" s="271">
        <f>ApVI!AA31</f>
        <v>313.5</v>
      </c>
      <c r="F64" s="11">
        <f>ApIX!X57</f>
        <v>8</v>
      </c>
      <c r="G64" s="271">
        <f>ApIX!Y57</f>
        <v>1512.5</v>
      </c>
      <c r="H64" s="11"/>
      <c r="I64" s="297"/>
      <c r="J64" s="11"/>
      <c r="K64" s="271"/>
      <c r="L64" s="11"/>
      <c r="M64" s="11"/>
      <c r="N64" s="132">
        <f aca="true" t="shared" si="12" ref="N64:O66">SUM(B64,D64,F64,H64,J64,L64)</f>
        <v>10</v>
      </c>
      <c r="O64" s="306">
        <f t="shared" si="12"/>
        <v>2119.4</v>
      </c>
    </row>
    <row r="65" spans="1:16" ht="19.5" customHeight="1">
      <c r="A65" s="10" t="s">
        <v>39</v>
      </c>
      <c r="B65" s="11"/>
      <c r="C65" s="297"/>
      <c r="D65" s="11">
        <f>ApVI!Z32</f>
        <v>1</v>
      </c>
      <c r="E65" s="271">
        <f>ApVI!AA32</f>
        <v>1871.6</v>
      </c>
      <c r="F65" s="11">
        <f>ApIX!X58</f>
        <v>7</v>
      </c>
      <c r="G65" s="271">
        <f>ApIX!Y58</f>
        <v>1203</v>
      </c>
      <c r="H65" s="11"/>
      <c r="I65" s="297"/>
      <c r="J65" s="11"/>
      <c r="K65" s="297"/>
      <c r="L65" s="11"/>
      <c r="M65" s="11"/>
      <c r="N65" s="132">
        <f t="shared" si="12"/>
        <v>8</v>
      </c>
      <c r="O65" s="306">
        <f t="shared" si="12"/>
        <v>3074.6</v>
      </c>
      <c r="P65" s="747"/>
    </row>
    <row r="66" spans="1:16" ht="19.5" customHeight="1">
      <c r="A66" s="10" t="s">
        <v>339</v>
      </c>
      <c r="B66" s="11"/>
      <c r="C66" s="271"/>
      <c r="D66" s="11"/>
      <c r="E66" s="271"/>
      <c r="F66" s="11">
        <f>ApIX!X59</f>
        <v>2</v>
      </c>
      <c r="G66" s="271">
        <f>ApIX!Y59</f>
        <v>450.3</v>
      </c>
      <c r="H66" s="11"/>
      <c r="I66" s="297"/>
      <c r="J66" s="11"/>
      <c r="K66" s="271"/>
      <c r="L66" s="11"/>
      <c r="M66" s="11"/>
      <c r="N66" s="132">
        <f t="shared" si="12"/>
        <v>2</v>
      </c>
      <c r="O66" s="306">
        <f t="shared" si="12"/>
        <v>450.3</v>
      </c>
      <c r="P66" s="747"/>
    </row>
    <row r="67" spans="1:15" ht="19.5" customHeight="1">
      <c r="A67" s="684" t="s">
        <v>40</v>
      </c>
      <c r="B67" s="11">
        <f>ApIII!T36</f>
        <v>1</v>
      </c>
      <c r="C67" s="271">
        <f>ApIII!U36</f>
        <v>148.8</v>
      </c>
      <c r="D67" s="11"/>
      <c r="E67" s="271"/>
      <c r="F67" s="11">
        <f>ApIX!X60</f>
        <v>15</v>
      </c>
      <c r="G67" s="271">
        <f>ApIX!Y60</f>
        <v>2412</v>
      </c>
      <c r="H67" s="11"/>
      <c r="I67" s="297"/>
      <c r="J67" s="11"/>
      <c r="K67" s="297"/>
      <c r="L67" s="11"/>
      <c r="M67" s="11"/>
      <c r="N67" s="132">
        <f>SUM(B67,D67,F67,H67,J67,L67)</f>
        <v>16</v>
      </c>
      <c r="O67" s="306">
        <f>SUM(C67,E67,G67,I67,K67,M67)</f>
        <v>2560.8</v>
      </c>
    </row>
    <row r="68" spans="1:15" ht="19.5" customHeight="1">
      <c r="A68" s="10" t="s">
        <v>41</v>
      </c>
      <c r="B68" s="11">
        <f>ApIII!T37</f>
        <v>0</v>
      </c>
      <c r="C68" s="271">
        <f>ApIII!U37</f>
        <v>447.1</v>
      </c>
      <c r="D68" s="11"/>
      <c r="E68" s="271"/>
      <c r="F68" s="11">
        <f>ApIX!X61</f>
        <v>12</v>
      </c>
      <c r="G68" s="271">
        <f>ApIX!Y61</f>
        <v>1939.9</v>
      </c>
      <c r="H68" s="11"/>
      <c r="I68" s="297"/>
      <c r="J68" s="11"/>
      <c r="K68" s="271"/>
      <c r="L68" s="11"/>
      <c r="M68" s="271"/>
      <c r="N68" s="132">
        <f>SUM(B68,D68,F68,H68,J68,L68)</f>
        <v>12</v>
      </c>
      <c r="O68" s="306">
        <f>SUM(C68,E68,G68,I68,K68,M68)</f>
        <v>2387</v>
      </c>
    </row>
    <row r="69" spans="1:15" ht="19.5" customHeight="1">
      <c r="A69" s="684" t="s">
        <v>42</v>
      </c>
      <c r="B69" s="11">
        <f>ApIII!T38</f>
        <v>2</v>
      </c>
      <c r="C69" s="271">
        <f>ApIII!U38</f>
        <v>7757.8</v>
      </c>
      <c r="D69" s="11">
        <f>ApVI!Z33</f>
        <v>0</v>
      </c>
      <c r="E69" s="271">
        <f>ApVI!AA33</f>
        <v>832.3</v>
      </c>
      <c r="F69" s="11">
        <f>ApIX!X62</f>
        <v>1</v>
      </c>
      <c r="G69" s="271">
        <f>ApIX!Y62</f>
        <v>142.7</v>
      </c>
      <c r="H69" s="11"/>
      <c r="I69" s="297"/>
      <c r="J69" s="11"/>
      <c r="K69" s="271"/>
      <c r="L69" s="11"/>
      <c r="M69" s="11"/>
      <c r="N69" s="132">
        <f aca="true" t="shared" si="13" ref="N69:N76">SUM(B69,D69,F69,H69,J69,L69)</f>
        <v>3</v>
      </c>
      <c r="O69" s="306">
        <f aca="true" t="shared" si="14" ref="O69:O76">SUM(C69,E69,G69,I69,K69,M69)</f>
        <v>8732.800000000001</v>
      </c>
    </row>
    <row r="70" spans="1:15" ht="19.5" customHeight="1">
      <c r="A70" s="684" t="s">
        <v>340</v>
      </c>
      <c r="B70" s="11"/>
      <c r="C70" s="271"/>
      <c r="D70" s="11"/>
      <c r="E70" s="297"/>
      <c r="F70" s="11">
        <f>ApIX!X63</f>
        <v>1</v>
      </c>
      <c r="G70" s="271">
        <f>ApIX!Y63</f>
        <v>177</v>
      </c>
      <c r="H70" s="11"/>
      <c r="I70" s="297"/>
      <c r="J70" s="11"/>
      <c r="K70" s="271"/>
      <c r="L70" s="11"/>
      <c r="M70" s="11"/>
      <c r="N70" s="132">
        <f t="shared" si="13"/>
        <v>1</v>
      </c>
      <c r="O70" s="306">
        <f t="shared" si="14"/>
        <v>177</v>
      </c>
    </row>
    <row r="71" spans="1:15" ht="19.5" customHeight="1">
      <c r="A71" s="684" t="s">
        <v>402</v>
      </c>
      <c r="B71" s="11"/>
      <c r="C71" s="271"/>
      <c r="D71" s="11"/>
      <c r="E71" s="297"/>
      <c r="F71" s="11">
        <f>ApIX!X64</f>
        <v>5</v>
      </c>
      <c r="G71" s="271">
        <f>ApIX!Y64</f>
        <v>1080.4</v>
      </c>
      <c r="H71" s="11"/>
      <c r="I71" s="297"/>
      <c r="J71" s="11"/>
      <c r="K71" s="271"/>
      <c r="L71" s="11"/>
      <c r="M71" s="11"/>
      <c r="N71" s="132">
        <f t="shared" si="13"/>
        <v>5</v>
      </c>
      <c r="O71" s="306">
        <f t="shared" si="14"/>
        <v>1080.4</v>
      </c>
    </row>
    <row r="72" spans="1:15" ht="19.5" customHeight="1">
      <c r="A72" s="684" t="s">
        <v>43</v>
      </c>
      <c r="B72" s="11"/>
      <c r="C72" s="271"/>
      <c r="D72" s="11">
        <f>ApVI!Z34</f>
        <v>0</v>
      </c>
      <c r="E72" s="271">
        <f>ApVI!AA34</f>
        <v>242.1</v>
      </c>
      <c r="F72" s="11">
        <f>ApIX!X65</f>
        <v>23</v>
      </c>
      <c r="G72" s="271">
        <f>ApIX!Y65</f>
        <v>3763.7</v>
      </c>
      <c r="H72" s="11"/>
      <c r="I72" s="297"/>
      <c r="J72" s="11"/>
      <c r="K72" s="271"/>
      <c r="L72" s="11"/>
      <c r="M72" s="11"/>
      <c r="N72" s="132">
        <f t="shared" si="13"/>
        <v>23</v>
      </c>
      <c r="O72" s="306">
        <f t="shared" si="14"/>
        <v>4005.7999999999997</v>
      </c>
    </row>
    <row r="73" spans="1:15" ht="19.5" customHeight="1">
      <c r="A73" s="684" t="s">
        <v>342</v>
      </c>
      <c r="B73" s="11"/>
      <c r="C73" s="271"/>
      <c r="D73" s="11">
        <f>ApVI!Z35</f>
        <v>0</v>
      </c>
      <c r="E73" s="271">
        <f>ApVI!AA35</f>
        <v>214.9</v>
      </c>
      <c r="F73" s="11">
        <f>ApIX!X66</f>
        <v>2</v>
      </c>
      <c r="G73" s="271">
        <f>ApIX!Y66</f>
        <v>334.79999999999995</v>
      </c>
      <c r="H73" s="11"/>
      <c r="I73" s="297"/>
      <c r="J73" s="11"/>
      <c r="K73" s="271"/>
      <c r="L73" s="11"/>
      <c r="M73" s="11"/>
      <c r="N73" s="132">
        <f t="shared" si="13"/>
        <v>2</v>
      </c>
      <c r="O73" s="306">
        <f t="shared" si="14"/>
        <v>549.6999999999999</v>
      </c>
    </row>
    <row r="74" spans="1:15" ht="19.5" customHeight="1">
      <c r="A74" s="10" t="s">
        <v>44</v>
      </c>
      <c r="B74" s="11">
        <f>ApIII!T39</f>
        <v>1</v>
      </c>
      <c r="C74" s="271">
        <f>ApIII!U39</f>
        <v>971</v>
      </c>
      <c r="D74" s="11"/>
      <c r="E74" s="297"/>
      <c r="F74" s="11">
        <f>ApIX!X67</f>
        <v>1</v>
      </c>
      <c r="G74" s="271">
        <f>ApIX!Y67</f>
        <v>125.1</v>
      </c>
      <c r="H74" s="11"/>
      <c r="I74" s="297"/>
      <c r="J74" s="11"/>
      <c r="K74" s="271"/>
      <c r="L74" s="11"/>
      <c r="M74" s="11"/>
      <c r="N74" s="132">
        <f t="shared" si="13"/>
        <v>2</v>
      </c>
      <c r="O74" s="306">
        <f t="shared" si="14"/>
        <v>1096.1</v>
      </c>
    </row>
    <row r="75" spans="1:15" ht="19.5" customHeight="1">
      <c r="A75" s="10" t="s">
        <v>161</v>
      </c>
      <c r="B75" s="11">
        <f>ApIII!T40</f>
        <v>2</v>
      </c>
      <c r="C75" s="271">
        <f>ApIII!U40</f>
        <v>491.4</v>
      </c>
      <c r="D75" s="11"/>
      <c r="E75" s="297"/>
      <c r="F75" s="11"/>
      <c r="G75" s="271"/>
      <c r="H75" s="11"/>
      <c r="I75" s="297"/>
      <c r="J75" s="11"/>
      <c r="K75" s="271"/>
      <c r="L75" s="11"/>
      <c r="M75" s="11"/>
      <c r="N75" s="132">
        <f t="shared" si="13"/>
        <v>2</v>
      </c>
      <c r="O75" s="306">
        <f t="shared" si="14"/>
        <v>491.4</v>
      </c>
    </row>
    <row r="76" spans="1:15" ht="19.5" customHeight="1">
      <c r="A76" s="10" t="s">
        <v>403</v>
      </c>
      <c r="B76" s="11"/>
      <c r="C76" s="271"/>
      <c r="D76" s="11"/>
      <c r="E76" s="297"/>
      <c r="F76" s="11">
        <f>ApIX!X68</f>
        <v>4</v>
      </c>
      <c r="G76" s="271">
        <f>ApIX!Y68</f>
        <v>960.7</v>
      </c>
      <c r="H76" s="11"/>
      <c r="I76" s="297"/>
      <c r="J76" s="11"/>
      <c r="K76" s="271"/>
      <c r="L76" s="11"/>
      <c r="M76" s="11"/>
      <c r="N76" s="132">
        <f t="shared" si="13"/>
        <v>4</v>
      </c>
      <c r="O76" s="306">
        <f t="shared" si="14"/>
        <v>960.7</v>
      </c>
    </row>
    <row r="77" spans="1:15" ht="19.5" customHeight="1">
      <c r="A77" s="10" t="s">
        <v>343</v>
      </c>
      <c r="B77" s="11"/>
      <c r="C77" s="271"/>
      <c r="D77" s="11"/>
      <c r="E77" s="297"/>
      <c r="F77" s="11">
        <f>ApIX!X69</f>
        <v>2</v>
      </c>
      <c r="G77" s="271">
        <f>ApIX!Y69</f>
        <v>355.29999999999995</v>
      </c>
      <c r="H77" s="11"/>
      <c r="I77" s="297"/>
      <c r="J77" s="11"/>
      <c r="K77" s="271"/>
      <c r="L77" s="11"/>
      <c r="M77" s="11"/>
      <c r="N77" s="132">
        <f>SUM(B77,D77,F77,H77,J77,L77)</f>
        <v>2</v>
      </c>
      <c r="O77" s="306">
        <f>SUM(C77,E77,G77,I77,K77,M77)</f>
        <v>355.29999999999995</v>
      </c>
    </row>
    <row r="78" spans="1:15" ht="19.5" customHeight="1">
      <c r="A78" s="10" t="s">
        <v>366</v>
      </c>
      <c r="B78" s="11">
        <f>ApIII!T41</f>
        <v>2</v>
      </c>
      <c r="C78" s="271">
        <f>ApIII!U41</f>
        <v>279.8</v>
      </c>
      <c r="D78" s="271">
        <f>ApVI!Z36</f>
        <v>0</v>
      </c>
      <c r="E78" s="271">
        <f>ApVI!AA36</f>
        <v>627.4000000000001</v>
      </c>
      <c r="F78" s="11">
        <f>ApIX!X70</f>
        <v>1</v>
      </c>
      <c r="G78" s="271">
        <f>ApIX!Y70</f>
        <v>234.2</v>
      </c>
      <c r="H78" s="11"/>
      <c r="I78" s="297"/>
      <c r="J78" s="11"/>
      <c r="K78" s="271"/>
      <c r="L78" s="11"/>
      <c r="M78" s="11"/>
      <c r="N78" s="132">
        <f>SUM(B78,D78,F78,H78,J78,L78)</f>
        <v>3</v>
      </c>
      <c r="O78" s="306">
        <f>SUM(C78,E78,G78,I78,K78,M78)</f>
        <v>1141.4</v>
      </c>
    </row>
    <row r="79" spans="1:15" ht="19.5" customHeight="1">
      <c r="A79" s="10" t="s">
        <v>45</v>
      </c>
      <c r="B79" s="11">
        <f>ApIII!T42</f>
        <v>2</v>
      </c>
      <c r="C79" s="271">
        <f>ApIII!U42</f>
        <v>226.2</v>
      </c>
      <c r="D79" s="11"/>
      <c r="E79" s="271"/>
      <c r="F79" s="11">
        <f>ApIX!X71</f>
        <v>7</v>
      </c>
      <c r="G79" s="271">
        <f>ApIX!Y71</f>
        <v>1230.3</v>
      </c>
      <c r="H79" s="11"/>
      <c r="I79" s="297"/>
      <c r="J79" s="11"/>
      <c r="K79" s="271"/>
      <c r="L79" s="11"/>
      <c r="M79" s="11"/>
      <c r="N79" s="132">
        <f aca="true" t="shared" si="15" ref="N79:O81">SUM(B79,D79,F79,H79,J79,L79)</f>
        <v>9</v>
      </c>
      <c r="O79" s="306">
        <f t="shared" si="15"/>
        <v>1456.5</v>
      </c>
    </row>
    <row r="80" spans="1:15" ht="19.5" customHeight="1">
      <c r="A80" s="10" t="s">
        <v>46</v>
      </c>
      <c r="B80" s="11">
        <f>ApIII!T43</f>
        <v>0</v>
      </c>
      <c r="C80" s="271">
        <f>ApIII!U43</f>
        <v>392.3</v>
      </c>
      <c r="D80" s="11">
        <f>ApVI!Z37</f>
        <v>1</v>
      </c>
      <c r="E80" s="271">
        <f>ApVI!AA37</f>
        <v>1974.6</v>
      </c>
      <c r="F80" s="11">
        <f>ApIX!X72</f>
        <v>3</v>
      </c>
      <c r="G80" s="271">
        <f>ApIX!Y72</f>
        <v>452.9</v>
      </c>
      <c r="H80" s="11"/>
      <c r="I80" s="297"/>
      <c r="J80" s="11"/>
      <c r="K80" s="271"/>
      <c r="L80" s="11"/>
      <c r="M80" s="11"/>
      <c r="N80" s="132">
        <f t="shared" si="15"/>
        <v>4</v>
      </c>
      <c r="O80" s="306">
        <f t="shared" si="15"/>
        <v>2819.8</v>
      </c>
    </row>
    <row r="81" spans="1:15" ht="19.5" customHeight="1">
      <c r="A81" s="10" t="s">
        <v>297</v>
      </c>
      <c r="B81" s="11"/>
      <c r="C81" s="271"/>
      <c r="D81" s="11"/>
      <c r="E81" s="271"/>
      <c r="F81" s="11">
        <f>ApIX!X73</f>
        <v>9</v>
      </c>
      <c r="G81" s="271">
        <f>ApIX!Y73</f>
        <v>2049.7</v>
      </c>
      <c r="H81" s="11"/>
      <c r="I81" s="297"/>
      <c r="J81" s="11"/>
      <c r="K81" s="271"/>
      <c r="L81" s="11"/>
      <c r="M81" s="11"/>
      <c r="N81" s="132">
        <f t="shared" si="15"/>
        <v>9</v>
      </c>
      <c r="O81" s="306">
        <f t="shared" si="15"/>
        <v>2049.7</v>
      </c>
    </row>
    <row r="82" spans="1:15" ht="19.5" customHeight="1">
      <c r="A82" s="10" t="s">
        <v>345</v>
      </c>
      <c r="B82" s="11"/>
      <c r="C82" s="271"/>
      <c r="D82" s="11"/>
      <c r="E82" s="271"/>
      <c r="F82" s="11">
        <f>ApIX!X74</f>
        <v>11</v>
      </c>
      <c r="G82" s="271">
        <f>ApIX!Y74</f>
        <v>1603.7000000000003</v>
      </c>
      <c r="H82" s="11"/>
      <c r="I82" s="297"/>
      <c r="J82" s="11"/>
      <c r="K82" s="271"/>
      <c r="L82" s="11"/>
      <c r="M82" s="11"/>
      <c r="N82" s="132">
        <f aca="true" t="shared" si="16" ref="N82:O85">SUM(B82,D82,F82,H82,J82,L82)</f>
        <v>11</v>
      </c>
      <c r="O82" s="306">
        <f t="shared" si="16"/>
        <v>1603.7000000000003</v>
      </c>
    </row>
    <row r="83" spans="1:15" ht="18" customHeight="1">
      <c r="A83" s="10" t="s">
        <v>47</v>
      </c>
      <c r="B83" s="11">
        <f>ApIII!T44</f>
        <v>2</v>
      </c>
      <c r="C83" s="271">
        <f>ApIII!U44</f>
        <v>416.1</v>
      </c>
      <c r="D83" s="11">
        <f>ApVI!Z38</f>
        <v>1</v>
      </c>
      <c r="E83" s="271">
        <f>ApVI!AA38</f>
        <v>377.2</v>
      </c>
      <c r="F83" s="11">
        <f>ApIX!X75</f>
        <v>14</v>
      </c>
      <c r="G83" s="271">
        <f>ApIX!Y75</f>
        <v>2043.8999999999999</v>
      </c>
      <c r="H83" s="11"/>
      <c r="I83" s="297"/>
      <c r="J83" s="11"/>
      <c r="K83" s="271"/>
      <c r="L83" s="11"/>
      <c r="M83" s="11"/>
      <c r="N83" s="132">
        <f t="shared" si="16"/>
        <v>17</v>
      </c>
      <c r="O83" s="306">
        <f t="shared" si="16"/>
        <v>2837.2</v>
      </c>
    </row>
    <row r="84" spans="1:15" s="192" customFormat="1" ht="18" customHeight="1">
      <c r="A84" s="10" t="s">
        <v>48</v>
      </c>
      <c r="B84" s="11"/>
      <c r="C84" s="271"/>
      <c r="D84" s="11">
        <f>ApVI!Z39</f>
        <v>0</v>
      </c>
      <c r="E84" s="271">
        <f>ApVI!AA39</f>
        <v>449.9</v>
      </c>
      <c r="F84" s="11">
        <f>ApIX!X76</f>
        <v>2</v>
      </c>
      <c r="G84" s="271">
        <f>ApIX!Y76</f>
        <v>357.5</v>
      </c>
      <c r="H84" s="11"/>
      <c r="I84" s="297"/>
      <c r="J84" s="11"/>
      <c r="K84" s="297"/>
      <c r="L84" s="11"/>
      <c r="M84" s="11"/>
      <c r="N84" s="132">
        <f t="shared" si="16"/>
        <v>2</v>
      </c>
      <c r="O84" s="306">
        <f t="shared" si="16"/>
        <v>807.4</v>
      </c>
    </row>
    <row r="85" spans="1:15" s="192" customFormat="1" ht="18" customHeight="1">
      <c r="A85" s="10" t="s">
        <v>302</v>
      </c>
      <c r="B85" s="11"/>
      <c r="C85" s="271"/>
      <c r="D85" s="11"/>
      <c r="E85" s="271"/>
      <c r="F85" s="11">
        <f>ApIX!X77</f>
        <v>2</v>
      </c>
      <c r="G85" s="271">
        <f>ApIX!Y77</f>
        <v>312.70000000000005</v>
      </c>
      <c r="H85" s="11"/>
      <c r="I85" s="297"/>
      <c r="J85" s="11"/>
      <c r="K85" s="297"/>
      <c r="L85" s="11"/>
      <c r="M85" s="11"/>
      <c r="N85" s="132">
        <f t="shared" si="16"/>
        <v>2</v>
      </c>
      <c r="O85" s="306">
        <f t="shared" si="16"/>
        <v>312.70000000000005</v>
      </c>
    </row>
    <row r="86" spans="1:15" ht="21.75" customHeight="1">
      <c r="A86" s="1173" t="s">
        <v>120</v>
      </c>
      <c r="B86" s="1174"/>
      <c r="C86" s="1175"/>
      <c r="D86" s="1174"/>
      <c r="E86" s="1174"/>
      <c r="F86" s="1174"/>
      <c r="G86" s="1174"/>
      <c r="H86" s="1174"/>
      <c r="I86" s="1174"/>
      <c r="J86" s="1174"/>
      <c r="K86" s="1174"/>
      <c r="L86" s="1174"/>
      <c r="M86" s="1174"/>
      <c r="N86" s="1165"/>
      <c r="O86" s="1166"/>
    </row>
    <row r="87" spans="1:15" ht="19.5" customHeight="1">
      <c r="A87" s="10" t="s">
        <v>348</v>
      </c>
      <c r="B87" s="11"/>
      <c r="C87" s="297"/>
      <c r="D87" s="11"/>
      <c r="E87" s="297"/>
      <c r="F87" s="11">
        <f>ApIX!X79</f>
        <v>3</v>
      </c>
      <c r="G87" s="271">
        <f>ApIX!Y79</f>
        <v>447.7</v>
      </c>
      <c r="H87" s="11"/>
      <c r="I87" s="297"/>
      <c r="J87" s="11"/>
      <c r="K87" s="297"/>
      <c r="L87" s="11"/>
      <c r="M87" s="11"/>
      <c r="N87" s="132">
        <f>SUM(B87,D87,F87,H87,J87,L87)</f>
        <v>3</v>
      </c>
      <c r="O87" s="306">
        <f>SUM(C87,E87,G87,I87,K87,M87)</f>
        <v>447.7</v>
      </c>
    </row>
    <row r="88" spans="1:15" ht="19.5" customHeight="1">
      <c r="A88" s="10" t="s">
        <v>288</v>
      </c>
      <c r="B88" s="11"/>
      <c r="C88" s="271"/>
      <c r="D88" s="11"/>
      <c r="E88" s="297"/>
      <c r="F88" s="11">
        <f>ApIX!X80</f>
        <v>2</v>
      </c>
      <c r="G88" s="271">
        <f>ApIX!Y80</f>
        <v>353.2</v>
      </c>
      <c r="H88" s="11"/>
      <c r="I88" s="297"/>
      <c r="J88" s="11">
        <f>ApXI!AB31</f>
        <v>5</v>
      </c>
      <c r="K88" s="271">
        <f>ApXI!AC31</f>
        <v>167.6</v>
      </c>
      <c r="L88" s="11"/>
      <c r="M88" s="271"/>
      <c r="N88" s="132">
        <f>SUM(B88,D88,F88,H88,J88,L88)</f>
        <v>7</v>
      </c>
      <c r="O88" s="306">
        <f>SUM(C88,E88,G88,I88,K88,M88)</f>
        <v>520.8</v>
      </c>
    </row>
    <row r="89" spans="1:15" ht="20.25" customHeight="1">
      <c r="A89" s="10" t="s">
        <v>289</v>
      </c>
      <c r="B89" s="11"/>
      <c r="C89" s="271"/>
      <c r="D89" s="11"/>
      <c r="E89" s="297"/>
      <c r="F89" s="11">
        <f>ApIX!X81</f>
        <v>13</v>
      </c>
      <c r="G89" s="271">
        <f>ApIX!Y81</f>
        <v>2002</v>
      </c>
      <c r="H89" s="11"/>
      <c r="I89" s="297"/>
      <c r="J89" s="11"/>
      <c r="K89" s="297"/>
      <c r="L89" s="11"/>
      <c r="M89" s="11"/>
      <c r="N89" s="132">
        <f aca="true" t="shared" si="17" ref="N89:O93">SUM(B89,D89,F89,H89,J89,L89)</f>
        <v>13</v>
      </c>
      <c r="O89" s="306">
        <f t="shared" si="17"/>
        <v>2002</v>
      </c>
    </row>
    <row r="90" spans="1:15" ht="19.5" customHeight="1">
      <c r="A90" s="10" t="s">
        <v>349</v>
      </c>
      <c r="B90" s="11"/>
      <c r="C90" s="297"/>
      <c r="D90" s="11"/>
      <c r="E90" s="297"/>
      <c r="F90" s="11">
        <f>ApIX!X82</f>
        <v>1</v>
      </c>
      <c r="G90" s="271">
        <f>ApIX!Y82</f>
        <v>150.2</v>
      </c>
      <c r="H90" s="11"/>
      <c r="I90" s="297"/>
      <c r="J90" s="11"/>
      <c r="K90" s="297"/>
      <c r="L90" s="11"/>
      <c r="M90" s="11"/>
      <c r="N90" s="132">
        <f>SUM(B90,D90,F90,H90,J90,L90)</f>
        <v>1</v>
      </c>
      <c r="O90" s="306">
        <f>SUM(C90,E90,G90,I90,K90,M90)</f>
        <v>150.2</v>
      </c>
    </row>
    <row r="91" spans="1:15" ht="19.5" customHeight="1">
      <c r="A91" s="10" t="s">
        <v>300</v>
      </c>
      <c r="B91" s="11"/>
      <c r="C91" s="297"/>
      <c r="D91" s="11"/>
      <c r="E91" s="297"/>
      <c r="F91" s="11">
        <f>ApIX!X83</f>
        <v>1</v>
      </c>
      <c r="G91" s="271">
        <f>ApIX!Y83</f>
        <v>93.4</v>
      </c>
      <c r="H91" s="11"/>
      <c r="I91" s="297"/>
      <c r="J91" s="11"/>
      <c r="K91" s="297"/>
      <c r="L91" s="11"/>
      <c r="M91" s="11"/>
      <c r="N91" s="132">
        <f>SUM(B91,D91,F91,H91,J91,L91)</f>
        <v>1</v>
      </c>
      <c r="O91" s="306">
        <f>SUM(C91,E91,G91,I91,K91,M91)</f>
        <v>93.4</v>
      </c>
    </row>
    <row r="92" spans="1:15" ht="20.25" customHeight="1">
      <c r="A92" s="10" t="s">
        <v>33</v>
      </c>
      <c r="B92" s="11"/>
      <c r="C92" s="271"/>
      <c r="D92" s="11"/>
      <c r="E92" s="297"/>
      <c r="F92" s="11">
        <f>ApIX!X84</f>
        <v>8</v>
      </c>
      <c r="G92" s="271">
        <f>ApIX!Y84</f>
        <v>1515</v>
      </c>
      <c r="H92" s="11"/>
      <c r="I92" s="297"/>
      <c r="J92" s="11">
        <f>ApXI!AB32</f>
        <v>5</v>
      </c>
      <c r="K92" s="271">
        <f>ApXI!AC32</f>
        <v>167.6</v>
      </c>
      <c r="L92" s="11"/>
      <c r="M92" s="271"/>
      <c r="N92" s="132">
        <f t="shared" si="17"/>
        <v>13</v>
      </c>
      <c r="O92" s="306">
        <f t="shared" si="17"/>
        <v>1682.6</v>
      </c>
    </row>
    <row r="93" spans="1:15" ht="20.25" customHeight="1">
      <c r="A93" s="15" t="s">
        <v>34</v>
      </c>
      <c r="B93" s="16"/>
      <c r="C93" s="317"/>
      <c r="D93" s="16"/>
      <c r="E93" s="298"/>
      <c r="F93" s="11">
        <f>ApIX!X85</f>
        <v>1</v>
      </c>
      <c r="G93" s="271">
        <f>ApIX!Y85</f>
        <v>132.4</v>
      </c>
      <c r="H93" s="16"/>
      <c r="I93" s="298"/>
      <c r="J93" s="11">
        <f>ApXI!AB33</f>
        <v>8</v>
      </c>
      <c r="K93" s="271">
        <f>ApXI!AC33</f>
        <v>269.7</v>
      </c>
      <c r="L93" s="16"/>
      <c r="M93" s="16"/>
      <c r="N93" s="133">
        <f t="shared" si="17"/>
        <v>9</v>
      </c>
      <c r="O93" s="307">
        <f t="shared" si="17"/>
        <v>402.1</v>
      </c>
    </row>
    <row r="94" spans="1:15" ht="19.5" customHeight="1">
      <c r="A94" s="1173" t="s">
        <v>121</v>
      </c>
      <c r="B94" s="1174"/>
      <c r="C94" s="1175"/>
      <c r="D94" s="1174"/>
      <c r="E94" s="1175"/>
      <c r="F94" s="1174"/>
      <c r="G94" s="1175"/>
      <c r="H94" s="1174"/>
      <c r="I94" s="1175"/>
      <c r="J94" s="1176"/>
      <c r="K94" s="1175"/>
      <c r="L94" s="1174"/>
      <c r="M94" s="1174"/>
      <c r="N94" s="1165"/>
      <c r="O94" s="1166"/>
    </row>
    <row r="95" spans="1:15" ht="21.75">
      <c r="A95" s="684" t="s">
        <v>138</v>
      </c>
      <c r="B95" s="11">
        <f>ApIII!T46</f>
        <v>2</v>
      </c>
      <c r="C95" s="271">
        <f>ApIII!U46</f>
        <v>856.0999999999999</v>
      </c>
      <c r="D95" s="11"/>
      <c r="E95" s="297"/>
      <c r="F95" s="11">
        <f>ApIX!X87</f>
        <v>6</v>
      </c>
      <c r="G95" s="271">
        <f>ApIX!Y87</f>
        <v>1361.2</v>
      </c>
      <c r="H95" s="11"/>
      <c r="I95" s="297"/>
      <c r="J95" s="11"/>
      <c r="K95" s="297"/>
      <c r="L95" s="11"/>
      <c r="M95" s="271"/>
      <c r="N95" s="132">
        <f aca="true" t="shared" si="18" ref="N95:N104">SUM(B95,D95,F95,H95,J95,L95)</f>
        <v>8</v>
      </c>
      <c r="O95" s="306">
        <f aca="true" t="shared" si="19" ref="O95:O104">SUM(C95,E95,G95,I95,K95,M95)</f>
        <v>2217.3</v>
      </c>
    </row>
    <row r="96" spans="1:15" ht="21.75" customHeight="1">
      <c r="A96" s="684" t="s">
        <v>355</v>
      </c>
      <c r="B96" s="11"/>
      <c r="C96" s="271"/>
      <c r="D96" s="11"/>
      <c r="E96" s="297"/>
      <c r="F96" s="11">
        <f>ApIX!X88</f>
        <v>1</v>
      </c>
      <c r="G96" s="271">
        <f>ApIX!Y88</f>
        <v>244.5</v>
      </c>
      <c r="H96" s="11"/>
      <c r="I96" s="297"/>
      <c r="J96" s="11"/>
      <c r="K96" s="297"/>
      <c r="L96" s="11"/>
      <c r="M96" s="11"/>
      <c r="N96" s="132">
        <f>SUM(B96,D96,F96,H96,J96,L96)</f>
        <v>1</v>
      </c>
      <c r="O96" s="306">
        <f>SUM(C96,E96,G96,I96,K96,M96)</f>
        <v>244.5</v>
      </c>
    </row>
    <row r="97" spans="1:15" ht="20.25" customHeight="1">
      <c r="A97" s="684" t="s">
        <v>49</v>
      </c>
      <c r="B97" s="11"/>
      <c r="C97" s="271"/>
      <c r="D97" s="11"/>
      <c r="E97" s="297"/>
      <c r="F97" s="11">
        <f>ApIX!X89</f>
        <v>6</v>
      </c>
      <c r="G97" s="271">
        <f>ApIX!Y89</f>
        <v>976</v>
      </c>
      <c r="H97" s="11"/>
      <c r="I97" s="297"/>
      <c r="J97" s="11"/>
      <c r="K97" s="297"/>
      <c r="L97" s="11"/>
      <c r="M97" s="11"/>
      <c r="N97" s="132">
        <f t="shared" si="18"/>
        <v>6</v>
      </c>
      <c r="O97" s="306">
        <f t="shared" si="19"/>
        <v>976</v>
      </c>
    </row>
    <row r="98" spans="1:15" ht="20.25" customHeight="1">
      <c r="A98" s="684" t="s">
        <v>50</v>
      </c>
      <c r="B98" s="11"/>
      <c r="C98" s="271"/>
      <c r="D98" s="11"/>
      <c r="E98" s="297"/>
      <c r="F98" s="11">
        <f>ApIX!X90</f>
        <v>2</v>
      </c>
      <c r="G98" s="271">
        <f>ApIX!Y90</f>
        <v>636.5</v>
      </c>
      <c r="H98" s="11"/>
      <c r="I98" s="297"/>
      <c r="J98" s="11"/>
      <c r="K98" s="297"/>
      <c r="L98" s="11"/>
      <c r="M98" s="11"/>
      <c r="N98" s="132">
        <f t="shared" si="18"/>
        <v>2</v>
      </c>
      <c r="O98" s="306">
        <f t="shared" si="19"/>
        <v>636.5</v>
      </c>
    </row>
    <row r="99" spans="1:15" ht="20.25" customHeight="1">
      <c r="A99" s="684" t="s">
        <v>148</v>
      </c>
      <c r="B99" s="11"/>
      <c r="C99" s="297"/>
      <c r="D99" s="11"/>
      <c r="E99" s="271"/>
      <c r="F99" s="11">
        <f>ApIX!X91</f>
        <v>2</v>
      </c>
      <c r="G99" s="271">
        <f>ApIX!Y91</f>
        <v>610.3</v>
      </c>
      <c r="H99" s="11"/>
      <c r="I99" s="297"/>
      <c r="J99" s="11"/>
      <c r="K99" s="297"/>
      <c r="L99" s="11"/>
      <c r="M99" s="271"/>
      <c r="N99" s="132">
        <f t="shared" si="18"/>
        <v>2</v>
      </c>
      <c r="O99" s="306">
        <f t="shared" si="19"/>
        <v>610.3</v>
      </c>
    </row>
    <row r="100" spans="1:15" ht="20.25" customHeight="1">
      <c r="A100" s="684" t="s">
        <v>186</v>
      </c>
      <c r="B100" s="11"/>
      <c r="C100" s="271"/>
      <c r="D100" s="11"/>
      <c r="E100" s="271"/>
      <c r="F100" s="11">
        <f>ApIX!X92</f>
        <v>1</v>
      </c>
      <c r="G100" s="271">
        <f>ApIX!Y92</f>
        <v>281.1</v>
      </c>
      <c r="H100" s="11"/>
      <c r="I100" s="297"/>
      <c r="J100" s="11"/>
      <c r="K100" s="297"/>
      <c r="L100" s="11"/>
      <c r="M100" s="11"/>
      <c r="N100" s="132">
        <f t="shared" si="18"/>
        <v>1</v>
      </c>
      <c r="O100" s="306">
        <f t="shared" si="19"/>
        <v>281.1</v>
      </c>
    </row>
    <row r="101" spans="1:15" ht="20.25" customHeight="1">
      <c r="A101" s="684" t="s">
        <v>359</v>
      </c>
      <c r="B101" s="11"/>
      <c r="C101" s="271"/>
      <c r="D101" s="11"/>
      <c r="E101" s="271"/>
      <c r="F101" s="11">
        <f>ApIX!X93</f>
        <v>8</v>
      </c>
      <c r="G101" s="271">
        <f>ApIX!Y93</f>
        <v>2333</v>
      </c>
      <c r="H101" s="11"/>
      <c r="I101" s="297"/>
      <c r="J101" s="11"/>
      <c r="K101" s="297"/>
      <c r="L101" s="11"/>
      <c r="M101" s="11"/>
      <c r="N101" s="132">
        <f aca="true" t="shared" si="20" ref="N101:O103">SUM(B101,D101,F101,H101,J101,L101)</f>
        <v>8</v>
      </c>
      <c r="O101" s="306">
        <f t="shared" si="20"/>
        <v>2333</v>
      </c>
    </row>
    <row r="102" spans="1:15" ht="20.25" customHeight="1">
      <c r="A102" s="684" t="s">
        <v>152</v>
      </c>
      <c r="B102" s="11"/>
      <c r="C102" s="271"/>
      <c r="D102" s="11">
        <f>ApVI!Z41</f>
        <v>0</v>
      </c>
      <c r="E102" s="271">
        <f>ApVI!AA41</f>
        <v>121.1</v>
      </c>
      <c r="F102" s="11">
        <f>ApIX!X94</f>
        <v>2</v>
      </c>
      <c r="G102" s="271">
        <f>ApIX!Y94</f>
        <v>663.2</v>
      </c>
      <c r="H102" s="11"/>
      <c r="I102" s="297"/>
      <c r="J102" s="11"/>
      <c r="K102" s="297"/>
      <c r="L102" s="11"/>
      <c r="M102" s="11"/>
      <c r="N102" s="132">
        <f t="shared" si="20"/>
        <v>2</v>
      </c>
      <c r="O102" s="306">
        <f t="shared" si="20"/>
        <v>784.3000000000001</v>
      </c>
    </row>
    <row r="103" spans="1:15" ht="20.25" customHeight="1">
      <c r="A103" s="684" t="s">
        <v>400</v>
      </c>
      <c r="B103" s="11"/>
      <c r="C103" s="297"/>
      <c r="D103" s="11">
        <f>ApVI!Z42</f>
        <v>0</v>
      </c>
      <c r="E103" s="271">
        <f>ApVI!AA42</f>
        <v>355.5</v>
      </c>
      <c r="F103" s="11"/>
      <c r="G103" s="271"/>
      <c r="H103" s="11"/>
      <c r="I103" s="297"/>
      <c r="J103" s="11"/>
      <c r="K103" s="297"/>
      <c r="L103" s="11"/>
      <c r="M103" s="11"/>
      <c r="N103" s="132">
        <f t="shared" si="20"/>
        <v>0</v>
      </c>
      <c r="O103" s="306">
        <f t="shared" si="20"/>
        <v>355.5</v>
      </c>
    </row>
    <row r="104" spans="1:15" ht="20.25" customHeight="1">
      <c r="A104" s="684" t="s">
        <v>437</v>
      </c>
      <c r="B104" s="11"/>
      <c r="C104" s="297"/>
      <c r="D104" s="11">
        <f>ApVI!Z43</f>
        <v>0</v>
      </c>
      <c r="E104" s="271">
        <f>ApVI!AA43</f>
        <v>251.6</v>
      </c>
      <c r="F104" s="11"/>
      <c r="G104" s="271"/>
      <c r="H104" s="11"/>
      <c r="I104" s="297"/>
      <c r="J104" s="11"/>
      <c r="K104" s="297"/>
      <c r="L104" s="11"/>
      <c r="M104" s="11"/>
      <c r="N104" s="132">
        <f t="shared" si="18"/>
        <v>0</v>
      </c>
      <c r="O104" s="306">
        <f t="shared" si="19"/>
        <v>251.6</v>
      </c>
    </row>
    <row r="105" spans="1:15" ht="20.25" customHeight="1">
      <c r="A105" s="684" t="s">
        <v>587</v>
      </c>
      <c r="B105" s="11"/>
      <c r="C105" s="297"/>
      <c r="D105" s="11"/>
      <c r="E105" s="271"/>
      <c r="F105" s="11">
        <f>ApIX!X95</f>
        <v>1</v>
      </c>
      <c r="G105" s="271">
        <f>ApIX!Y95</f>
        <v>195.2</v>
      </c>
      <c r="H105" s="11"/>
      <c r="I105" s="297"/>
      <c r="J105" s="11"/>
      <c r="K105" s="297"/>
      <c r="L105" s="11"/>
      <c r="M105" s="11"/>
      <c r="N105" s="132">
        <f aca="true" t="shared" si="21" ref="N105:O108">SUM(B105,D105,F105,H105,J105,L105)</f>
        <v>1</v>
      </c>
      <c r="O105" s="306">
        <f t="shared" si="21"/>
        <v>195.2</v>
      </c>
    </row>
    <row r="106" spans="1:15" ht="20.25" customHeight="1">
      <c r="A106" s="684" t="s">
        <v>51</v>
      </c>
      <c r="B106" s="11"/>
      <c r="C106" s="271"/>
      <c r="D106" s="11"/>
      <c r="E106" s="271"/>
      <c r="F106" s="11">
        <f>ApIX!X96</f>
        <v>6</v>
      </c>
      <c r="G106" s="271">
        <f>ApIX!Y96</f>
        <v>1414.3</v>
      </c>
      <c r="H106" s="11"/>
      <c r="I106" s="297"/>
      <c r="J106" s="11"/>
      <c r="K106" s="297"/>
      <c r="L106" s="11"/>
      <c r="M106" s="271"/>
      <c r="N106" s="132">
        <f t="shared" si="21"/>
        <v>6</v>
      </c>
      <c r="O106" s="306">
        <f t="shared" si="21"/>
        <v>1414.3</v>
      </c>
    </row>
    <row r="107" spans="1:15" ht="20.25" customHeight="1">
      <c r="A107" s="684" t="s">
        <v>588</v>
      </c>
      <c r="B107" s="11"/>
      <c r="C107" s="271"/>
      <c r="D107" s="11"/>
      <c r="E107" s="271"/>
      <c r="F107" s="11">
        <f>ApIX!X97</f>
        <v>1</v>
      </c>
      <c r="G107" s="271">
        <f>ApIX!Y97</f>
        <v>427.6</v>
      </c>
      <c r="H107" s="11"/>
      <c r="I107" s="297"/>
      <c r="J107" s="11"/>
      <c r="K107" s="297"/>
      <c r="L107" s="11"/>
      <c r="M107" s="271"/>
      <c r="N107" s="132">
        <f t="shared" si="21"/>
        <v>1</v>
      </c>
      <c r="O107" s="306">
        <f t="shared" si="21"/>
        <v>427.6</v>
      </c>
    </row>
    <row r="108" spans="1:15" ht="20.25" customHeight="1">
      <c r="A108" s="684" t="s">
        <v>216</v>
      </c>
      <c r="B108" s="11"/>
      <c r="C108" s="271"/>
      <c r="D108" s="11"/>
      <c r="E108" s="297"/>
      <c r="F108" s="11">
        <f>ApIX!X98</f>
        <v>3</v>
      </c>
      <c r="G108" s="271">
        <f>ApIX!Y98</f>
        <v>740.2</v>
      </c>
      <c r="H108" s="11"/>
      <c r="I108" s="297"/>
      <c r="J108" s="11"/>
      <c r="K108" s="297"/>
      <c r="L108" s="11"/>
      <c r="M108" s="11"/>
      <c r="N108" s="132">
        <f t="shared" si="21"/>
        <v>3</v>
      </c>
      <c r="O108" s="306">
        <f t="shared" si="21"/>
        <v>740.2</v>
      </c>
    </row>
    <row r="109" spans="1:15" ht="20.25" customHeight="1">
      <c r="A109" s="684" t="s">
        <v>153</v>
      </c>
      <c r="B109" s="11"/>
      <c r="C109" s="271"/>
      <c r="D109" s="11"/>
      <c r="E109" s="297"/>
      <c r="F109" s="11">
        <f>ApIX!X99</f>
        <v>6</v>
      </c>
      <c r="G109" s="271">
        <f>ApIX!Y99</f>
        <v>1444.2</v>
      </c>
      <c r="H109" s="11"/>
      <c r="I109" s="297"/>
      <c r="J109" s="11"/>
      <c r="K109" s="297"/>
      <c r="L109" s="11"/>
      <c r="M109" s="271"/>
      <c r="N109" s="132">
        <f aca="true" t="shared" si="22" ref="N109:O113">SUM(B109,D109,F109,H109,J109,L109)</f>
        <v>6</v>
      </c>
      <c r="O109" s="306">
        <f t="shared" si="22"/>
        <v>1444.2</v>
      </c>
    </row>
    <row r="110" spans="1:15" ht="20.25" customHeight="1">
      <c r="A110" s="684" t="s">
        <v>52</v>
      </c>
      <c r="B110" s="11">
        <f>ApIII!T47</f>
        <v>0</v>
      </c>
      <c r="C110" s="271">
        <f>ApIII!U47</f>
        <v>296.9</v>
      </c>
      <c r="D110" s="11"/>
      <c r="E110" s="297"/>
      <c r="F110" s="11">
        <f>ApIX!X100</f>
        <v>5</v>
      </c>
      <c r="G110" s="271">
        <f>ApIX!Y100</f>
        <v>1486</v>
      </c>
      <c r="H110" s="11"/>
      <c r="I110" s="297"/>
      <c r="J110" s="11"/>
      <c r="K110" s="297"/>
      <c r="L110" s="11"/>
      <c r="M110" s="271"/>
      <c r="N110" s="132">
        <f t="shared" si="22"/>
        <v>5</v>
      </c>
      <c r="O110" s="306">
        <f t="shared" si="22"/>
        <v>1782.9</v>
      </c>
    </row>
    <row r="111" spans="1:15" ht="20.25" customHeight="1">
      <c r="A111" s="684" t="s">
        <v>580</v>
      </c>
      <c r="B111" s="11"/>
      <c r="C111" s="271"/>
      <c r="D111" s="11">
        <f>ApVI!Z44</f>
        <v>1</v>
      </c>
      <c r="E111" s="271">
        <f>ApVI!AA44</f>
        <v>279.6</v>
      </c>
      <c r="F111" s="11"/>
      <c r="G111" s="271"/>
      <c r="H111" s="11"/>
      <c r="I111" s="297"/>
      <c r="J111" s="11"/>
      <c r="K111" s="297"/>
      <c r="L111" s="11"/>
      <c r="M111" s="271"/>
      <c r="N111" s="132">
        <f t="shared" si="22"/>
        <v>1</v>
      </c>
      <c r="O111" s="306">
        <f t="shared" si="22"/>
        <v>279.6</v>
      </c>
    </row>
    <row r="112" spans="1:15" ht="20.25" customHeight="1">
      <c r="A112" s="684" t="s">
        <v>404</v>
      </c>
      <c r="B112" s="11"/>
      <c r="C112" s="271"/>
      <c r="D112" s="11"/>
      <c r="E112" s="297"/>
      <c r="F112" s="11">
        <f>ApIX!X101</f>
        <v>2</v>
      </c>
      <c r="G112" s="271">
        <f>ApIX!Y101</f>
        <v>706.2</v>
      </c>
      <c r="H112" s="11"/>
      <c r="I112" s="297"/>
      <c r="J112" s="11"/>
      <c r="K112" s="297"/>
      <c r="L112" s="11"/>
      <c r="M112" s="271"/>
      <c r="N112" s="132">
        <f t="shared" si="22"/>
        <v>2</v>
      </c>
      <c r="O112" s="306">
        <f t="shared" si="22"/>
        <v>706.2</v>
      </c>
    </row>
    <row r="113" spans="1:15" ht="20.25" customHeight="1">
      <c r="A113" s="684" t="s">
        <v>438</v>
      </c>
      <c r="B113" s="11"/>
      <c r="C113" s="271"/>
      <c r="D113" s="11"/>
      <c r="E113" s="297"/>
      <c r="F113" s="11">
        <f>ApIX!X102</f>
        <v>2</v>
      </c>
      <c r="G113" s="271">
        <f>ApIX!Y102</f>
        <v>277.3</v>
      </c>
      <c r="H113" s="11"/>
      <c r="I113" s="297"/>
      <c r="J113" s="11"/>
      <c r="K113" s="297"/>
      <c r="L113" s="11"/>
      <c r="M113" s="271"/>
      <c r="N113" s="132">
        <f t="shared" si="22"/>
        <v>2</v>
      </c>
      <c r="O113" s="306">
        <f t="shared" si="22"/>
        <v>277.3</v>
      </c>
    </row>
    <row r="114" spans="1:15" ht="20.25" customHeight="1">
      <c r="A114" s="1161" t="s">
        <v>379</v>
      </c>
      <c r="B114" s="1162"/>
      <c r="C114" s="1163"/>
      <c r="D114" s="1162"/>
      <c r="E114" s="1163"/>
      <c r="F114" s="1162"/>
      <c r="G114" s="1164"/>
      <c r="H114" s="1162"/>
      <c r="I114" s="1163"/>
      <c r="J114" s="1162"/>
      <c r="K114" s="1163"/>
      <c r="L114" s="1162"/>
      <c r="M114" s="1162"/>
      <c r="N114" s="1165"/>
      <c r="O114" s="1166"/>
    </row>
    <row r="115" spans="1:15" ht="20.25" customHeight="1">
      <c r="A115" s="10" t="s">
        <v>434</v>
      </c>
      <c r="B115" s="11"/>
      <c r="C115" s="297"/>
      <c r="D115" s="11"/>
      <c r="E115" s="297"/>
      <c r="F115" s="11">
        <f>ApIX!X104</f>
        <v>2</v>
      </c>
      <c r="G115" s="271">
        <f>ApIX!Y104</f>
        <v>260.6</v>
      </c>
      <c r="H115" s="11"/>
      <c r="I115" s="297"/>
      <c r="J115" s="11"/>
      <c r="K115" s="297"/>
      <c r="L115" s="11"/>
      <c r="M115" s="11"/>
      <c r="N115" s="132">
        <f aca="true" t="shared" si="23" ref="N115:O123">SUM(B115,D115,F115,H115,J115,L115)</f>
        <v>2</v>
      </c>
      <c r="O115" s="306">
        <f t="shared" si="23"/>
        <v>260.6</v>
      </c>
    </row>
    <row r="116" spans="1:15" ht="21.75" customHeight="1">
      <c r="A116" s="10" t="s">
        <v>346</v>
      </c>
      <c r="B116" s="11"/>
      <c r="C116" s="271"/>
      <c r="D116" s="11"/>
      <c r="E116" s="297"/>
      <c r="F116" s="11">
        <f>ApIX!X105</f>
        <v>8</v>
      </c>
      <c r="G116" s="271">
        <f>ApIX!Y105</f>
        <v>1265</v>
      </c>
      <c r="H116" s="11"/>
      <c r="I116" s="297"/>
      <c r="J116" s="11"/>
      <c r="K116" s="297"/>
      <c r="L116" s="11"/>
      <c r="M116" s="11"/>
      <c r="N116" s="132">
        <f>SUM(B116,D116,F116,H116,J116,L116)</f>
        <v>8</v>
      </c>
      <c r="O116" s="306">
        <f>SUM(C116,E116,G116,I116,K116,M116)</f>
        <v>1265</v>
      </c>
    </row>
    <row r="117" spans="1:15" ht="20.25" customHeight="1">
      <c r="A117" s="10" t="s">
        <v>347</v>
      </c>
      <c r="B117" s="11"/>
      <c r="C117" s="271"/>
      <c r="D117" s="11"/>
      <c r="E117" s="297"/>
      <c r="F117" s="11">
        <f>ApIX!X106</f>
        <v>6</v>
      </c>
      <c r="G117" s="271">
        <f>ApIX!Y106</f>
        <v>915.8</v>
      </c>
      <c r="H117" s="11"/>
      <c r="I117" s="297"/>
      <c r="J117" s="11"/>
      <c r="K117" s="297"/>
      <c r="L117" s="11"/>
      <c r="M117" s="11"/>
      <c r="N117" s="132">
        <f>SUM(B117,D117,F117,H117,J117,L117)</f>
        <v>6</v>
      </c>
      <c r="O117" s="306">
        <f>SUM(C117,E117,G117,I117,K117,M117)</f>
        <v>915.8</v>
      </c>
    </row>
    <row r="118" spans="1:15" ht="20.25" customHeight="1">
      <c r="A118" s="10" t="s">
        <v>435</v>
      </c>
      <c r="B118" s="11"/>
      <c r="C118" s="297"/>
      <c r="D118" s="11"/>
      <c r="E118" s="297"/>
      <c r="F118" s="11">
        <f>ApIX!X107</f>
        <v>5</v>
      </c>
      <c r="G118" s="271">
        <f>ApIX!Y107</f>
        <v>726.7</v>
      </c>
      <c r="H118" s="11"/>
      <c r="I118" s="297"/>
      <c r="J118" s="11"/>
      <c r="K118" s="297"/>
      <c r="L118" s="11"/>
      <c r="M118" s="11"/>
      <c r="N118" s="132">
        <f t="shared" si="23"/>
        <v>5</v>
      </c>
      <c r="O118" s="306">
        <f t="shared" si="23"/>
        <v>726.7</v>
      </c>
    </row>
    <row r="119" spans="1:15" ht="20.25" customHeight="1">
      <c r="A119" s="10" t="s">
        <v>585</v>
      </c>
      <c r="B119" s="11"/>
      <c r="C119" s="297"/>
      <c r="D119" s="11"/>
      <c r="E119" s="297"/>
      <c r="F119" s="11">
        <f>ApIX!X108</f>
        <v>1</v>
      </c>
      <c r="G119" s="271">
        <f>ApIX!Y108</f>
        <v>104.7</v>
      </c>
      <c r="H119" s="11"/>
      <c r="I119" s="297"/>
      <c r="J119" s="11"/>
      <c r="K119" s="297"/>
      <c r="L119" s="11"/>
      <c r="M119" s="11"/>
      <c r="N119" s="132">
        <f t="shared" si="23"/>
        <v>1</v>
      </c>
      <c r="O119" s="306">
        <f t="shared" si="23"/>
        <v>104.7</v>
      </c>
    </row>
    <row r="120" spans="1:15" ht="20.25" customHeight="1">
      <c r="A120" s="10" t="s">
        <v>642</v>
      </c>
      <c r="B120" s="11"/>
      <c r="C120" s="297"/>
      <c r="D120" s="11"/>
      <c r="E120" s="297"/>
      <c r="F120" s="11">
        <f>ApIX!X109</f>
        <v>1</v>
      </c>
      <c r="G120" s="271">
        <f>ApIX!Y109</f>
        <v>302.7</v>
      </c>
      <c r="H120" s="11"/>
      <c r="I120" s="297"/>
      <c r="J120" s="11"/>
      <c r="K120" s="297"/>
      <c r="L120" s="11"/>
      <c r="M120" s="11"/>
      <c r="N120" s="132">
        <f t="shared" si="23"/>
        <v>1</v>
      </c>
      <c r="O120" s="306">
        <f t="shared" si="23"/>
        <v>302.7</v>
      </c>
    </row>
    <row r="121" spans="1:15" ht="19.5" customHeight="1">
      <c r="A121" s="10" t="s">
        <v>197</v>
      </c>
      <c r="B121" s="11"/>
      <c r="C121" s="271"/>
      <c r="D121" s="11"/>
      <c r="E121" s="297"/>
      <c r="F121" s="11">
        <f>ApIX!X110</f>
        <v>6</v>
      </c>
      <c r="G121" s="271">
        <f>ApIX!Y110</f>
        <v>991.1999999999999</v>
      </c>
      <c r="H121" s="11"/>
      <c r="I121" s="297"/>
      <c r="J121" s="11"/>
      <c r="K121" s="297"/>
      <c r="L121" s="11"/>
      <c r="M121" s="11"/>
      <c r="N121" s="132">
        <f t="shared" si="23"/>
        <v>6</v>
      </c>
      <c r="O121" s="306">
        <f t="shared" si="23"/>
        <v>991.1999999999999</v>
      </c>
    </row>
    <row r="122" spans="1:15" ht="20.25" customHeight="1">
      <c r="A122" s="10" t="s">
        <v>415</v>
      </c>
      <c r="B122" s="11"/>
      <c r="C122" s="297"/>
      <c r="D122" s="11"/>
      <c r="E122" s="297"/>
      <c r="F122" s="11">
        <f>ApIX!X111</f>
        <v>4</v>
      </c>
      <c r="G122" s="271">
        <f>ApIX!Y111</f>
        <v>660.9</v>
      </c>
      <c r="H122" s="11"/>
      <c r="I122" s="297"/>
      <c r="J122" s="11"/>
      <c r="K122" s="297"/>
      <c r="L122" s="11"/>
      <c r="M122" s="11"/>
      <c r="N122" s="132">
        <f t="shared" si="23"/>
        <v>4</v>
      </c>
      <c r="O122" s="306">
        <f t="shared" si="23"/>
        <v>660.9</v>
      </c>
    </row>
    <row r="123" spans="1:15" ht="20.25" customHeight="1">
      <c r="A123" s="10" t="s">
        <v>589</v>
      </c>
      <c r="B123" s="11"/>
      <c r="C123" s="297"/>
      <c r="D123" s="11"/>
      <c r="E123" s="297"/>
      <c r="F123" s="11">
        <f>ApIX!X112</f>
        <v>1</v>
      </c>
      <c r="G123" s="271">
        <f>ApIX!Y112</f>
        <v>154.3</v>
      </c>
      <c r="H123" s="11"/>
      <c r="I123" s="297"/>
      <c r="J123" s="11"/>
      <c r="K123" s="297"/>
      <c r="L123" s="11"/>
      <c r="M123" s="11"/>
      <c r="N123" s="132">
        <f t="shared" si="23"/>
        <v>1</v>
      </c>
      <c r="O123" s="306">
        <f t="shared" si="23"/>
        <v>154.3</v>
      </c>
    </row>
    <row r="124" spans="1:15" s="192" customFormat="1" ht="19.5" customHeight="1">
      <c r="A124" s="10" t="s">
        <v>324</v>
      </c>
      <c r="B124" s="11"/>
      <c r="C124" s="271"/>
      <c r="D124" s="12"/>
      <c r="E124" s="293"/>
      <c r="F124" s="11">
        <f>ApIX!X113</f>
        <v>5</v>
      </c>
      <c r="G124" s="271">
        <f>ApIX!Y113</f>
        <v>845.1</v>
      </c>
      <c r="H124" s="11"/>
      <c r="I124" s="297"/>
      <c r="J124" s="11"/>
      <c r="K124" s="271"/>
      <c r="L124" s="11"/>
      <c r="M124" s="271"/>
      <c r="N124" s="132">
        <f aca="true" t="shared" si="24" ref="N124:O126">SUM(B124,D124,F124,H124,J124,L124)</f>
        <v>5</v>
      </c>
      <c r="O124" s="306">
        <f t="shared" si="24"/>
        <v>845.1</v>
      </c>
    </row>
    <row r="125" spans="1:15" ht="20.25" customHeight="1">
      <c r="A125" s="10" t="s">
        <v>351</v>
      </c>
      <c r="B125" s="11"/>
      <c r="C125" s="297"/>
      <c r="D125" s="11"/>
      <c r="E125" s="297"/>
      <c r="F125" s="11">
        <f>ApIX!X114</f>
        <v>7</v>
      </c>
      <c r="G125" s="271">
        <f>ApIX!Y114</f>
        <v>1055.4</v>
      </c>
      <c r="H125" s="11"/>
      <c r="I125" s="297"/>
      <c r="J125" s="11">
        <f>ApXI!AB35</f>
        <v>2</v>
      </c>
      <c r="K125" s="271">
        <f>ApXI!AC35</f>
        <v>69</v>
      </c>
      <c r="L125" s="11"/>
      <c r="M125" s="11"/>
      <c r="N125" s="132">
        <f t="shared" si="24"/>
        <v>9</v>
      </c>
      <c r="O125" s="306">
        <f t="shared" si="24"/>
        <v>1124.4</v>
      </c>
    </row>
    <row r="126" spans="1:15" ht="22.5" customHeight="1" thickBot="1">
      <c r="A126" s="1167" t="s">
        <v>140</v>
      </c>
      <c r="B126" s="1168">
        <f>ApIII!T48</f>
        <v>699</v>
      </c>
      <c r="C126" s="1169">
        <f>ApIII!U48</f>
        <v>46248.8</v>
      </c>
      <c r="D126" s="1168"/>
      <c r="E126" s="1170"/>
      <c r="F126" s="1168">
        <f>ApIX!X115</f>
        <v>24</v>
      </c>
      <c r="G126" s="1169">
        <f>ApIX!Y115</f>
        <v>1856.3</v>
      </c>
      <c r="H126" s="1168"/>
      <c r="I126" s="1170">
        <v>1920.2</v>
      </c>
      <c r="J126" s="1168">
        <f>ApXI!AB36</f>
        <v>131</v>
      </c>
      <c r="K126" s="1169">
        <f>ApXI!AC36</f>
        <v>908.8000000000001</v>
      </c>
      <c r="L126" s="1168">
        <v>9</v>
      </c>
      <c r="M126" s="1169">
        <v>421.1</v>
      </c>
      <c r="N126" s="1171">
        <f t="shared" si="24"/>
        <v>863</v>
      </c>
      <c r="O126" s="1172">
        <f t="shared" si="24"/>
        <v>51355.200000000004</v>
      </c>
    </row>
    <row r="127" spans="1:15" ht="22.5" thickBot="1">
      <c r="A127" s="322" t="s">
        <v>53</v>
      </c>
      <c r="B127" s="587">
        <f aca="true" t="shared" si="25" ref="B127:O127">SUM(B5:B126)</f>
        <v>2138</v>
      </c>
      <c r="C127" s="326">
        <f t="shared" si="25"/>
        <v>309577.9578999999</v>
      </c>
      <c r="D127" s="587">
        <f t="shared" si="25"/>
        <v>39</v>
      </c>
      <c r="E127" s="326">
        <f t="shared" si="25"/>
        <v>28978.399999999994</v>
      </c>
      <c r="F127" s="587">
        <f t="shared" si="25"/>
        <v>633</v>
      </c>
      <c r="G127" s="326">
        <f t="shared" si="25"/>
        <v>101070.89999999995</v>
      </c>
      <c r="H127" s="587">
        <f t="shared" si="25"/>
        <v>10</v>
      </c>
      <c r="I127" s="326">
        <f t="shared" si="25"/>
        <v>2029.8</v>
      </c>
      <c r="J127" s="587">
        <f t="shared" si="25"/>
        <v>473</v>
      </c>
      <c r="K127" s="326">
        <f t="shared" si="25"/>
        <v>18270.799999999996</v>
      </c>
      <c r="L127" s="587">
        <f t="shared" si="25"/>
        <v>47</v>
      </c>
      <c r="M127" s="326">
        <f t="shared" si="25"/>
        <v>4136.200000000001</v>
      </c>
      <c r="N127" s="587">
        <f t="shared" si="25"/>
        <v>3340</v>
      </c>
      <c r="O127" s="326">
        <f t="shared" si="25"/>
        <v>464064.0579000002</v>
      </c>
    </row>
    <row r="128" spans="1:15" ht="20.25" customHeight="1">
      <c r="A128" s="8" t="s">
        <v>123</v>
      </c>
      <c r="B128" s="19"/>
      <c r="C128" s="299"/>
      <c r="D128" s="20"/>
      <c r="E128" s="299"/>
      <c r="F128" s="21"/>
      <c r="G128" s="253"/>
      <c r="H128" s="22"/>
      <c r="I128" s="299"/>
      <c r="J128" s="19"/>
      <c r="K128" s="299"/>
      <c r="L128" s="22"/>
      <c r="M128" s="22"/>
      <c r="N128" s="19"/>
      <c r="O128" s="253"/>
    </row>
    <row r="129" spans="1:13" ht="20.25" customHeight="1">
      <c r="A129" s="26" t="s">
        <v>692</v>
      </c>
      <c r="B129" s="19"/>
      <c r="C129" s="299"/>
      <c r="D129" s="20"/>
      <c r="E129" s="299"/>
      <c r="F129" s="21"/>
      <c r="J129" s="19"/>
      <c r="K129" s="299"/>
      <c r="L129" s="22"/>
      <c r="M129" s="226"/>
    </row>
    <row r="130" spans="1:15" s="28" customFormat="1" ht="20.25" customHeight="1">
      <c r="A130" s="33" t="s">
        <v>125</v>
      </c>
      <c r="B130" s="27"/>
      <c r="C130" s="300"/>
      <c r="E130" s="300"/>
      <c r="F130" s="27"/>
      <c r="G130" s="305"/>
      <c r="I130" s="300"/>
      <c r="J130" s="27"/>
      <c r="K130" s="299"/>
      <c r="L130" s="29"/>
      <c r="M130" s="26"/>
      <c r="N130" s="27"/>
      <c r="O130" s="253"/>
    </row>
    <row r="131" spans="1:15" ht="20.25" customHeight="1">
      <c r="A131" s="8" t="s">
        <v>124</v>
      </c>
      <c r="N131" s="31"/>
      <c r="O131" s="253"/>
    </row>
    <row r="132" spans="1:2" ht="21.75">
      <c r="A132" s="109"/>
      <c r="B132" s="32"/>
    </row>
    <row r="133" spans="1:5" ht="21.75">
      <c r="A133" s="109"/>
      <c r="C133" s="299"/>
      <c r="D133" s="29"/>
      <c r="E133" s="299"/>
    </row>
    <row r="134" spans="1:3" ht="21.75">
      <c r="A134" s="109"/>
      <c r="C134" s="296"/>
    </row>
    <row r="135" spans="1:10" ht="21.75">
      <c r="A135" s="109"/>
      <c r="J135" s="24" t="s">
        <v>100</v>
      </c>
    </row>
    <row r="138" ht="21.75">
      <c r="R138" s="838"/>
    </row>
    <row r="152" ht="21.75">
      <c r="F152" s="301"/>
    </row>
  </sheetData>
  <sheetProtection/>
  <mergeCells count="8">
    <mergeCell ref="N2:O2"/>
    <mergeCell ref="L2:M2"/>
    <mergeCell ref="H2:I2"/>
    <mergeCell ref="A2:A3"/>
    <mergeCell ref="B2:C2"/>
    <mergeCell ref="F2:G2"/>
    <mergeCell ref="D2:E2"/>
    <mergeCell ref="J2:K2"/>
  </mergeCells>
  <printOptions horizontalCentered="1"/>
  <pageMargins left="0.0393700787401575" right="0.196850393700787" top="0.37" bottom="0.67" header="0" footer="0"/>
  <pageSetup fitToWidth="0" horizontalDpi="600" verticalDpi="600" orientation="landscape" paperSize="9" scale="91" r:id="rId1"/>
  <rowBreaks count="5" manualBreakCount="5">
    <brk id="23" max="14" man="1"/>
    <brk id="44" max="14" man="1"/>
    <brk id="66" max="14" man="1"/>
    <brk id="89" max="14" man="1"/>
    <brk id="110" max="14" man="1"/>
  </rowBreaks>
</worksheet>
</file>

<file path=xl/worksheets/sheet10.xml><?xml version="1.0" encoding="utf-8"?>
<worksheet xmlns="http://schemas.openxmlformats.org/spreadsheetml/2006/main" xmlns:r="http://schemas.openxmlformats.org/officeDocument/2006/relationships">
  <sheetPr>
    <tabColor indexed="14"/>
  </sheetPr>
  <dimension ref="A1:H264"/>
  <sheetViews>
    <sheetView zoomScalePageLayoutView="0" workbookViewId="0" topLeftCell="A1">
      <selection activeCell="F36" sqref="F36"/>
    </sheetView>
  </sheetViews>
  <sheetFormatPr defaultColWidth="9.140625" defaultRowHeight="12.75"/>
  <cols>
    <col min="1" max="1" width="13.28125" style="419" customWidth="1"/>
    <col min="2" max="2" width="3.00390625" style="419" bestFit="1" customWidth="1"/>
    <col min="3" max="3" width="43.7109375" style="428" customWidth="1"/>
    <col min="4" max="4" width="62.57421875" style="421" customWidth="1"/>
    <col min="5" max="5" width="5.8515625" style="419" customWidth="1"/>
    <col min="6" max="6" width="9.57421875" style="421" customWidth="1"/>
    <col min="7" max="7" width="9.140625" style="77" customWidth="1"/>
    <col min="8" max="8" width="11.7109375" style="77" customWidth="1"/>
    <col min="9" max="16384" width="9.140625" style="421" customWidth="1"/>
  </cols>
  <sheetData>
    <row r="1" spans="1:6" ht="24.75" customHeight="1" thickBot="1">
      <c r="A1" s="138" t="s">
        <v>480</v>
      </c>
      <c r="C1" s="418"/>
      <c r="D1" s="420"/>
      <c r="E1" s="445"/>
      <c r="F1" s="18" t="s">
        <v>0</v>
      </c>
    </row>
    <row r="2" spans="1:8" s="413" customFormat="1" ht="34.5" customHeight="1" thickBot="1">
      <c r="A2" s="434" t="s">
        <v>387</v>
      </c>
      <c r="B2" s="435"/>
      <c r="C2" s="436" t="s">
        <v>110</v>
      </c>
      <c r="D2" s="434" t="s">
        <v>112</v>
      </c>
      <c r="E2" s="434" t="s">
        <v>10</v>
      </c>
      <c r="F2" s="437" t="s">
        <v>9</v>
      </c>
      <c r="H2" s="414"/>
    </row>
    <row r="3" spans="1:8" s="143" customFormat="1" ht="41.25" customHeight="1">
      <c r="A3" s="1094" t="s">
        <v>388</v>
      </c>
      <c r="B3" s="1095">
        <v>1</v>
      </c>
      <c r="C3" s="1096" t="s">
        <v>389</v>
      </c>
      <c r="D3" s="1097" t="s">
        <v>529</v>
      </c>
      <c r="E3" s="1098">
        <v>17</v>
      </c>
      <c r="F3" s="1099">
        <v>3038.8</v>
      </c>
      <c r="H3" s="142"/>
    </row>
    <row r="4" spans="1:8" s="143" customFormat="1" ht="66" customHeight="1">
      <c r="A4" s="1100"/>
      <c r="B4" s="1101">
        <v>2</v>
      </c>
      <c r="C4" s="1102" t="s">
        <v>427</v>
      </c>
      <c r="D4" s="1103" t="s">
        <v>518</v>
      </c>
      <c r="E4" s="1104">
        <v>17</v>
      </c>
      <c r="F4" s="1105">
        <v>2751.6</v>
      </c>
      <c r="H4" s="142"/>
    </row>
    <row r="5" spans="1:8" s="143" customFormat="1" ht="42">
      <c r="A5" s="1100"/>
      <c r="B5" s="1101">
        <v>3</v>
      </c>
      <c r="C5" s="1102" t="s">
        <v>519</v>
      </c>
      <c r="D5" s="1103" t="s">
        <v>530</v>
      </c>
      <c r="E5" s="1104">
        <v>15</v>
      </c>
      <c r="F5" s="1105">
        <v>2328.1</v>
      </c>
      <c r="H5" s="142"/>
    </row>
    <row r="6" spans="1:6" ht="63">
      <c r="A6" s="1106"/>
      <c r="B6" s="1101">
        <v>4</v>
      </c>
      <c r="C6" s="1102" t="s">
        <v>196</v>
      </c>
      <c r="D6" s="1103" t="s">
        <v>520</v>
      </c>
      <c r="E6" s="1104">
        <v>19</v>
      </c>
      <c r="F6" s="1105">
        <v>2942.7</v>
      </c>
    </row>
    <row r="7" spans="1:6" ht="63">
      <c r="A7" s="1106"/>
      <c r="B7" s="1101">
        <v>5</v>
      </c>
      <c r="C7" s="1102" t="s">
        <v>521</v>
      </c>
      <c r="D7" s="1103" t="s">
        <v>522</v>
      </c>
      <c r="E7" s="1104">
        <v>20</v>
      </c>
      <c r="F7" s="1105">
        <v>2658</v>
      </c>
    </row>
    <row r="8" spans="1:6" ht="63">
      <c r="A8" s="1106"/>
      <c r="B8" s="1101">
        <v>6</v>
      </c>
      <c r="C8" s="1102" t="s">
        <v>428</v>
      </c>
      <c r="D8" s="1103" t="s">
        <v>523</v>
      </c>
      <c r="E8" s="1104">
        <v>19</v>
      </c>
      <c r="F8" s="1105">
        <v>2830</v>
      </c>
    </row>
    <row r="9" spans="1:6" ht="63">
      <c r="A9" s="1106"/>
      <c r="B9" s="1101">
        <v>7</v>
      </c>
      <c r="C9" s="1102" t="s">
        <v>524</v>
      </c>
      <c r="D9" s="1103" t="s">
        <v>700</v>
      </c>
      <c r="E9" s="1104">
        <v>20</v>
      </c>
      <c r="F9" s="1105">
        <v>3231.2</v>
      </c>
    </row>
    <row r="10" spans="1:6" ht="42">
      <c r="A10" s="1106"/>
      <c r="B10" s="1101">
        <v>8</v>
      </c>
      <c r="C10" s="1102" t="s">
        <v>397</v>
      </c>
      <c r="D10" s="1107" t="s">
        <v>525</v>
      </c>
      <c r="E10" s="1104">
        <v>16</v>
      </c>
      <c r="F10" s="1105">
        <v>2006.1</v>
      </c>
    </row>
    <row r="11" spans="1:6" ht="63">
      <c r="A11" s="1106"/>
      <c r="B11" s="1101">
        <v>9</v>
      </c>
      <c r="C11" s="1102" t="s">
        <v>390</v>
      </c>
      <c r="D11" s="1107" t="s">
        <v>526</v>
      </c>
      <c r="E11" s="1104">
        <v>18</v>
      </c>
      <c r="F11" s="1105">
        <v>2953.3</v>
      </c>
    </row>
    <row r="12" spans="1:8" s="413" customFormat="1" ht="21" customHeight="1">
      <c r="A12" s="182"/>
      <c r="B12" s="415"/>
      <c r="C12" s="182" t="s">
        <v>143</v>
      </c>
      <c r="D12" s="416"/>
      <c r="E12" s="182">
        <f>SUM(E3:E11)</f>
        <v>161</v>
      </c>
      <c r="F12" s="837">
        <f>SUM(F3:F11)</f>
        <v>24739.8</v>
      </c>
      <c r="H12" s="414"/>
    </row>
    <row r="13" spans="1:6" ht="63">
      <c r="A13" s="1108" t="s">
        <v>391</v>
      </c>
      <c r="B13" s="1101">
        <v>10</v>
      </c>
      <c r="C13" s="1102" t="s">
        <v>429</v>
      </c>
      <c r="D13" s="1103" t="s">
        <v>527</v>
      </c>
      <c r="E13" s="1104">
        <v>20</v>
      </c>
      <c r="F13" s="1105">
        <v>3501.5</v>
      </c>
    </row>
    <row r="14" spans="1:6" ht="42" customHeight="1">
      <c r="A14" s="1108"/>
      <c r="B14" s="1101">
        <v>11</v>
      </c>
      <c r="C14" s="1102" t="s">
        <v>701</v>
      </c>
      <c r="D14" s="1103" t="s">
        <v>528</v>
      </c>
      <c r="E14" s="1104">
        <v>18</v>
      </c>
      <c r="F14" s="1105">
        <v>2428.9</v>
      </c>
    </row>
    <row r="15" spans="1:6" ht="63">
      <c r="A15" s="1108"/>
      <c r="B15" s="1101">
        <v>12</v>
      </c>
      <c r="C15" s="1102" t="s">
        <v>398</v>
      </c>
      <c r="D15" s="1107" t="s">
        <v>531</v>
      </c>
      <c r="E15" s="1104">
        <v>18</v>
      </c>
      <c r="F15" s="1105">
        <v>3000.4</v>
      </c>
    </row>
    <row r="16" spans="1:6" ht="21">
      <c r="A16" s="1106"/>
      <c r="B16" s="1101">
        <v>13</v>
      </c>
      <c r="C16" s="1102" t="s">
        <v>406</v>
      </c>
      <c r="D16" s="1103" t="s">
        <v>532</v>
      </c>
      <c r="E16" s="1104">
        <v>14</v>
      </c>
      <c r="F16" s="1105">
        <v>1976.6</v>
      </c>
    </row>
    <row r="17" spans="1:8" s="413" customFormat="1" ht="21" customHeight="1">
      <c r="A17" s="182"/>
      <c r="B17" s="415"/>
      <c r="C17" s="182" t="s">
        <v>143</v>
      </c>
      <c r="D17" s="416"/>
      <c r="E17" s="182">
        <f>SUM(E13:E16)</f>
        <v>70</v>
      </c>
      <c r="F17" s="837">
        <f>SUM(F13:F16)</f>
        <v>10907.4</v>
      </c>
      <c r="H17" s="414"/>
    </row>
    <row r="18" spans="1:6" ht="63">
      <c r="A18" s="1408" t="s">
        <v>553</v>
      </c>
      <c r="B18" s="1101">
        <v>14</v>
      </c>
      <c r="C18" s="1102" t="s">
        <v>533</v>
      </c>
      <c r="D18" s="1103" t="s">
        <v>534</v>
      </c>
      <c r="E18" s="1104">
        <v>19</v>
      </c>
      <c r="F18" s="1105">
        <v>2473.4</v>
      </c>
    </row>
    <row r="19" spans="1:6" ht="63">
      <c r="A19" s="1409"/>
      <c r="B19" s="1101">
        <v>15</v>
      </c>
      <c r="C19" s="1102" t="s">
        <v>535</v>
      </c>
      <c r="D19" s="1103" t="s">
        <v>536</v>
      </c>
      <c r="E19" s="1104">
        <v>19</v>
      </c>
      <c r="F19" s="1105">
        <v>4670.4</v>
      </c>
    </row>
    <row r="20" spans="1:6" ht="42">
      <c r="A20" s="1108"/>
      <c r="B20" s="1101">
        <v>16</v>
      </c>
      <c r="C20" s="1102" t="s">
        <v>537</v>
      </c>
      <c r="D20" s="1109" t="s">
        <v>540</v>
      </c>
      <c r="E20" s="1104">
        <v>18</v>
      </c>
      <c r="F20" s="1105">
        <v>2851.5</v>
      </c>
    </row>
    <row r="21" spans="1:6" ht="63">
      <c r="A21" s="1108"/>
      <c r="B21" s="1101">
        <v>17</v>
      </c>
      <c r="C21" s="1102" t="s">
        <v>538</v>
      </c>
      <c r="D21" s="1103" t="s">
        <v>539</v>
      </c>
      <c r="E21" s="1104">
        <v>18</v>
      </c>
      <c r="F21" s="1105">
        <v>2604.3</v>
      </c>
    </row>
    <row r="22" spans="1:8" s="413" customFormat="1" ht="21" customHeight="1">
      <c r="A22" s="182"/>
      <c r="B22" s="415"/>
      <c r="C22" s="182" t="s">
        <v>143</v>
      </c>
      <c r="D22" s="416"/>
      <c r="E22" s="182">
        <f>SUM(E18:E21)</f>
        <v>74</v>
      </c>
      <c r="F22" s="182">
        <f>SUM(F18:F21)</f>
        <v>12599.599999999999</v>
      </c>
      <c r="H22" s="414"/>
    </row>
    <row r="23" spans="1:8" s="7" customFormat="1" ht="63">
      <c r="A23" s="1108" t="s">
        <v>69</v>
      </c>
      <c r="B23" s="1101">
        <v>18</v>
      </c>
      <c r="C23" s="1102" t="s">
        <v>541</v>
      </c>
      <c r="D23" s="1107" t="s">
        <v>542</v>
      </c>
      <c r="E23" s="1110">
        <v>17</v>
      </c>
      <c r="F23" s="1105">
        <v>3082.1</v>
      </c>
      <c r="H23" s="77"/>
    </row>
    <row r="24" spans="1:8" s="7" customFormat="1" ht="63">
      <c r="A24" s="1108"/>
      <c r="B24" s="1101">
        <v>19</v>
      </c>
      <c r="C24" s="1102" t="s">
        <v>543</v>
      </c>
      <c r="D24" s="1107" t="s">
        <v>544</v>
      </c>
      <c r="E24" s="1111">
        <v>20</v>
      </c>
      <c r="F24" s="1105">
        <v>2517.5</v>
      </c>
      <c r="H24" s="77"/>
    </row>
    <row r="25" spans="1:8" s="7" customFormat="1" ht="63">
      <c r="A25" s="1108"/>
      <c r="B25" s="1101">
        <v>20</v>
      </c>
      <c r="C25" s="1102" t="s">
        <v>705</v>
      </c>
      <c r="D25" s="1107" t="s">
        <v>545</v>
      </c>
      <c r="E25" s="1110">
        <v>18</v>
      </c>
      <c r="F25" s="1105">
        <v>3316.1</v>
      </c>
      <c r="H25" s="77"/>
    </row>
    <row r="26" spans="1:8" s="7" customFormat="1" ht="44.25" customHeight="1">
      <c r="A26" s="1108"/>
      <c r="B26" s="1101">
        <v>21</v>
      </c>
      <c r="C26" s="1102" t="s">
        <v>392</v>
      </c>
      <c r="D26" s="1107" t="s">
        <v>546</v>
      </c>
      <c r="E26" s="1110">
        <v>19</v>
      </c>
      <c r="F26" s="1105">
        <v>2420.2</v>
      </c>
      <c r="H26" s="77"/>
    </row>
    <row r="27" spans="1:8" s="7" customFormat="1" ht="44.25" customHeight="1">
      <c r="A27" s="1108"/>
      <c r="B27" s="1101">
        <v>22</v>
      </c>
      <c r="C27" s="1102" t="s">
        <v>547</v>
      </c>
      <c r="D27" s="1107" t="s">
        <v>548</v>
      </c>
      <c r="E27" s="1110">
        <v>18</v>
      </c>
      <c r="F27" s="1105">
        <v>3455.7</v>
      </c>
      <c r="H27" s="77"/>
    </row>
    <row r="28" spans="1:8" s="7" customFormat="1" ht="42" customHeight="1">
      <c r="A28" s="1108"/>
      <c r="B28" s="1101">
        <v>23</v>
      </c>
      <c r="C28" s="1102" t="s">
        <v>549</v>
      </c>
      <c r="D28" s="1107" t="s">
        <v>550</v>
      </c>
      <c r="E28" s="1110">
        <v>17</v>
      </c>
      <c r="F28" s="1105">
        <v>3269.9</v>
      </c>
      <c r="H28" s="77"/>
    </row>
    <row r="29" spans="1:8" s="7" customFormat="1" ht="60.75" customHeight="1">
      <c r="A29" s="1108"/>
      <c r="B29" s="1101">
        <v>24</v>
      </c>
      <c r="C29" s="1102" t="s">
        <v>551</v>
      </c>
      <c r="D29" s="1107" t="s">
        <v>703</v>
      </c>
      <c r="E29" s="1110">
        <v>26</v>
      </c>
      <c r="F29" s="1105">
        <v>2895.7</v>
      </c>
      <c r="H29" s="77"/>
    </row>
    <row r="30" spans="1:8" s="7" customFormat="1" ht="41.25" customHeight="1">
      <c r="A30" s="1108"/>
      <c r="B30" s="1101">
        <v>25</v>
      </c>
      <c r="C30" s="1102" t="s">
        <v>393</v>
      </c>
      <c r="D30" s="1107" t="s">
        <v>702</v>
      </c>
      <c r="E30" s="1110">
        <v>18</v>
      </c>
      <c r="F30" s="1105">
        <v>3215.4</v>
      </c>
      <c r="H30" s="77"/>
    </row>
    <row r="31" spans="1:8" s="7" customFormat="1" ht="42">
      <c r="A31" s="1108"/>
      <c r="B31" s="1101">
        <v>26</v>
      </c>
      <c r="C31" s="1102" t="s">
        <v>221</v>
      </c>
      <c r="D31" s="1107" t="s">
        <v>552</v>
      </c>
      <c r="E31" s="1110">
        <v>18</v>
      </c>
      <c r="F31" s="1105">
        <v>3253.7</v>
      </c>
      <c r="H31" s="77"/>
    </row>
    <row r="32" spans="1:8" s="7" customFormat="1" ht="21">
      <c r="A32" s="184"/>
      <c r="B32" s="442"/>
      <c r="C32" s="183" t="s">
        <v>143</v>
      </c>
      <c r="D32" s="184"/>
      <c r="E32" s="446">
        <f>SUM(E23:E31)</f>
        <v>171</v>
      </c>
      <c r="F32" s="195">
        <f>SUM(F23:F31)</f>
        <v>27426.300000000007</v>
      </c>
      <c r="H32" s="77"/>
    </row>
    <row r="33" spans="1:8" s="120" customFormat="1" ht="63">
      <c r="A33" s="1108" t="s">
        <v>394</v>
      </c>
      <c r="B33" s="1101">
        <v>27</v>
      </c>
      <c r="C33" s="1102" t="s">
        <v>395</v>
      </c>
      <c r="D33" s="1107" t="s">
        <v>554</v>
      </c>
      <c r="E33" s="1110">
        <v>18</v>
      </c>
      <c r="F33" s="1105">
        <v>2718.5</v>
      </c>
      <c r="H33" s="144"/>
    </row>
    <row r="34" spans="1:8" s="120" customFormat="1" ht="42">
      <c r="A34" s="1108"/>
      <c r="B34" s="1101">
        <v>28</v>
      </c>
      <c r="C34" s="1102" t="s">
        <v>555</v>
      </c>
      <c r="D34" s="1107" t="s">
        <v>556</v>
      </c>
      <c r="E34" s="1110">
        <v>15</v>
      </c>
      <c r="F34" s="1105">
        <v>2083.6</v>
      </c>
      <c r="H34" s="144"/>
    </row>
    <row r="35" spans="1:8" s="120" customFormat="1" ht="63">
      <c r="A35" s="1108"/>
      <c r="B35" s="1101">
        <v>29</v>
      </c>
      <c r="C35" s="1112" t="s">
        <v>557</v>
      </c>
      <c r="D35" s="1107" t="s">
        <v>704</v>
      </c>
      <c r="E35" s="1110">
        <v>18</v>
      </c>
      <c r="F35" s="1105">
        <v>2939.3</v>
      </c>
      <c r="H35" s="144"/>
    </row>
    <row r="36" spans="1:8" s="120" customFormat="1" ht="45" customHeight="1">
      <c r="A36" s="1108"/>
      <c r="B36" s="1101">
        <v>30</v>
      </c>
      <c r="C36" s="1102" t="s">
        <v>430</v>
      </c>
      <c r="D36" s="1107" t="s">
        <v>558</v>
      </c>
      <c r="E36" s="1110">
        <v>18</v>
      </c>
      <c r="F36" s="1105">
        <v>1351.7</v>
      </c>
      <c r="H36" s="144"/>
    </row>
    <row r="37" spans="1:8" s="120" customFormat="1" ht="42">
      <c r="A37" s="1108"/>
      <c r="B37" s="1101">
        <v>31</v>
      </c>
      <c r="C37" s="1102" t="s">
        <v>396</v>
      </c>
      <c r="D37" s="1107" t="s">
        <v>559</v>
      </c>
      <c r="E37" s="1110">
        <v>16</v>
      </c>
      <c r="F37" s="1105">
        <v>2883.5</v>
      </c>
      <c r="H37" s="144"/>
    </row>
    <row r="38" spans="1:8" s="120" customFormat="1" ht="63">
      <c r="A38" s="1108"/>
      <c r="B38" s="1101">
        <v>32</v>
      </c>
      <c r="C38" s="1102" t="s">
        <v>431</v>
      </c>
      <c r="D38" s="1107" t="s">
        <v>560</v>
      </c>
      <c r="E38" s="1110">
        <v>18</v>
      </c>
      <c r="F38" s="1105">
        <v>3642.6</v>
      </c>
      <c r="H38" s="144"/>
    </row>
    <row r="39" spans="1:8" s="120" customFormat="1" ht="42">
      <c r="A39" s="1108"/>
      <c r="B39" s="1101">
        <v>33</v>
      </c>
      <c r="C39" s="1102" t="s">
        <v>561</v>
      </c>
      <c r="D39" s="1107" t="s">
        <v>562</v>
      </c>
      <c r="E39" s="1110">
        <v>20</v>
      </c>
      <c r="F39" s="1105">
        <v>1904</v>
      </c>
      <c r="H39" s="144"/>
    </row>
    <row r="40" spans="1:8" s="120" customFormat="1" ht="63">
      <c r="A40" s="1108"/>
      <c r="B40" s="1101">
        <v>34</v>
      </c>
      <c r="C40" s="1113" t="s">
        <v>563</v>
      </c>
      <c r="D40" s="1107" t="s">
        <v>564</v>
      </c>
      <c r="E40" s="1110">
        <v>18</v>
      </c>
      <c r="F40" s="1105">
        <v>2811.7</v>
      </c>
      <c r="H40" s="144"/>
    </row>
    <row r="41" spans="1:8" s="120" customFormat="1" ht="42">
      <c r="A41" s="1108"/>
      <c r="B41" s="1101">
        <v>35</v>
      </c>
      <c r="C41" s="1113" t="s">
        <v>640</v>
      </c>
      <c r="D41" s="1107" t="s">
        <v>641</v>
      </c>
      <c r="E41" s="1110">
        <v>16</v>
      </c>
      <c r="F41" s="1105">
        <v>5062.9</v>
      </c>
      <c r="H41" s="144"/>
    </row>
    <row r="42" spans="1:8" s="120" customFormat="1" ht="21">
      <c r="A42" s="1114"/>
      <c r="B42" s="1115"/>
      <c r="C42" s="182" t="s">
        <v>143</v>
      </c>
      <c r="D42" s="1116"/>
      <c r="E42" s="182">
        <f>SUM(E33:E41)</f>
        <v>157</v>
      </c>
      <c r="F42" s="1117">
        <f>SUM(F33:F41)</f>
        <v>25397.800000000003</v>
      </c>
      <c r="H42" s="144"/>
    </row>
    <row r="43" spans="1:8" s="417" customFormat="1" ht="19.5" customHeight="1" thickBot="1">
      <c r="A43" s="1118"/>
      <c r="B43" s="1119"/>
      <c r="C43" s="1120" t="s">
        <v>53</v>
      </c>
      <c r="D43" s="1121"/>
      <c r="E43" s="1122">
        <f>SUM(E3:E42)/2</f>
        <v>633</v>
      </c>
      <c r="F43" s="1123">
        <f>SUM(F3:F42)/2</f>
        <v>101070.9</v>
      </c>
      <c r="H43" s="443"/>
    </row>
    <row r="44" spans="1:8" s="175" customFormat="1" ht="18.75" customHeight="1">
      <c r="A44" s="120"/>
      <c r="B44" s="422"/>
      <c r="C44" s="147"/>
      <c r="D44" s="118"/>
      <c r="E44" s="119"/>
      <c r="F44" s="423"/>
      <c r="H44" s="444"/>
    </row>
    <row r="45" spans="1:8" s="101" customFormat="1" ht="19.5" customHeight="1">
      <c r="A45" s="59"/>
      <c r="B45" s="424"/>
      <c r="C45" s="147"/>
      <c r="D45" s="118"/>
      <c r="E45" s="119"/>
      <c r="F45" s="425"/>
      <c r="H45" s="77"/>
    </row>
    <row r="46" spans="1:8" s="101" customFormat="1" ht="19.5" customHeight="1">
      <c r="A46" s="94"/>
      <c r="B46" s="426"/>
      <c r="C46" s="146"/>
      <c r="D46" s="169"/>
      <c r="E46" s="170"/>
      <c r="F46" s="427"/>
      <c r="H46" s="77"/>
    </row>
    <row r="47" spans="1:8" s="7" customFormat="1" ht="18.75" customHeight="1">
      <c r="A47" s="94"/>
      <c r="B47" s="426"/>
      <c r="C47" s="146"/>
      <c r="D47" s="118"/>
      <c r="E47" s="119"/>
      <c r="F47" s="425"/>
      <c r="H47" s="77"/>
    </row>
    <row r="48" spans="1:8" s="7" customFormat="1" ht="18.75" customHeight="1">
      <c r="A48" s="94"/>
      <c r="B48" s="426"/>
      <c r="C48" s="146"/>
      <c r="D48" s="169"/>
      <c r="E48" s="170"/>
      <c r="F48" s="427"/>
      <c r="H48" s="77"/>
    </row>
    <row r="49" spans="1:8" s="7" customFormat="1" ht="18.75" customHeight="1">
      <c r="A49" s="94"/>
      <c r="B49" s="426"/>
      <c r="C49" s="146"/>
      <c r="D49" s="118"/>
      <c r="E49" s="170"/>
      <c r="F49" s="425"/>
      <c r="H49" s="77"/>
    </row>
    <row r="50" spans="1:8" s="7" customFormat="1" ht="18.75" customHeight="1">
      <c r="A50" s="94"/>
      <c r="B50" s="426"/>
      <c r="C50" s="146"/>
      <c r="D50" s="118"/>
      <c r="E50" s="119"/>
      <c r="F50" s="425"/>
      <c r="H50" s="77"/>
    </row>
    <row r="51" spans="1:8" s="7" customFormat="1" ht="18.75" customHeight="1">
      <c r="A51" s="94"/>
      <c r="B51" s="426"/>
      <c r="C51" s="146"/>
      <c r="D51" s="118"/>
      <c r="E51" s="119"/>
      <c r="F51" s="425"/>
      <c r="H51" s="77"/>
    </row>
    <row r="52" spans="1:8" s="7" customFormat="1" ht="18.75" customHeight="1">
      <c r="A52" s="94"/>
      <c r="B52" s="426"/>
      <c r="C52" s="145"/>
      <c r="D52" s="118"/>
      <c r="E52" s="119"/>
      <c r="F52" s="425"/>
      <c r="H52" s="77"/>
    </row>
    <row r="53" spans="1:8" s="101" customFormat="1" ht="19.5" customHeight="1">
      <c r="A53" s="94"/>
      <c r="B53" s="426"/>
      <c r="C53" s="145"/>
      <c r="D53" s="118"/>
      <c r="E53" s="119"/>
      <c r="F53" s="425"/>
      <c r="H53" s="77"/>
    </row>
    <row r="54" spans="1:8" s="101" customFormat="1" ht="19.5" customHeight="1">
      <c r="A54" s="419"/>
      <c r="B54" s="419"/>
      <c r="C54" s="428"/>
      <c r="D54" s="421"/>
      <c r="E54" s="419"/>
      <c r="F54" s="421"/>
      <c r="H54" s="77"/>
    </row>
    <row r="56" spans="1:6" ht="18.75">
      <c r="A56" s="121"/>
      <c r="B56" s="121"/>
      <c r="C56" s="120"/>
      <c r="D56" s="120"/>
      <c r="E56" s="121"/>
      <c r="F56" s="429"/>
    </row>
    <row r="57" spans="1:8" s="120" customFormat="1" ht="21.75" customHeight="1">
      <c r="A57" s="121"/>
      <c r="B57" s="121"/>
      <c r="C57" s="430"/>
      <c r="E57" s="121"/>
      <c r="F57" s="85"/>
      <c r="H57" s="144"/>
    </row>
    <row r="58" spans="1:8" s="101" customFormat="1" ht="18" customHeight="1">
      <c r="A58" s="77"/>
      <c r="B58" s="77"/>
      <c r="C58" s="431"/>
      <c r="D58" s="77"/>
      <c r="E58" s="447"/>
      <c r="F58" s="77"/>
      <c r="H58" s="77"/>
    </row>
    <row r="59" spans="3:5" s="77" customFormat="1" ht="19.5" customHeight="1">
      <c r="C59" s="431"/>
      <c r="E59" s="447"/>
    </row>
    <row r="60" spans="3:5" s="77" customFormat="1" ht="15">
      <c r="C60" s="431"/>
      <c r="E60" s="447"/>
    </row>
    <row r="61" spans="3:5" s="77" customFormat="1" ht="15">
      <c r="C61" s="431"/>
      <c r="E61" s="447"/>
    </row>
    <row r="62" spans="3:5" s="77" customFormat="1" ht="15">
      <c r="C62" s="431"/>
      <c r="E62" s="447"/>
    </row>
    <row r="63" spans="3:5" s="77" customFormat="1" ht="15">
      <c r="C63" s="431"/>
      <c r="E63" s="447"/>
    </row>
    <row r="64" spans="3:5" s="77" customFormat="1" ht="15">
      <c r="C64" s="431"/>
      <c r="E64" s="447"/>
    </row>
    <row r="65" spans="3:5" s="77" customFormat="1" ht="15">
      <c r="C65" s="431"/>
      <c r="E65" s="447"/>
    </row>
    <row r="66" spans="3:5" s="77" customFormat="1" ht="15">
      <c r="C66" s="431"/>
      <c r="E66" s="447"/>
    </row>
    <row r="67" spans="3:5" s="77" customFormat="1" ht="15">
      <c r="C67" s="431"/>
      <c r="E67" s="447"/>
    </row>
    <row r="68" spans="3:5" s="77" customFormat="1" ht="15">
      <c r="C68" s="431"/>
      <c r="E68" s="447"/>
    </row>
    <row r="69" spans="3:5" s="77" customFormat="1" ht="15">
      <c r="C69" s="431"/>
      <c r="E69" s="447"/>
    </row>
    <row r="70" spans="3:5" s="77" customFormat="1" ht="15">
      <c r="C70" s="431"/>
      <c r="E70" s="447"/>
    </row>
    <row r="71" spans="3:5" s="77" customFormat="1" ht="15">
      <c r="C71" s="431"/>
      <c r="E71" s="447"/>
    </row>
    <row r="72" spans="3:5" s="77" customFormat="1" ht="15">
      <c r="C72" s="431"/>
      <c r="E72" s="447"/>
    </row>
    <row r="73" spans="3:5" s="77" customFormat="1" ht="15">
      <c r="C73" s="431"/>
      <c r="E73" s="447"/>
    </row>
    <row r="74" spans="3:5" s="77" customFormat="1" ht="15">
      <c r="C74" s="431"/>
      <c r="E74" s="447"/>
    </row>
    <row r="75" spans="3:5" s="77" customFormat="1" ht="15">
      <c r="C75" s="431"/>
      <c r="E75" s="447"/>
    </row>
    <row r="76" spans="3:5" s="77" customFormat="1" ht="15">
      <c r="C76" s="431"/>
      <c r="E76" s="447"/>
    </row>
    <row r="77" spans="3:5" s="77" customFormat="1" ht="15">
      <c r="C77" s="431"/>
      <c r="E77" s="447"/>
    </row>
    <row r="78" spans="3:5" s="77" customFormat="1" ht="15">
      <c r="C78" s="431"/>
      <c r="E78" s="447"/>
    </row>
    <row r="79" spans="3:5" s="77" customFormat="1" ht="15">
      <c r="C79" s="431"/>
      <c r="E79" s="447"/>
    </row>
    <row r="80" spans="3:5" s="77" customFormat="1" ht="15">
      <c r="C80" s="431"/>
      <c r="E80" s="447"/>
    </row>
    <row r="81" spans="3:5" s="77" customFormat="1" ht="15">
      <c r="C81" s="431"/>
      <c r="E81" s="447"/>
    </row>
    <row r="82" spans="3:5" s="77" customFormat="1" ht="15">
      <c r="C82" s="431"/>
      <c r="E82" s="447"/>
    </row>
    <row r="83" spans="3:5" s="77" customFormat="1" ht="15">
      <c r="C83" s="431"/>
      <c r="E83" s="447"/>
    </row>
    <row r="84" spans="3:5" s="77" customFormat="1" ht="15">
      <c r="C84" s="431"/>
      <c r="E84" s="447"/>
    </row>
    <row r="85" spans="3:5" s="77" customFormat="1" ht="15">
      <c r="C85" s="431"/>
      <c r="E85" s="447"/>
    </row>
    <row r="86" spans="3:5" s="77" customFormat="1" ht="15">
      <c r="C86" s="431"/>
      <c r="E86" s="447"/>
    </row>
    <row r="87" spans="3:5" s="77" customFormat="1" ht="15">
      <c r="C87" s="431"/>
      <c r="E87" s="447"/>
    </row>
    <row r="88" spans="3:5" s="77" customFormat="1" ht="15">
      <c r="C88" s="431"/>
      <c r="E88" s="447"/>
    </row>
    <row r="89" spans="3:5" s="77" customFormat="1" ht="15">
      <c r="C89" s="431"/>
      <c r="E89" s="447"/>
    </row>
    <row r="90" spans="3:5" s="77" customFormat="1" ht="15">
      <c r="C90" s="431"/>
      <c r="E90" s="447"/>
    </row>
    <row r="91" spans="3:5" s="77" customFormat="1" ht="15">
      <c r="C91" s="431"/>
      <c r="E91" s="447"/>
    </row>
    <row r="92" spans="3:5" s="77" customFormat="1" ht="15">
      <c r="C92" s="431"/>
      <c r="E92" s="447"/>
    </row>
    <row r="93" spans="3:5" s="77" customFormat="1" ht="15">
      <c r="C93" s="431"/>
      <c r="E93" s="447"/>
    </row>
    <row r="94" spans="3:5" s="77" customFormat="1" ht="15">
      <c r="C94" s="431"/>
      <c r="E94" s="447"/>
    </row>
    <row r="95" spans="3:5" s="77" customFormat="1" ht="15">
      <c r="C95" s="431"/>
      <c r="E95" s="447"/>
    </row>
    <row r="96" spans="3:5" s="77" customFormat="1" ht="15">
      <c r="C96" s="431"/>
      <c r="E96" s="447"/>
    </row>
    <row r="97" spans="3:5" s="77" customFormat="1" ht="15">
      <c r="C97" s="431"/>
      <c r="E97" s="447"/>
    </row>
    <row r="98" spans="3:5" s="77" customFormat="1" ht="15">
      <c r="C98" s="431"/>
      <c r="E98" s="447"/>
    </row>
    <row r="99" spans="3:5" s="77" customFormat="1" ht="15">
      <c r="C99" s="431"/>
      <c r="E99" s="447"/>
    </row>
    <row r="100" spans="3:5" s="77" customFormat="1" ht="15">
      <c r="C100" s="431"/>
      <c r="E100" s="447"/>
    </row>
    <row r="101" spans="3:5" s="77" customFormat="1" ht="15">
      <c r="C101" s="431"/>
      <c r="E101" s="447"/>
    </row>
    <row r="102" spans="3:5" s="77" customFormat="1" ht="18.75" customHeight="1">
      <c r="C102" s="431"/>
      <c r="E102" s="447"/>
    </row>
    <row r="103" spans="3:5" s="77" customFormat="1" ht="18" customHeight="1">
      <c r="C103" s="431"/>
      <c r="E103" s="447"/>
    </row>
    <row r="104" spans="3:5" s="77" customFormat="1" ht="18" customHeight="1">
      <c r="C104" s="431"/>
      <c r="E104" s="447"/>
    </row>
    <row r="105" spans="3:5" s="77" customFormat="1" ht="18.75" customHeight="1">
      <c r="C105" s="431"/>
      <c r="E105" s="447"/>
    </row>
    <row r="106" spans="3:5" s="77" customFormat="1" ht="18.75" customHeight="1">
      <c r="C106" s="431"/>
      <c r="E106" s="447"/>
    </row>
    <row r="107" spans="3:5" s="77" customFormat="1" ht="17.25" customHeight="1">
      <c r="C107" s="431"/>
      <c r="E107" s="447"/>
    </row>
    <row r="108" spans="3:5" s="77" customFormat="1" ht="19.5" customHeight="1">
      <c r="C108" s="431"/>
      <c r="E108" s="447"/>
    </row>
    <row r="109" spans="3:5" s="77" customFormat="1" ht="19.5" customHeight="1">
      <c r="C109" s="431"/>
      <c r="E109" s="447"/>
    </row>
    <row r="110" spans="3:5" s="77" customFormat="1" ht="15">
      <c r="C110" s="431"/>
      <c r="E110" s="447"/>
    </row>
    <row r="111" spans="3:5" s="77" customFormat="1" ht="18.75" customHeight="1">
      <c r="C111" s="431"/>
      <c r="E111" s="447"/>
    </row>
    <row r="112" spans="3:5" s="77" customFormat="1" ht="18.75" customHeight="1">
      <c r="C112" s="431"/>
      <c r="E112" s="447"/>
    </row>
    <row r="113" spans="3:5" s="77" customFormat="1" ht="18.75" customHeight="1">
      <c r="C113" s="431"/>
      <c r="E113" s="447"/>
    </row>
    <row r="114" spans="3:5" s="77" customFormat="1" ht="18.75" customHeight="1">
      <c r="C114" s="431"/>
      <c r="E114" s="447"/>
    </row>
    <row r="115" spans="3:5" s="77" customFormat="1" ht="19.5" customHeight="1">
      <c r="C115" s="431"/>
      <c r="E115" s="447"/>
    </row>
    <row r="116" spans="3:5" s="77" customFormat="1" ht="15">
      <c r="C116" s="431"/>
      <c r="E116" s="447"/>
    </row>
    <row r="117" spans="3:5" s="77" customFormat="1" ht="15">
      <c r="C117" s="431"/>
      <c r="E117" s="447"/>
    </row>
    <row r="118" spans="3:5" s="77" customFormat="1" ht="15">
      <c r="C118" s="431"/>
      <c r="E118" s="447"/>
    </row>
    <row r="119" spans="3:5" s="77" customFormat="1" ht="15">
      <c r="C119" s="431"/>
      <c r="E119" s="447"/>
    </row>
    <row r="120" spans="3:5" s="77" customFormat="1" ht="15">
      <c r="C120" s="431"/>
      <c r="E120" s="447"/>
    </row>
    <row r="121" spans="3:5" s="77" customFormat="1" ht="15">
      <c r="C121" s="431"/>
      <c r="E121" s="447"/>
    </row>
    <row r="122" spans="3:5" s="77" customFormat="1" ht="15">
      <c r="C122" s="431"/>
      <c r="E122" s="447"/>
    </row>
    <row r="123" spans="3:5" s="77" customFormat="1" ht="15">
      <c r="C123" s="431"/>
      <c r="E123" s="447"/>
    </row>
    <row r="124" spans="3:5" s="77" customFormat="1" ht="15">
      <c r="C124" s="431"/>
      <c r="E124" s="447"/>
    </row>
    <row r="125" spans="3:5" s="77" customFormat="1" ht="15">
      <c r="C125" s="431"/>
      <c r="E125" s="447"/>
    </row>
    <row r="126" spans="3:5" s="77" customFormat="1" ht="15">
      <c r="C126" s="431"/>
      <c r="E126" s="447"/>
    </row>
    <row r="127" spans="3:5" s="77" customFormat="1" ht="15">
      <c r="C127" s="431"/>
      <c r="E127" s="447"/>
    </row>
    <row r="128" spans="3:5" s="77" customFormat="1" ht="15">
      <c r="C128" s="431"/>
      <c r="E128" s="447"/>
    </row>
    <row r="129" spans="3:5" s="77" customFormat="1" ht="15">
      <c r="C129" s="431"/>
      <c r="E129" s="447"/>
    </row>
    <row r="130" spans="3:5" s="77" customFormat="1" ht="15">
      <c r="C130" s="431"/>
      <c r="E130" s="447"/>
    </row>
    <row r="131" spans="3:5" s="77" customFormat="1" ht="15">
      <c r="C131" s="431"/>
      <c r="E131" s="447"/>
    </row>
    <row r="132" spans="1:6" s="77" customFormat="1" ht="18.75">
      <c r="A132" s="432"/>
      <c r="B132" s="432"/>
      <c r="C132" s="433"/>
      <c r="D132" s="7"/>
      <c r="E132" s="432"/>
      <c r="F132" s="7"/>
    </row>
    <row r="133" spans="1:8" s="7" customFormat="1" ht="18.75">
      <c r="A133" s="432"/>
      <c r="B133" s="432"/>
      <c r="C133" s="433"/>
      <c r="E133" s="432"/>
      <c r="H133" s="77"/>
    </row>
    <row r="134" spans="1:8" s="7" customFormat="1" ht="18.75">
      <c r="A134" s="432"/>
      <c r="B134" s="432"/>
      <c r="C134" s="433"/>
      <c r="E134" s="432"/>
      <c r="H134" s="77"/>
    </row>
    <row r="135" spans="1:8" s="7" customFormat="1" ht="18.75">
      <c r="A135" s="432"/>
      <c r="B135" s="432"/>
      <c r="C135" s="433"/>
      <c r="E135" s="432"/>
      <c r="H135" s="77"/>
    </row>
    <row r="136" spans="1:8" s="7" customFormat="1" ht="18.75">
      <c r="A136" s="432"/>
      <c r="B136" s="432"/>
      <c r="C136" s="433"/>
      <c r="E136" s="432"/>
      <c r="H136" s="77"/>
    </row>
    <row r="137" spans="1:8" s="7" customFormat="1" ht="18.75">
      <c r="A137" s="432"/>
      <c r="B137" s="432"/>
      <c r="C137" s="433"/>
      <c r="E137" s="432"/>
      <c r="H137" s="77"/>
    </row>
    <row r="138" spans="1:8" s="7" customFormat="1" ht="18.75">
      <c r="A138" s="432"/>
      <c r="B138" s="432"/>
      <c r="C138" s="433"/>
      <c r="E138" s="432"/>
      <c r="H138" s="77"/>
    </row>
    <row r="139" spans="1:8" s="7" customFormat="1" ht="18.75">
      <c r="A139" s="432"/>
      <c r="B139" s="432"/>
      <c r="C139" s="433"/>
      <c r="E139" s="432"/>
      <c r="H139" s="77"/>
    </row>
    <row r="140" spans="1:8" s="7" customFormat="1" ht="18.75">
      <c r="A140" s="432"/>
      <c r="B140" s="432"/>
      <c r="C140" s="433"/>
      <c r="E140" s="432"/>
      <c r="H140" s="77"/>
    </row>
    <row r="141" spans="1:8" s="7" customFormat="1" ht="18.75">
      <c r="A141" s="432"/>
      <c r="B141" s="432"/>
      <c r="C141" s="433"/>
      <c r="E141" s="432"/>
      <c r="H141" s="77"/>
    </row>
    <row r="142" spans="1:8" s="7" customFormat="1" ht="18.75">
      <c r="A142" s="432"/>
      <c r="B142" s="432"/>
      <c r="C142" s="433"/>
      <c r="E142" s="432"/>
      <c r="H142" s="77"/>
    </row>
    <row r="143" spans="1:8" s="7" customFormat="1" ht="18.75">
      <c r="A143" s="432"/>
      <c r="B143" s="432"/>
      <c r="C143" s="433"/>
      <c r="E143" s="432"/>
      <c r="H143" s="77"/>
    </row>
    <row r="144" spans="1:8" s="7" customFormat="1" ht="18.75">
      <c r="A144" s="432"/>
      <c r="B144" s="432"/>
      <c r="C144" s="433"/>
      <c r="E144" s="432"/>
      <c r="H144" s="77"/>
    </row>
    <row r="145" spans="1:8" s="7" customFormat="1" ht="18.75">
      <c r="A145" s="432"/>
      <c r="B145" s="432"/>
      <c r="C145" s="433"/>
      <c r="E145" s="432"/>
      <c r="H145" s="77"/>
    </row>
    <row r="146" spans="1:8" s="7" customFormat="1" ht="18.75">
      <c r="A146" s="432"/>
      <c r="B146" s="432"/>
      <c r="C146" s="433"/>
      <c r="E146" s="432"/>
      <c r="H146" s="77"/>
    </row>
    <row r="147" spans="1:8" s="7" customFormat="1" ht="18.75">
      <c r="A147" s="432"/>
      <c r="B147" s="432"/>
      <c r="C147" s="433"/>
      <c r="E147" s="432"/>
      <c r="H147" s="77"/>
    </row>
    <row r="148" spans="1:8" s="7" customFormat="1" ht="18.75">
      <c r="A148" s="432"/>
      <c r="B148" s="432"/>
      <c r="C148" s="433"/>
      <c r="E148" s="432"/>
      <c r="H148" s="77"/>
    </row>
    <row r="149" spans="1:8" s="7" customFormat="1" ht="18.75">
      <c r="A149" s="432"/>
      <c r="B149" s="432"/>
      <c r="C149" s="433"/>
      <c r="E149" s="432"/>
      <c r="H149" s="77"/>
    </row>
    <row r="150" spans="1:8" s="7" customFormat="1" ht="18.75">
      <c r="A150" s="432"/>
      <c r="B150" s="432"/>
      <c r="C150" s="433"/>
      <c r="E150" s="432"/>
      <c r="H150" s="77"/>
    </row>
    <row r="151" spans="1:8" s="7" customFormat="1" ht="18.75">
      <c r="A151" s="432"/>
      <c r="B151" s="432"/>
      <c r="C151" s="433"/>
      <c r="E151" s="432"/>
      <c r="H151" s="77"/>
    </row>
    <row r="152" spans="1:8" s="7" customFormat="1" ht="18.75">
      <c r="A152" s="432"/>
      <c r="B152" s="432"/>
      <c r="C152" s="433"/>
      <c r="E152" s="432"/>
      <c r="H152" s="77"/>
    </row>
    <row r="153" spans="1:8" s="7" customFormat="1" ht="18.75">
      <c r="A153" s="432"/>
      <c r="B153" s="432"/>
      <c r="C153" s="433"/>
      <c r="E153" s="432"/>
      <c r="H153" s="77"/>
    </row>
    <row r="154" spans="1:8" s="7" customFormat="1" ht="18.75">
      <c r="A154" s="432"/>
      <c r="B154" s="432"/>
      <c r="C154" s="433"/>
      <c r="E154" s="432"/>
      <c r="H154" s="77"/>
    </row>
    <row r="155" spans="1:8" s="7" customFormat="1" ht="18.75">
      <c r="A155" s="432"/>
      <c r="B155" s="432"/>
      <c r="C155" s="433"/>
      <c r="E155" s="432"/>
      <c r="H155" s="77"/>
    </row>
    <row r="156" spans="1:8" s="7" customFormat="1" ht="18.75">
      <c r="A156" s="432"/>
      <c r="B156" s="432"/>
      <c r="C156" s="433"/>
      <c r="E156" s="432"/>
      <c r="H156" s="77"/>
    </row>
    <row r="157" spans="1:8" s="7" customFormat="1" ht="18.75">
      <c r="A157" s="432"/>
      <c r="B157" s="432"/>
      <c r="C157" s="433"/>
      <c r="E157" s="432"/>
      <c r="H157" s="77"/>
    </row>
    <row r="158" spans="1:8" s="7" customFormat="1" ht="18.75">
      <c r="A158" s="432"/>
      <c r="B158" s="432"/>
      <c r="C158" s="433"/>
      <c r="E158" s="432"/>
      <c r="H158" s="77"/>
    </row>
    <row r="159" spans="1:8" s="7" customFormat="1" ht="18.75">
      <c r="A159" s="432"/>
      <c r="B159" s="432"/>
      <c r="C159" s="433"/>
      <c r="E159" s="432"/>
      <c r="H159" s="77"/>
    </row>
    <row r="160" spans="1:8" s="7" customFormat="1" ht="18.75">
      <c r="A160" s="432"/>
      <c r="B160" s="432"/>
      <c r="C160" s="433"/>
      <c r="E160" s="432"/>
      <c r="H160" s="77"/>
    </row>
    <row r="161" spans="1:8" s="7" customFormat="1" ht="18.75">
      <c r="A161" s="432"/>
      <c r="B161" s="432"/>
      <c r="C161" s="433"/>
      <c r="E161" s="432"/>
      <c r="H161" s="77"/>
    </row>
    <row r="162" spans="1:8" s="7" customFormat="1" ht="18.75">
      <c r="A162" s="432"/>
      <c r="B162" s="432"/>
      <c r="C162" s="433"/>
      <c r="E162" s="432"/>
      <c r="H162" s="77"/>
    </row>
    <row r="163" spans="1:8" s="7" customFormat="1" ht="18.75">
      <c r="A163" s="432"/>
      <c r="B163" s="432"/>
      <c r="C163" s="433"/>
      <c r="E163" s="432"/>
      <c r="H163" s="77"/>
    </row>
    <row r="164" spans="1:8" s="7" customFormat="1" ht="18.75">
      <c r="A164" s="432"/>
      <c r="B164" s="432"/>
      <c r="C164" s="433"/>
      <c r="E164" s="432"/>
      <c r="H164" s="77"/>
    </row>
    <row r="165" spans="1:8" s="7" customFormat="1" ht="18.75">
      <c r="A165" s="432"/>
      <c r="B165" s="432"/>
      <c r="C165" s="433"/>
      <c r="E165" s="432"/>
      <c r="H165" s="77"/>
    </row>
    <row r="166" spans="1:8" s="7" customFormat="1" ht="18.75">
      <c r="A166" s="432"/>
      <c r="B166" s="432"/>
      <c r="C166" s="433"/>
      <c r="E166" s="432"/>
      <c r="H166" s="77"/>
    </row>
    <row r="167" spans="1:8" s="7" customFormat="1" ht="18.75">
      <c r="A167" s="432"/>
      <c r="B167" s="432"/>
      <c r="C167" s="433"/>
      <c r="E167" s="432"/>
      <c r="H167" s="77"/>
    </row>
    <row r="168" spans="1:8" s="7" customFormat="1" ht="18.75">
      <c r="A168" s="432"/>
      <c r="B168" s="432"/>
      <c r="C168" s="433"/>
      <c r="E168" s="432"/>
      <c r="H168" s="77"/>
    </row>
    <row r="169" spans="1:8" s="7" customFormat="1" ht="18.75">
      <c r="A169" s="432"/>
      <c r="B169" s="432"/>
      <c r="C169" s="433"/>
      <c r="E169" s="432"/>
      <c r="H169" s="77"/>
    </row>
    <row r="170" spans="1:8" s="7" customFormat="1" ht="18.75">
      <c r="A170" s="432"/>
      <c r="B170" s="432"/>
      <c r="C170" s="433"/>
      <c r="E170" s="432"/>
      <c r="H170" s="77"/>
    </row>
    <row r="171" spans="1:8" s="7" customFormat="1" ht="18.75">
      <c r="A171" s="432"/>
      <c r="B171" s="432"/>
      <c r="C171" s="433"/>
      <c r="E171" s="432"/>
      <c r="H171" s="77"/>
    </row>
    <row r="172" spans="1:8" s="7" customFormat="1" ht="18.75">
      <c r="A172" s="432"/>
      <c r="B172" s="432"/>
      <c r="C172" s="433"/>
      <c r="E172" s="432"/>
      <c r="H172" s="77"/>
    </row>
    <row r="173" spans="1:8" s="7" customFormat="1" ht="18.75">
      <c r="A173" s="432"/>
      <c r="B173" s="432"/>
      <c r="C173" s="433"/>
      <c r="E173" s="432"/>
      <c r="H173" s="77"/>
    </row>
    <row r="174" spans="1:8" s="7" customFormat="1" ht="18.75">
      <c r="A174" s="432"/>
      <c r="B174" s="432"/>
      <c r="C174" s="433"/>
      <c r="E174" s="432"/>
      <c r="H174" s="77"/>
    </row>
    <row r="175" spans="1:8" s="7" customFormat="1" ht="18.75">
      <c r="A175" s="432"/>
      <c r="B175" s="432"/>
      <c r="C175" s="433"/>
      <c r="E175" s="432"/>
      <c r="H175" s="77"/>
    </row>
    <row r="176" spans="1:8" s="7" customFormat="1" ht="18.75">
      <c r="A176" s="432"/>
      <c r="B176" s="432"/>
      <c r="C176" s="433"/>
      <c r="E176" s="432"/>
      <c r="H176" s="77"/>
    </row>
    <row r="177" spans="1:8" s="7" customFormat="1" ht="18.75">
      <c r="A177" s="432"/>
      <c r="B177" s="432"/>
      <c r="C177" s="433"/>
      <c r="E177" s="432"/>
      <c r="H177" s="77"/>
    </row>
    <row r="178" spans="1:8" s="7" customFormat="1" ht="18.75">
      <c r="A178" s="432"/>
      <c r="B178" s="432"/>
      <c r="C178" s="433"/>
      <c r="E178" s="432"/>
      <c r="H178" s="77"/>
    </row>
    <row r="179" spans="1:8" s="7" customFormat="1" ht="18.75">
      <c r="A179" s="432"/>
      <c r="B179" s="432"/>
      <c r="C179" s="433"/>
      <c r="E179" s="432"/>
      <c r="H179" s="77"/>
    </row>
    <row r="180" spans="1:8" s="7" customFormat="1" ht="18.75">
      <c r="A180" s="432"/>
      <c r="B180" s="432"/>
      <c r="C180" s="433"/>
      <c r="E180" s="432"/>
      <c r="H180" s="77"/>
    </row>
    <row r="181" spans="1:8" s="7" customFormat="1" ht="18.75">
      <c r="A181" s="432"/>
      <c r="B181" s="432"/>
      <c r="C181" s="433"/>
      <c r="E181" s="432"/>
      <c r="H181" s="77"/>
    </row>
    <row r="182" spans="1:8" s="7" customFormat="1" ht="18.75">
      <c r="A182" s="432"/>
      <c r="B182" s="432"/>
      <c r="C182" s="433"/>
      <c r="E182" s="432"/>
      <c r="H182" s="77"/>
    </row>
    <row r="183" spans="1:8" s="7" customFormat="1" ht="18.75">
      <c r="A183" s="432"/>
      <c r="B183" s="432"/>
      <c r="C183" s="433"/>
      <c r="E183" s="432"/>
      <c r="H183" s="77"/>
    </row>
    <row r="184" spans="1:8" s="7" customFormat="1" ht="18.75">
      <c r="A184" s="432"/>
      <c r="B184" s="432"/>
      <c r="C184" s="433"/>
      <c r="E184" s="432"/>
      <c r="H184" s="77"/>
    </row>
    <row r="185" spans="1:8" s="7" customFormat="1" ht="18.75">
      <c r="A185" s="432"/>
      <c r="B185" s="432"/>
      <c r="C185" s="433"/>
      <c r="E185" s="432"/>
      <c r="H185" s="77"/>
    </row>
    <row r="186" spans="1:8" s="7" customFormat="1" ht="18.75">
      <c r="A186" s="432"/>
      <c r="B186" s="432"/>
      <c r="C186" s="433"/>
      <c r="E186" s="432"/>
      <c r="H186" s="77"/>
    </row>
    <row r="187" spans="1:8" s="7" customFormat="1" ht="18.75">
      <c r="A187" s="432"/>
      <c r="B187" s="432"/>
      <c r="C187" s="433"/>
      <c r="E187" s="432"/>
      <c r="H187" s="77"/>
    </row>
    <row r="188" spans="1:8" s="7" customFormat="1" ht="18.75">
      <c r="A188" s="432"/>
      <c r="B188" s="432"/>
      <c r="C188" s="433"/>
      <c r="E188" s="432"/>
      <c r="H188" s="77"/>
    </row>
    <row r="189" spans="1:8" s="7" customFormat="1" ht="18.75">
      <c r="A189" s="432"/>
      <c r="B189" s="432"/>
      <c r="C189" s="433"/>
      <c r="E189" s="432"/>
      <c r="H189" s="77"/>
    </row>
    <row r="190" spans="1:8" s="7" customFormat="1" ht="18.75">
      <c r="A190" s="432"/>
      <c r="B190" s="432"/>
      <c r="C190" s="433"/>
      <c r="E190" s="432"/>
      <c r="H190" s="77"/>
    </row>
    <row r="191" spans="1:8" s="7" customFormat="1" ht="18.75">
      <c r="A191" s="432"/>
      <c r="B191" s="432"/>
      <c r="C191" s="433"/>
      <c r="E191" s="432"/>
      <c r="H191" s="77"/>
    </row>
    <row r="192" spans="1:8" s="7" customFormat="1" ht="18.75">
      <c r="A192" s="432"/>
      <c r="B192" s="432"/>
      <c r="C192" s="433"/>
      <c r="E192" s="432"/>
      <c r="H192" s="77"/>
    </row>
    <row r="193" spans="1:8" s="7" customFormat="1" ht="18.75">
      <c r="A193" s="432"/>
      <c r="B193" s="432"/>
      <c r="C193" s="433"/>
      <c r="E193" s="432"/>
      <c r="H193" s="77"/>
    </row>
    <row r="194" spans="1:8" s="7" customFormat="1" ht="18.75">
      <c r="A194" s="432"/>
      <c r="B194" s="432"/>
      <c r="C194" s="433"/>
      <c r="E194" s="432"/>
      <c r="H194" s="77"/>
    </row>
    <row r="195" spans="1:8" s="7" customFormat="1" ht="18.75">
      <c r="A195" s="432"/>
      <c r="B195" s="432"/>
      <c r="C195" s="433"/>
      <c r="E195" s="432"/>
      <c r="H195" s="77"/>
    </row>
    <row r="196" spans="1:8" s="7" customFormat="1" ht="18.75">
      <c r="A196" s="432"/>
      <c r="B196" s="432"/>
      <c r="C196" s="433"/>
      <c r="E196" s="432"/>
      <c r="H196" s="77"/>
    </row>
    <row r="197" spans="1:8" s="7" customFormat="1" ht="18.75">
      <c r="A197" s="432"/>
      <c r="B197" s="432"/>
      <c r="C197" s="433"/>
      <c r="E197" s="432"/>
      <c r="H197" s="77"/>
    </row>
    <row r="198" spans="1:8" s="7" customFormat="1" ht="18.75">
      <c r="A198" s="432"/>
      <c r="B198" s="432"/>
      <c r="C198" s="433"/>
      <c r="E198" s="432"/>
      <c r="H198" s="77"/>
    </row>
    <row r="199" spans="1:8" s="7" customFormat="1" ht="18.75">
      <c r="A199" s="432"/>
      <c r="B199" s="432"/>
      <c r="C199" s="433"/>
      <c r="E199" s="432"/>
      <c r="H199" s="77"/>
    </row>
    <row r="200" spans="1:8" s="7" customFormat="1" ht="18.75">
      <c r="A200" s="432"/>
      <c r="B200" s="432"/>
      <c r="C200" s="433"/>
      <c r="E200" s="432"/>
      <c r="H200" s="77"/>
    </row>
    <row r="201" spans="1:8" s="7" customFormat="1" ht="18.75">
      <c r="A201" s="432"/>
      <c r="B201" s="432"/>
      <c r="C201" s="433"/>
      <c r="E201" s="432"/>
      <c r="H201" s="77"/>
    </row>
    <row r="202" spans="1:8" s="7" customFormat="1" ht="18.75">
      <c r="A202" s="432"/>
      <c r="B202" s="432"/>
      <c r="C202" s="433"/>
      <c r="E202" s="432"/>
      <c r="H202" s="77"/>
    </row>
    <row r="203" spans="1:8" s="7" customFormat="1" ht="18.75">
      <c r="A203" s="432"/>
      <c r="B203" s="432"/>
      <c r="C203" s="433"/>
      <c r="E203" s="432"/>
      <c r="H203" s="77"/>
    </row>
    <row r="204" spans="1:8" s="7" customFormat="1" ht="18.75">
      <c r="A204" s="432"/>
      <c r="B204" s="432"/>
      <c r="C204" s="433"/>
      <c r="E204" s="432"/>
      <c r="H204" s="77"/>
    </row>
    <row r="205" spans="1:8" s="7" customFormat="1" ht="18.75">
      <c r="A205" s="432"/>
      <c r="B205" s="432"/>
      <c r="C205" s="433"/>
      <c r="E205" s="432"/>
      <c r="H205" s="77"/>
    </row>
    <row r="206" spans="1:8" s="7" customFormat="1" ht="18.75">
      <c r="A206" s="419"/>
      <c r="B206" s="419"/>
      <c r="C206" s="428"/>
      <c r="D206" s="421"/>
      <c r="E206" s="419"/>
      <c r="F206" s="421"/>
      <c r="H206" s="77"/>
    </row>
    <row r="207" spans="1:8" s="7" customFormat="1" ht="18.75">
      <c r="A207" s="419"/>
      <c r="B207" s="419"/>
      <c r="C207" s="428"/>
      <c r="D207" s="421"/>
      <c r="E207" s="419"/>
      <c r="F207" s="421"/>
      <c r="H207" s="77"/>
    </row>
    <row r="208" spans="1:8" s="7" customFormat="1" ht="18.75">
      <c r="A208" s="419"/>
      <c r="B208" s="419"/>
      <c r="C208" s="428"/>
      <c r="D208" s="421"/>
      <c r="E208" s="419"/>
      <c r="F208" s="421"/>
      <c r="H208" s="77"/>
    </row>
    <row r="209" spans="1:8" s="7" customFormat="1" ht="18.75">
      <c r="A209" s="419"/>
      <c r="B209" s="419"/>
      <c r="C209" s="428"/>
      <c r="D209" s="421"/>
      <c r="E209" s="419"/>
      <c r="F209" s="421"/>
      <c r="H209" s="77"/>
    </row>
    <row r="210" spans="1:8" s="7" customFormat="1" ht="18.75">
      <c r="A210" s="419"/>
      <c r="B210" s="419"/>
      <c r="C210" s="428"/>
      <c r="D210" s="421"/>
      <c r="E210" s="419"/>
      <c r="F210" s="421"/>
      <c r="H210" s="77"/>
    </row>
    <row r="211" spans="1:8" s="7" customFormat="1" ht="18.75">
      <c r="A211" s="419"/>
      <c r="B211" s="419"/>
      <c r="C211" s="428"/>
      <c r="D211" s="421"/>
      <c r="E211" s="419"/>
      <c r="F211" s="421"/>
      <c r="H211" s="77"/>
    </row>
    <row r="212" spans="1:8" s="7" customFormat="1" ht="18.75">
      <c r="A212" s="419"/>
      <c r="B212" s="419"/>
      <c r="C212" s="428"/>
      <c r="D212" s="421"/>
      <c r="E212" s="419"/>
      <c r="F212" s="421"/>
      <c r="H212" s="77"/>
    </row>
    <row r="213" spans="1:8" s="7" customFormat="1" ht="18.75">
      <c r="A213" s="419"/>
      <c r="B213" s="419"/>
      <c r="C213" s="428"/>
      <c r="D213" s="421"/>
      <c r="E213" s="419"/>
      <c r="F213" s="421"/>
      <c r="H213" s="77"/>
    </row>
    <row r="214" spans="1:8" s="7" customFormat="1" ht="18.75">
      <c r="A214" s="419"/>
      <c r="B214" s="419"/>
      <c r="C214" s="428"/>
      <c r="D214" s="421"/>
      <c r="E214" s="419"/>
      <c r="F214" s="421"/>
      <c r="H214" s="77"/>
    </row>
    <row r="215" spans="1:8" s="7" customFormat="1" ht="18.75">
      <c r="A215" s="419"/>
      <c r="B215" s="419"/>
      <c r="C215" s="428"/>
      <c r="D215" s="421"/>
      <c r="E215" s="419"/>
      <c r="F215" s="421"/>
      <c r="H215" s="77"/>
    </row>
    <row r="216" spans="1:8" s="7" customFormat="1" ht="18.75">
      <c r="A216" s="419"/>
      <c r="B216" s="419"/>
      <c r="C216" s="428"/>
      <c r="D216" s="421"/>
      <c r="E216" s="419"/>
      <c r="F216" s="421"/>
      <c r="H216" s="77"/>
    </row>
    <row r="217" spans="1:8" s="7" customFormat="1" ht="18.75">
      <c r="A217" s="419"/>
      <c r="B217" s="419"/>
      <c r="C217" s="428"/>
      <c r="D217" s="421"/>
      <c r="E217" s="419"/>
      <c r="F217" s="421"/>
      <c r="H217" s="77"/>
    </row>
    <row r="218" spans="1:8" s="7" customFormat="1" ht="18.75">
      <c r="A218" s="419"/>
      <c r="B218" s="419"/>
      <c r="C218" s="428"/>
      <c r="D218" s="421"/>
      <c r="E218" s="419"/>
      <c r="F218" s="421"/>
      <c r="H218" s="77"/>
    </row>
    <row r="219" spans="1:8" s="7" customFormat="1" ht="18.75">
      <c r="A219" s="419"/>
      <c r="B219" s="419"/>
      <c r="C219" s="428"/>
      <c r="D219" s="421"/>
      <c r="E219" s="419"/>
      <c r="F219" s="421"/>
      <c r="H219" s="77"/>
    </row>
    <row r="220" spans="1:8" s="7" customFormat="1" ht="18.75">
      <c r="A220" s="419"/>
      <c r="B220" s="419"/>
      <c r="C220" s="428"/>
      <c r="D220" s="421"/>
      <c r="E220" s="419"/>
      <c r="F220" s="421"/>
      <c r="H220" s="77"/>
    </row>
    <row r="221" spans="1:8" s="7" customFormat="1" ht="18.75">
      <c r="A221" s="419"/>
      <c r="B221" s="419"/>
      <c r="C221" s="428"/>
      <c r="D221" s="421"/>
      <c r="E221" s="419"/>
      <c r="F221" s="421"/>
      <c r="H221" s="77"/>
    </row>
    <row r="222" spans="1:8" s="7" customFormat="1" ht="18.75">
      <c r="A222" s="419"/>
      <c r="B222" s="419"/>
      <c r="C222" s="428"/>
      <c r="D222" s="421"/>
      <c r="E222" s="419"/>
      <c r="F222" s="421"/>
      <c r="H222" s="77"/>
    </row>
    <row r="223" spans="1:8" s="7" customFormat="1" ht="18.75">
      <c r="A223" s="419"/>
      <c r="B223" s="419"/>
      <c r="C223" s="428"/>
      <c r="D223" s="421"/>
      <c r="E223" s="419"/>
      <c r="F223" s="421"/>
      <c r="H223" s="77"/>
    </row>
    <row r="224" spans="1:8" s="7" customFormat="1" ht="18.75">
      <c r="A224" s="419"/>
      <c r="B224" s="419"/>
      <c r="C224" s="428"/>
      <c r="D224" s="421"/>
      <c r="E224" s="419"/>
      <c r="F224" s="421"/>
      <c r="H224" s="77"/>
    </row>
    <row r="225" spans="1:8" s="7" customFormat="1" ht="18.75">
      <c r="A225" s="419"/>
      <c r="B225" s="419"/>
      <c r="C225" s="428"/>
      <c r="D225" s="421"/>
      <c r="E225" s="419"/>
      <c r="F225" s="421"/>
      <c r="H225" s="77"/>
    </row>
    <row r="226" spans="1:8" s="7" customFormat="1" ht="18.75">
      <c r="A226" s="419"/>
      <c r="B226" s="419"/>
      <c r="C226" s="428"/>
      <c r="D226" s="421"/>
      <c r="E226" s="419"/>
      <c r="F226" s="421"/>
      <c r="H226" s="77"/>
    </row>
    <row r="227" spans="1:8" s="7" customFormat="1" ht="18.75">
      <c r="A227" s="419"/>
      <c r="B227" s="419"/>
      <c r="C227" s="428"/>
      <c r="D227" s="421"/>
      <c r="E227" s="419"/>
      <c r="F227" s="421"/>
      <c r="H227" s="77"/>
    </row>
    <row r="228" spans="1:8" s="7" customFormat="1" ht="18.75">
      <c r="A228" s="419"/>
      <c r="B228" s="419"/>
      <c r="C228" s="428"/>
      <c r="D228" s="421"/>
      <c r="E228" s="419"/>
      <c r="F228" s="421"/>
      <c r="H228" s="77"/>
    </row>
    <row r="229" spans="1:8" s="7" customFormat="1" ht="18.75">
      <c r="A229" s="419"/>
      <c r="B229" s="419"/>
      <c r="C229" s="428"/>
      <c r="D229" s="421"/>
      <c r="E229" s="419"/>
      <c r="F229" s="421"/>
      <c r="H229" s="77"/>
    </row>
    <row r="230" spans="1:8" s="7" customFormat="1" ht="18.75">
      <c r="A230" s="419"/>
      <c r="B230" s="419"/>
      <c r="C230" s="428"/>
      <c r="D230" s="421"/>
      <c r="E230" s="419"/>
      <c r="F230" s="421"/>
      <c r="H230" s="77"/>
    </row>
    <row r="231" spans="1:8" s="7" customFormat="1" ht="18.75">
      <c r="A231" s="419"/>
      <c r="B231" s="419"/>
      <c r="C231" s="428"/>
      <c r="D231" s="421"/>
      <c r="E231" s="419"/>
      <c r="F231" s="421"/>
      <c r="H231" s="77"/>
    </row>
    <row r="232" spans="1:8" s="7" customFormat="1" ht="18.75">
      <c r="A232" s="419"/>
      <c r="B232" s="419"/>
      <c r="C232" s="428"/>
      <c r="D232" s="421"/>
      <c r="E232" s="419"/>
      <c r="F232" s="421"/>
      <c r="H232" s="77"/>
    </row>
    <row r="233" spans="1:8" s="7" customFormat="1" ht="18.75">
      <c r="A233" s="419"/>
      <c r="B233" s="419"/>
      <c r="C233" s="428"/>
      <c r="D233" s="421"/>
      <c r="E233" s="419"/>
      <c r="F233" s="421"/>
      <c r="H233" s="77"/>
    </row>
    <row r="234" spans="1:8" s="7" customFormat="1" ht="18.75">
      <c r="A234" s="419"/>
      <c r="B234" s="419"/>
      <c r="C234" s="428"/>
      <c r="D234" s="421"/>
      <c r="E234" s="419"/>
      <c r="F234" s="421"/>
      <c r="H234" s="77"/>
    </row>
    <row r="235" spans="1:8" s="7" customFormat="1" ht="18.75">
      <c r="A235" s="419"/>
      <c r="B235" s="419"/>
      <c r="C235" s="428"/>
      <c r="D235" s="421"/>
      <c r="E235" s="419"/>
      <c r="F235" s="421"/>
      <c r="H235" s="77"/>
    </row>
    <row r="236" spans="1:8" s="7" customFormat="1" ht="18.75">
      <c r="A236" s="419"/>
      <c r="B236" s="419"/>
      <c r="C236" s="428"/>
      <c r="D236" s="421"/>
      <c r="E236" s="419"/>
      <c r="F236" s="421"/>
      <c r="H236" s="77"/>
    </row>
    <row r="237" spans="1:8" s="7" customFormat="1" ht="18.75">
      <c r="A237" s="419"/>
      <c r="B237" s="419"/>
      <c r="C237" s="428"/>
      <c r="D237" s="421"/>
      <c r="E237" s="419"/>
      <c r="F237" s="421"/>
      <c r="H237" s="77"/>
    </row>
    <row r="238" spans="1:8" s="7" customFormat="1" ht="18.75">
      <c r="A238" s="419"/>
      <c r="B238" s="419"/>
      <c r="C238" s="428"/>
      <c r="D238" s="421"/>
      <c r="E238" s="419"/>
      <c r="F238" s="421"/>
      <c r="H238" s="77"/>
    </row>
    <row r="239" spans="1:8" s="7" customFormat="1" ht="18.75">
      <c r="A239" s="419"/>
      <c r="B239" s="419"/>
      <c r="C239" s="428"/>
      <c r="D239" s="421"/>
      <c r="E239" s="419"/>
      <c r="F239" s="421"/>
      <c r="H239" s="77"/>
    </row>
    <row r="240" spans="1:8" s="7" customFormat="1" ht="18.75">
      <c r="A240" s="419"/>
      <c r="B240" s="419"/>
      <c r="C240" s="428"/>
      <c r="D240" s="421"/>
      <c r="E240" s="419"/>
      <c r="F240" s="421"/>
      <c r="H240" s="77"/>
    </row>
    <row r="241" spans="1:8" s="7" customFormat="1" ht="18.75">
      <c r="A241" s="419"/>
      <c r="B241" s="419"/>
      <c r="C241" s="428"/>
      <c r="D241" s="421"/>
      <c r="E241" s="419"/>
      <c r="F241" s="421"/>
      <c r="H241" s="77"/>
    </row>
    <row r="242" spans="1:8" s="7" customFormat="1" ht="18.75">
      <c r="A242" s="419"/>
      <c r="B242" s="419"/>
      <c r="C242" s="428"/>
      <c r="D242" s="421"/>
      <c r="E242" s="419"/>
      <c r="F242" s="421"/>
      <c r="H242" s="77"/>
    </row>
    <row r="243" spans="1:8" s="7" customFormat="1" ht="18.75">
      <c r="A243" s="419"/>
      <c r="B243" s="419"/>
      <c r="C243" s="428"/>
      <c r="D243" s="421"/>
      <c r="E243" s="419"/>
      <c r="F243" s="421"/>
      <c r="H243" s="77"/>
    </row>
    <row r="244" spans="1:8" s="7" customFormat="1" ht="18.75">
      <c r="A244" s="419"/>
      <c r="B244" s="419"/>
      <c r="C244" s="428"/>
      <c r="D244" s="421"/>
      <c r="E244" s="419"/>
      <c r="F244" s="421"/>
      <c r="H244" s="77"/>
    </row>
    <row r="245" spans="1:8" s="7" customFormat="1" ht="18.75">
      <c r="A245" s="419"/>
      <c r="B245" s="419"/>
      <c r="C245" s="428"/>
      <c r="D245" s="421"/>
      <c r="E245" s="419"/>
      <c r="F245" s="421"/>
      <c r="H245" s="77"/>
    </row>
    <row r="246" spans="1:8" s="7" customFormat="1" ht="18.75">
      <c r="A246" s="419"/>
      <c r="B246" s="419"/>
      <c r="C246" s="428"/>
      <c r="D246" s="421"/>
      <c r="E246" s="419"/>
      <c r="F246" s="421"/>
      <c r="H246" s="77"/>
    </row>
    <row r="247" spans="1:8" s="7" customFormat="1" ht="18.75">
      <c r="A247" s="419"/>
      <c r="B247" s="419"/>
      <c r="C247" s="428"/>
      <c r="D247" s="421"/>
      <c r="E247" s="419"/>
      <c r="F247" s="421"/>
      <c r="H247" s="77"/>
    </row>
    <row r="248" spans="1:8" s="7" customFormat="1" ht="18.75">
      <c r="A248" s="419"/>
      <c r="B248" s="419"/>
      <c r="C248" s="428"/>
      <c r="D248" s="421"/>
      <c r="E248" s="419"/>
      <c r="F248" s="421"/>
      <c r="H248" s="77"/>
    </row>
    <row r="249" spans="1:8" s="7" customFormat="1" ht="18.75">
      <c r="A249" s="419"/>
      <c r="B249" s="419"/>
      <c r="C249" s="428"/>
      <c r="D249" s="421"/>
      <c r="E249" s="419"/>
      <c r="F249" s="421"/>
      <c r="H249" s="77"/>
    </row>
    <row r="250" spans="1:8" s="7" customFormat="1" ht="18.75">
      <c r="A250" s="419"/>
      <c r="B250" s="419"/>
      <c r="C250" s="428"/>
      <c r="D250" s="421"/>
      <c r="E250" s="419"/>
      <c r="F250" s="421"/>
      <c r="H250" s="77"/>
    </row>
    <row r="251" spans="1:8" s="7" customFormat="1" ht="18.75">
      <c r="A251" s="419"/>
      <c r="B251" s="419"/>
      <c r="C251" s="428"/>
      <c r="D251" s="421"/>
      <c r="E251" s="419"/>
      <c r="F251" s="421"/>
      <c r="H251" s="77"/>
    </row>
    <row r="252" spans="1:8" s="7" customFormat="1" ht="18.75">
      <c r="A252" s="419"/>
      <c r="B252" s="419"/>
      <c r="C252" s="428"/>
      <c r="D252" s="421"/>
      <c r="E252" s="419"/>
      <c r="F252" s="421"/>
      <c r="H252" s="77"/>
    </row>
    <row r="253" spans="1:8" s="7" customFormat="1" ht="18.75">
      <c r="A253" s="419"/>
      <c r="B253" s="419"/>
      <c r="C253" s="428"/>
      <c r="D253" s="421"/>
      <c r="E253" s="419"/>
      <c r="F253" s="421"/>
      <c r="H253" s="77"/>
    </row>
    <row r="254" spans="1:8" s="7" customFormat="1" ht="18.75">
      <c r="A254" s="419"/>
      <c r="B254" s="419"/>
      <c r="C254" s="428"/>
      <c r="D254" s="421"/>
      <c r="E254" s="419"/>
      <c r="F254" s="421"/>
      <c r="H254" s="77"/>
    </row>
    <row r="255" spans="1:8" s="7" customFormat="1" ht="18.75">
      <c r="A255" s="419"/>
      <c r="B255" s="419"/>
      <c r="C255" s="428"/>
      <c r="D255" s="421"/>
      <c r="E255" s="419"/>
      <c r="F255" s="421"/>
      <c r="H255" s="77"/>
    </row>
    <row r="256" spans="1:8" s="7" customFormat="1" ht="18.75">
      <c r="A256" s="419"/>
      <c r="B256" s="419"/>
      <c r="C256" s="428"/>
      <c r="D256" s="421"/>
      <c r="E256" s="419"/>
      <c r="F256" s="421"/>
      <c r="H256" s="77"/>
    </row>
    <row r="257" spans="1:8" s="7" customFormat="1" ht="18.75">
      <c r="A257" s="419"/>
      <c r="B257" s="419"/>
      <c r="C257" s="428"/>
      <c r="D257" s="421"/>
      <c r="E257" s="419"/>
      <c r="F257" s="421"/>
      <c r="H257" s="77"/>
    </row>
    <row r="258" spans="1:8" s="7" customFormat="1" ht="18.75">
      <c r="A258" s="419"/>
      <c r="B258" s="419"/>
      <c r="C258" s="428"/>
      <c r="D258" s="421"/>
      <c r="E258" s="419"/>
      <c r="F258" s="421"/>
      <c r="H258" s="77"/>
    </row>
    <row r="259" spans="1:8" s="7" customFormat="1" ht="18.75">
      <c r="A259" s="419"/>
      <c r="B259" s="419"/>
      <c r="C259" s="428"/>
      <c r="D259" s="421"/>
      <c r="E259" s="419"/>
      <c r="F259" s="421"/>
      <c r="H259" s="77"/>
    </row>
    <row r="260" spans="1:8" s="7" customFormat="1" ht="18.75">
      <c r="A260" s="419"/>
      <c r="B260" s="419"/>
      <c r="C260" s="428"/>
      <c r="D260" s="421"/>
      <c r="E260" s="419"/>
      <c r="F260" s="421"/>
      <c r="H260" s="77"/>
    </row>
    <row r="261" spans="1:8" s="7" customFormat="1" ht="18.75">
      <c r="A261" s="419"/>
      <c r="B261" s="419"/>
      <c r="C261" s="428"/>
      <c r="D261" s="421"/>
      <c r="E261" s="419"/>
      <c r="F261" s="421"/>
      <c r="H261" s="77"/>
    </row>
    <row r="262" spans="1:8" s="7" customFormat="1" ht="18.75">
      <c r="A262" s="419"/>
      <c r="B262" s="419"/>
      <c r="C262" s="428"/>
      <c r="D262" s="421"/>
      <c r="E262" s="419"/>
      <c r="F262" s="421"/>
      <c r="H262" s="77"/>
    </row>
    <row r="263" spans="1:8" s="7" customFormat="1" ht="18.75">
      <c r="A263" s="419"/>
      <c r="B263" s="419"/>
      <c r="C263" s="428"/>
      <c r="D263" s="421"/>
      <c r="E263" s="419"/>
      <c r="F263" s="421"/>
      <c r="H263" s="77"/>
    </row>
    <row r="264" ht="18.75">
      <c r="G264" s="421"/>
    </row>
  </sheetData>
  <sheetProtection/>
  <mergeCells count="1">
    <mergeCell ref="A18:A19"/>
  </mergeCells>
  <printOptions/>
  <pageMargins left="0.44" right="0.32" top="0.43" bottom="0.38" header="0.5"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4"/>
  </sheetPr>
  <dimension ref="A1:BG107"/>
  <sheetViews>
    <sheetView zoomScalePageLayoutView="0" workbookViewId="0" topLeftCell="A1">
      <pane xSplit="1" ySplit="3" topLeftCell="X34" activePane="bottomRight" state="frozen"/>
      <selection pane="topLeft" activeCell="A1" sqref="A1"/>
      <selection pane="topRight" activeCell="B1" sqref="B1"/>
      <selection pane="bottomLeft" activeCell="A4" sqref="A4"/>
      <selection pane="bottomRight" activeCell="J2" sqref="J2:K2"/>
    </sheetView>
  </sheetViews>
  <sheetFormatPr defaultColWidth="9.140625" defaultRowHeight="15.75" customHeight="1"/>
  <cols>
    <col min="1" max="1" width="17.8515625" style="7" customWidth="1"/>
    <col min="2" max="2" width="5.00390625" style="7" customWidth="1"/>
    <col min="3" max="3" width="8.00390625" style="215" customWidth="1"/>
    <col min="4" max="4" width="0.2890625" style="1268" hidden="1" customWidth="1"/>
    <col min="5" max="5" width="0.9921875" style="1268" hidden="1" customWidth="1"/>
    <col min="6" max="6" width="4.421875" style="215" customWidth="1"/>
    <col min="7" max="7" width="7.140625" style="215" customWidth="1"/>
    <col min="8" max="8" width="4.421875" style="215" customWidth="1"/>
    <col min="9" max="9" width="7.00390625" style="215" customWidth="1"/>
    <col min="10" max="10" width="4.140625" style="215" customWidth="1"/>
    <col min="11" max="11" width="8.28125" style="215" bestFit="1" customWidth="1"/>
    <col min="12" max="12" width="4.140625" style="215" customWidth="1"/>
    <col min="13" max="13" width="6.7109375" style="215" bestFit="1" customWidth="1"/>
    <col min="14" max="14" width="4.57421875" style="7" customWidth="1"/>
    <col min="15" max="15" width="8.28125" style="215" bestFit="1" customWidth="1"/>
    <col min="16" max="16" width="4.7109375" style="7" bestFit="1" customWidth="1"/>
    <col min="17" max="17" width="6.7109375" style="215" customWidth="1"/>
    <col min="18" max="18" width="4.421875" style="7" customWidth="1"/>
    <col min="19" max="19" width="8.28125" style="215" bestFit="1" customWidth="1"/>
    <col min="20" max="20" width="4.140625" style="7" bestFit="1" customWidth="1"/>
    <col min="21" max="21" width="8.140625" style="209" customWidth="1"/>
    <col min="22" max="22" width="5.00390625" style="209" customWidth="1"/>
    <col min="23" max="23" width="8.28125" style="209" bestFit="1" customWidth="1"/>
    <col min="24" max="24" width="4.57421875" style="84" customWidth="1"/>
    <col min="25" max="25" width="8.421875" style="209" customWidth="1"/>
    <col min="26" max="26" width="5.140625" style="84" bestFit="1" customWidth="1"/>
    <col min="27" max="27" width="8.28125" style="209" bestFit="1" customWidth="1"/>
    <col min="28" max="28" width="5.421875" style="7" customWidth="1"/>
    <col min="29" max="29" width="9.28125" style="215" customWidth="1"/>
    <col min="30" max="30" width="11.00390625" style="0" customWidth="1"/>
    <col min="31" max="31" width="5.421875" style="0" customWidth="1"/>
    <col min="32" max="32" width="9.421875" style="0" customWidth="1"/>
    <col min="33" max="33" width="5.8515625" style="0" customWidth="1"/>
    <col min="34" max="34" width="16.28125" style="0" customWidth="1"/>
    <col min="35" max="35" width="5.00390625" style="0" customWidth="1"/>
    <col min="36" max="36" width="8.00390625" style="0" customWidth="1"/>
    <col min="37" max="37" width="4.7109375" style="0" customWidth="1"/>
    <col min="38" max="38" width="7.57421875" style="0" customWidth="1"/>
    <col min="39" max="39" width="4.421875" style="0" customWidth="1"/>
    <col min="40" max="40" width="7.00390625" style="0" customWidth="1"/>
    <col min="41" max="41" width="4.8515625" style="0" customWidth="1"/>
    <col min="42" max="42" width="7.140625" style="0" customWidth="1"/>
    <col min="43" max="43" width="4.8515625" style="0" customWidth="1"/>
    <col min="44" max="44" width="7.28125" style="0" customWidth="1"/>
    <col min="45" max="45" width="4.421875" style="0" customWidth="1"/>
    <col min="46" max="46" width="7.00390625" style="0" customWidth="1"/>
    <col min="47" max="47" width="4.57421875" style="0" customWidth="1"/>
    <col min="49" max="49" width="4.57421875" style="0" customWidth="1"/>
    <col min="50" max="50" width="7.7109375" style="0" customWidth="1"/>
    <col min="51" max="51" width="4.7109375" style="0" customWidth="1"/>
    <col min="52" max="52" width="6.57421875" style="0" customWidth="1"/>
    <col min="53" max="53" width="5.28125" style="0" customWidth="1"/>
    <col min="56" max="56" width="5.57421875" style="0" customWidth="1"/>
    <col min="60" max="16384" width="9.140625" style="7" customWidth="1"/>
  </cols>
  <sheetData>
    <row r="1" spans="1:29" ht="25.5" customHeight="1" thickBot="1">
      <c r="A1" s="139" t="s">
        <v>481</v>
      </c>
      <c r="C1" s="209"/>
      <c r="D1" s="1260"/>
      <c r="E1" s="1260"/>
      <c r="F1" s="209"/>
      <c r="G1" s="209"/>
      <c r="H1" s="209"/>
      <c r="I1" s="209"/>
      <c r="J1" s="209"/>
      <c r="K1" s="209"/>
      <c r="L1" s="209"/>
      <c r="M1" s="209"/>
      <c r="P1" s="84"/>
      <c r="Q1" s="209"/>
      <c r="AB1" s="101"/>
      <c r="AC1" s="218" t="s">
        <v>114</v>
      </c>
    </row>
    <row r="2" spans="1:29" ht="68.25" customHeight="1" thickBot="1">
      <c r="A2" s="1404" t="s">
        <v>1</v>
      </c>
      <c r="B2" s="1399" t="s">
        <v>62</v>
      </c>
      <c r="C2" s="1399"/>
      <c r="D2" s="1259"/>
      <c r="E2" s="1259"/>
      <c r="F2" s="1403" t="s">
        <v>73</v>
      </c>
      <c r="G2" s="1403"/>
      <c r="H2" s="1403" t="s">
        <v>63</v>
      </c>
      <c r="I2" s="1403"/>
      <c r="J2" s="1403" t="s">
        <v>74</v>
      </c>
      <c r="K2" s="1403"/>
      <c r="L2" s="1403" t="s">
        <v>128</v>
      </c>
      <c r="M2" s="1403"/>
      <c r="N2" s="1403" t="s">
        <v>459</v>
      </c>
      <c r="O2" s="1403"/>
      <c r="P2" s="1401" t="s">
        <v>66</v>
      </c>
      <c r="Q2" s="1401"/>
      <c r="R2" s="1403" t="s">
        <v>68</v>
      </c>
      <c r="S2" s="1403"/>
      <c r="T2" s="1407" t="s">
        <v>69</v>
      </c>
      <c r="U2" s="1407"/>
      <c r="V2" s="1410" t="s">
        <v>70</v>
      </c>
      <c r="W2" s="1411"/>
      <c r="X2" s="1401" t="s">
        <v>71</v>
      </c>
      <c r="Y2" s="1401"/>
      <c r="Z2" s="1401" t="s">
        <v>452</v>
      </c>
      <c r="AA2" s="1401"/>
      <c r="AB2" s="1406" t="s">
        <v>57</v>
      </c>
      <c r="AC2" s="1406"/>
    </row>
    <row r="3" spans="1:59" s="102" customFormat="1" ht="28.5" customHeight="1" thickBot="1">
      <c r="A3" s="1405"/>
      <c r="B3" s="107" t="s">
        <v>10</v>
      </c>
      <c r="C3" s="210" t="s">
        <v>9</v>
      </c>
      <c r="D3" s="1261"/>
      <c r="E3" s="1261"/>
      <c r="F3" s="107" t="s">
        <v>10</v>
      </c>
      <c r="G3" s="216" t="s">
        <v>9</v>
      </c>
      <c r="H3" s="107" t="s">
        <v>10</v>
      </c>
      <c r="I3" s="216" t="s">
        <v>9</v>
      </c>
      <c r="J3" s="107" t="s">
        <v>10</v>
      </c>
      <c r="K3" s="216" t="s">
        <v>9</v>
      </c>
      <c r="L3" s="107" t="s">
        <v>10</v>
      </c>
      <c r="M3" s="216" t="s">
        <v>9</v>
      </c>
      <c r="N3" s="107" t="s">
        <v>10</v>
      </c>
      <c r="O3" s="216" t="s">
        <v>9</v>
      </c>
      <c r="P3" s="105" t="s">
        <v>10</v>
      </c>
      <c r="Q3" s="590" t="s">
        <v>9</v>
      </c>
      <c r="R3" s="105" t="s">
        <v>10</v>
      </c>
      <c r="S3" s="590" t="s">
        <v>9</v>
      </c>
      <c r="T3" s="105" t="s">
        <v>10</v>
      </c>
      <c r="U3" s="590" t="s">
        <v>9</v>
      </c>
      <c r="V3" s="590"/>
      <c r="W3" s="590"/>
      <c r="X3" s="105" t="s">
        <v>10</v>
      </c>
      <c r="Y3" s="590" t="s">
        <v>9</v>
      </c>
      <c r="Z3" s="105" t="s">
        <v>10</v>
      </c>
      <c r="AA3" s="590" t="s">
        <v>9</v>
      </c>
      <c r="AB3" s="105" t="s">
        <v>10</v>
      </c>
      <c r="AC3" s="591" t="s">
        <v>9</v>
      </c>
      <c r="AD3"/>
      <c r="AE3"/>
      <c r="AF3"/>
      <c r="AG3"/>
      <c r="AH3"/>
      <c r="AI3"/>
      <c r="AJ3"/>
      <c r="AK3"/>
      <c r="AL3"/>
      <c r="AM3"/>
      <c r="AN3"/>
      <c r="AO3"/>
      <c r="AP3"/>
      <c r="AQ3"/>
      <c r="AR3"/>
      <c r="AS3"/>
      <c r="AT3"/>
      <c r="AU3"/>
      <c r="AV3"/>
      <c r="AW3"/>
      <c r="AX3"/>
      <c r="AY3"/>
      <c r="AZ3"/>
      <c r="BA3"/>
      <c r="BB3"/>
      <c r="BC3"/>
      <c r="BD3"/>
      <c r="BE3"/>
      <c r="BF3"/>
      <c r="BG3"/>
    </row>
    <row r="4" spans="1:59" s="102" customFormat="1" ht="23.25" customHeight="1">
      <c r="A4" s="952" t="s">
        <v>115</v>
      </c>
      <c r="B4" s="953"/>
      <c r="C4" s="954"/>
      <c r="D4" s="1262"/>
      <c r="E4" s="1262"/>
      <c r="F4" s="954"/>
      <c r="G4" s="954"/>
      <c r="H4" s="954"/>
      <c r="I4" s="954"/>
      <c r="J4" s="954"/>
      <c r="K4" s="954"/>
      <c r="L4" s="954"/>
      <c r="M4" s="954"/>
      <c r="N4" s="953"/>
      <c r="O4" s="955"/>
      <c r="P4" s="956"/>
      <c r="Q4" s="955"/>
      <c r="R4" s="953"/>
      <c r="S4" s="955"/>
      <c r="T4" s="953"/>
      <c r="U4" s="955"/>
      <c r="V4" s="955"/>
      <c r="W4" s="955"/>
      <c r="X4" s="956"/>
      <c r="Y4" s="955"/>
      <c r="Z4" s="956"/>
      <c r="AA4" s="955"/>
      <c r="AB4" s="952"/>
      <c r="AC4" s="957"/>
      <c r="AD4"/>
      <c r="AE4"/>
      <c r="AF4"/>
      <c r="AG4"/>
      <c r="AH4"/>
      <c r="AI4"/>
      <c r="AJ4"/>
      <c r="AK4"/>
      <c r="AL4"/>
      <c r="AM4"/>
      <c r="AN4"/>
      <c r="AO4"/>
      <c r="AP4"/>
      <c r="AQ4"/>
      <c r="AR4"/>
      <c r="AS4"/>
      <c r="AT4"/>
      <c r="AU4"/>
      <c r="AV4"/>
      <c r="AW4"/>
      <c r="AX4"/>
      <c r="AY4"/>
      <c r="AZ4"/>
      <c r="BA4"/>
      <c r="BB4"/>
      <c r="BC4"/>
      <c r="BD4"/>
      <c r="BE4"/>
      <c r="BF4"/>
      <c r="BG4"/>
    </row>
    <row r="5" spans="1:59" s="102" customFormat="1" ht="19.5" customHeight="1">
      <c r="A5" s="103" t="s">
        <v>76</v>
      </c>
      <c r="B5" s="130">
        <v>3</v>
      </c>
      <c r="C5" s="211">
        <v>197.1</v>
      </c>
      <c r="D5" s="1263"/>
      <c r="E5" s="1263"/>
      <c r="F5" s="211">
        <v>10</v>
      </c>
      <c r="G5" s="211">
        <v>203.8</v>
      </c>
      <c r="H5" s="102">
        <v>3</v>
      </c>
      <c r="I5" s="102">
        <v>107.7</v>
      </c>
      <c r="J5" s="102">
        <v>4</v>
      </c>
      <c r="K5" s="102">
        <v>255.2</v>
      </c>
      <c r="L5" s="102">
        <v>3</v>
      </c>
      <c r="M5" s="102">
        <v>76.3</v>
      </c>
      <c r="N5" s="815">
        <v>2</v>
      </c>
      <c r="O5" s="211">
        <v>90.2</v>
      </c>
      <c r="P5" s="130">
        <v>4</v>
      </c>
      <c r="Q5" s="211">
        <v>191.2</v>
      </c>
      <c r="R5" s="130">
        <v>9</v>
      </c>
      <c r="S5" s="211">
        <v>579</v>
      </c>
      <c r="T5" s="130">
        <v>8</v>
      </c>
      <c r="U5" s="211">
        <v>343.2</v>
      </c>
      <c r="V5" s="211"/>
      <c r="W5" s="211"/>
      <c r="X5" s="130">
        <v>8</v>
      </c>
      <c r="Y5" s="211">
        <v>253.2</v>
      </c>
      <c r="Z5" s="130">
        <v>1</v>
      </c>
      <c r="AA5" s="211">
        <v>10.8</v>
      </c>
      <c r="AB5" s="131">
        <f>SUM(B5,F5,H5,J5,L5,N5,R5,X5,Z5,P5,T5)</f>
        <v>55</v>
      </c>
      <c r="AC5" s="486">
        <f>SUM(C5,G5,I5,K5,M5,O5,S5,Y5,AA5,Q5,U5)</f>
        <v>2307.7</v>
      </c>
      <c r="AD5"/>
      <c r="AE5"/>
      <c r="AF5"/>
      <c r="AG5"/>
      <c r="AH5"/>
      <c r="AI5"/>
      <c r="AJ5"/>
      <c r="AK5"/>
      <c r="AL5"/>
      <c r="AM5"/>
      <c r="AN5"/>
      <c r="AO5"/>
      <c r="AP5"/>
      <c r="AQ5"/>
      <c r="AR5"/>
      <c r="AS5"/>
      <c r="AT5"/>
      <c r="AU5"/>
      <c r="AV5"/>
      <c r="AW5"/>
      <c r="AX5"/>
      <c r="AY5"/>
      <c r="AZ5"/>
      <c r="BA5"/>
      <c r="BB5"/>
      <c r="BC5"/>
      <c r="BD5"/>
      <c r="BE5"/>
      <c r="BF5"/>
      <c r="BG5"/>
    </row>
    <row r="6" spans="1:59" s="102" customFormat="1" ht="19.5" customHeight="1">
      <c r="A6" s="103" t="s">
        <v>77</v>
      </c>
      <c r="B6" s="130">
        <v>3</v>
      </c>
      <c r="C6" s="211">
        <v>194.4</v>
      </c>
      <c r="D6" s="1263"/>
      <c r="E6" s="1263"/>
      <c r="F6" s="211">
        <v>10</v>
      </c>
      <c r="G6" s="211">
        <v>202.9</v>
      </c>
      <c r="H6" s="102">
        <v>3</v>
      </c>
      <c r="I6" s="102">
        <v>67.5</v>
      </c>
      <c r="J6" s="102">
        <v>5</v>
      </c>
      <c r="K6" s="102">
        <v>316</v>
      </c>
      <c r="L6" s="102">
        <v>7</v>
      </c>
      <c r="M6" s="102">
        <v>178.1</v>
      </c>
      <c r="N6" s="815">
        <v>3</v>
      </c>
      <c r="O6" s="211">
        <v>135.3</v>
      </c>
      <c r="P6" s="130">
        <v>3</v>
      </c>
      <c r="Q6" s="211">
        <v>144</v>
      </c>
      <c r="R6" s="130">
        <v>9</v>
      </c>
      <c r="S6" s="211">
        <v>579</v>
      </c>
      <c r="T6" s="130">
        <v>5</v>
      </c>
      <c r="U6" s="211">
        <v>415.8</v>
      </c>
      <c r="V6" s="211"/>
      <c r="W6" s="211"/>
      <c r="X6" s="130">
        <v>4</v>
      </c>
      <c r="Y6" s="211">
        <v>129</v>
      </c>
      <c r="Z6" s="130">
        <v>4</v>
      </c>
      <c r="AA6" s="211">
        <v>240</v>
      </c>
      <c r="AB6" s="131">
        <f>SUM(B6,F6,H6,J6,L6,N6,R6,X6,Z6,P6,T6)</f>
        <v>56</v>
      </c>
      <c r="AC6" s="486">
        <f>SUM(C6,G6,I6,K6,M6,O6,S6,Y6,AA6,Q6,U6)</f>
        <v>2602</v>
      </c>
      <c r="AD6"/>
      <c r="AE6"/>
      <c r="AF6"/>
      <c r="AG6"/>
      <c r="AH6"/>
      <c r="AI6"/>
      <c r="AJ6"/>
      <c r="AK6"/>
      <c r="AL6"/>
      <c r="AM6"/>
      <c r="AN6"/>
      <c r="AO6"/>
      <c r="AP6"/>
      <c r="AQ6"/>
      <c r="AR6"/>
      <c r="AS6"/>
      <c r="AT6"/>
      <c r="AU6"/>
      <c r="AV6"/>
      <c r="AW6"/>
      <c r="AX6"/>
      <c r="AY6"/>
      <c r="AZ6"/>
      <c r="BA6"/>
      <c r="BB6"/>
      <c r="BC6"/>
      <c r="BD6"/>
      <c r="BE6"/>
      <c r="BF6"/>
      <c r="BG6"/>
    </row>
    <row r="7" spans="1:59" s="102" customFormat="1" ht="19.5" customHeight="1">
      <c r="A7" s="103" t="s">
        <v>78</v>
      </c>
      <c r="B7" s="130">
        <v>8</v>
      </c>
      <c r="C7" s="211">
        <v>1901.7</v>
      </c>
      <c r="D7" s="1263"/>
      <c r="E7" s="1263"/>
      <c r="F7" s="211">
        <v>10</v>
      </c>
      <c r="G7" s="211">
        <v>243</v>
      </c>
      <c r="H7" s="102">
        <v>4</v>
      </c>
      <c r="I7" s="102">
        <v>93.5</v>
      </c>
      <c r="J7" s="102">
        <v>4</v>
      </c>
      <c r="K7" s="102">
        <v>253.6</v>
      </c>
      <c r="L7" s="102">
        <v>7</v>
      </c>
      <c r="M7" s="102">
        <v>178.1</v>
      </c>
      <c r="N7" s="815">
        <v>3</v>
      </c>
      <c r="O7" s="211">
        <v>135.3</v>
      </c>
      <c r="P7" s="130">
        <v>8</v>
      </c>
      <c r="Q7" s="211">
        <v>380</v>
      </c>
      <c r="R7" s="130">
        <v>9</v>
      </c>
      <c r="S7" s="211">
        <v>578.6</v>
      </c>
      <c r="T7" s="130">
        <v>7</v>
      </c>
      <c r="U7" s="1193">
        <v>326.2</v>
      </c>
      <c r="V7" s="211"/>
      <c r="W7" s="1193">
        <v>1102.5</v>
      </c>
      <c r="X7" s="130">
        <v>6</v>
      </c>
      <c r="Y7" s="211">
        <v>198.6</v>
      </c>
      <c r="Z7" s="130">
        <v>3</v>
      </c>
      <c r="AA7" s="211">
        <v>235.9</v>
      </c>
      <c r="AB7" s="131">
        <f>SUM(B7,F7,H7,J7,L7,N7,R7,X7,Z7,P7,T7)</f>
        <v>69</v>
      </c>
      <c r="AC7" s="486">
        <f>SUM(C7,G7,I7,K7,M7,O7,W7,S7,Y7,AA7,Q7,U7)</f>
        <v>5627</v>
      </c>
      <c r="AD7"/>
      <c r="AE7"/>
      <c r="AF7"/>
      <c r="AG7"/>
      <c r="AH7"/>
      <c r="AI7"/>
      <c r="AJ7"/>
      <c r="AK7"/>
      <c r="AL7"/>
      <c r="AM7"/>
      <c r="AN7"/>
      <c r="AO7"/>
      <c r="AP7"/>
      <c r="AQ7"/>
      <c r="AR7"/>
      <c r="AS7"/>
      <c r="AT7"/>
      <c r="AU7"/>
      <c r="AV7"/>
      <c r="AW7"/>
      <c r="AX7"/>
      <c r="AY7"/>
      <c r="AZ7"/>
      <c r="BA7"/>
      <c r="BB7"/>
      <c r="BC7"/>
      <c r="BD7"/>
      <c r="BE7"/>
      <c r="BF7"/>
      <c r="BG7"/>
    </row>
    <row r="8" spans="1:59" s="102" customFormat="1" ht="19.5" customHeight="1">
      <c r="A8" s="104" t="s">
        <v>79</v>
      </c>
      <c r="B8" s="219">
        <v>3</v>
      </c>
      <c r="C8" s="1192">
        <v>407.3</v>
      </c>
      <c r="D8" s="1264"/>
      <c r="E8" s="1264"/>
      <c r="F8" s="816">
        <v>10</v>
      </c>
      <c r="G8" s="220">
        <v>237.4</v>
      </c>
      <c r="H8" s="951">
        <v>4</v>
      </c>
      <c r="I8" s="951">
        <v>87.5</v>
      </c>
      <c r="J8" s="951">
        <v>2</v>
      </c>
      <c r="K8" s="951">
        <v>128.6</v>
      </c>
      <c r="L8" s="951">
        <v>2</v>
      </c>
      <c r="M8" s="951">
        <v>50.9</v>
      </c>
      <c r="N8" s="816">
        <v>1</v>
      </c>
      <c r="O8" s="220">
        <v>45.1</v>
      </c>
      <c r="P8" s="219">
        <v>2</v>
      </c>
      <c r="Q8" s="220">
        <v>96.6</v>
      </c>
      <c r="R8" s="219"/>
      <c r="S8" s="220"/>
      <c r="T8" s="219">
        <v>2</v>
      </c>
      <c r="U8" s="220">
        <v>74</v>
      </c>
      <c r="V8" s="220"/>
      <c r="W8" s="220"/>
      <c r="X8" s="219">
        <v>8</v>
      </c>
      <c r="Y8" s="220">
        <v>266.8</v>
      </c>
      <c r="Z8" s="219">
        <v>4</v>
      </c>
      <c r="AA8" s="220">
        <v>343.4</v>
      </c>
      <c r="AB8" s="131">
        <f>SUM(B8,F8,H8,J8,L8,N8,R8,X8,Z8,P8,T8)</f>
        <v>38</v>
      </c>
      <c r="AC8" s="486">
        <f>SUM(C8,G8,I8,K8,M8,O8,S8,Y8,AA8,Q8,U8)</f>
        <v>1737.6</v>
      </c>
      <c r="AD8"/>
      <c r="AE8"/>
      <c r="AF8"/>
      <c r="AG8"/>
      <c r="AH8"/>
      <c r="AI8"/>
      <c r="AJ8"/>
      <c r="AK8"/>
      <c r="AL8"/>
      <c r="AM8"/>
      <c r="AN8"/>
      <c r="AO8"/>
      <c r="AP8"/>
      <c r="AQ8"/>
      <c r="AR8"/>
      <c r="AS8"/>
      <c r="AT8"/>
      <c r="AU8"/>
      <c r="AV8"/>
      <c r="AW8"/>
      <c r="AX8"/>
      <c r="AY8"/>
      <c r="AZ8"/>
      <c r="BA8"/>
      <c r="BB8"/>
      <c r="BC8"/>
      <c r="BD8"/>
      <c r="BE8"/>
      <c r="BF8"/>
      <c r="BG8"/>
    </row>
    <row r="9" spans="1:59" s="102" customFormat="1" ht="23.25" customHeight="1">
      <c r="A9" s="958" t="s">
        <v>15</v>
      </c>
      <c r="B9" s="937"/>
      <c r="C9" s="938"/>
      <c r="D9" s="1265"/>
      <c r="E9" s="1265"/>
      <c r="F9" s="965"/>
      <c r="G9" s="965"/>
      <c r="H9" s="959"/>
      <c r="I9" s="959"/>
      <c r="J9" s="959"/>
      <c r="K9" s="959"/>
      <c r="L9" s="959"/>
      <c r="M9" s="959"/>
      <c r="N9" s="938"/>
      <c r="O9" s="938"/>
      <c r="P9" s="937"/>
      <c r="Q9" s="938"/>
      <c r="R9" s="937"/>
      <c r="S9" s="938"/>
      <c r="T9" s="937"/>
      <c r="U9" s="938"/>
      <c r="V9" s="938"/>
      <c r="W9" s="938"/>
      <c r="X9" s="937"/>
      <c r="Y9" s="938"/>
      <c r="Z9" s="937"/>
      <c r="AA9" s="938"/>
      <c r="AB9" s="945"/>
      <c r="AC9" s="960"/>
      <c r="AD9"/>
      <c r="AE9"/>
      <c r="AF9"/>
      <c r="AG9"/>
      <c r="AH9"/>
      <c r="AI9"/>
      <c r="AJ9"/>
      <c r="AK9"/>
      <c r="AL9"/>
      <c r="AM9"/>
      <c r="AN9"/>
      <c r="AO9"/>
      <c r="AP9"/>
      <c r="AQ9"/>
      <c r="AR9"/>
      <c r="AS9"/>
      <c r="AT9"/>
      <c r="AU9"/>
      <c r="AV9"/>
      <c r="AW9"/>
      <c r="AX9"/>
      <c r="AY9"/>
      <c r="AZ9"/>
      <c r="BA9"/>
      <c r="BB9"/>
      <c r="BC9"/>
      <c r="BD9"/>
      <c r="BE9"/>
      <c r="BF9"/>
      <c r="BG9"/>
    </row>
    <row r="10" spans="1:59" s="102" customFormat="1" ht="19.5" customHeight="1">
      <c r="A10" s="103" t="s">
        <v>412</v>
      </c>
      <c r="B10" s="130"/>
      <c r="C10" s="211"/>
      <c r="D10" s="1263"/>
      <c r="E10" s="1263"/>
      <c r="F10" s="211"/>
      <c r="G10" s="211"/>
      <c r="N10" s="211"/>
      <c r="O10" s="211"/>
      <c r="P10" s="130"/>
      <c r="Q10" s="211"/>
      <c r="R10" s="130">
        <v>10</v>
      </c>
      <c r="S10" s="211">
        <v>48.7</v>
      </c>
      <c r="T10" s="130"/>
      <c r="U10" s="211"/>
      <c r="V10" s="211"/>
      <c r="W10" s="211"/>
      <c r="X10" s="130"/>
      <c r="Y10" s="211"/>
      <c r="Z10" s="130"/>
      <c r="AA10" s="211"/>
      <c r="AB10" s="131">
        <f aca="true" t="shared" si="0" ref="AB10:AC14">SUM(B10,F10,H10,J10,L10,N10,R10,X10,Z10,P10,T10)</f>
        <v>10</v>
      </c>
      <c r="AC10" s="486">
        <f t="shared" si="0"/>
        <v>48.7</v>
      </c>
      <c r="AD10"/>
      <c r="AE10"/>
      <c r="AF10"/>
      <c r="AG10"/>
      <c r="AH10"/>
      <c r="AI10"/>
      <c r="AJ10"/>
      <c r="AK10"/>
      <c r="AL10"/>
      <c r="AM10"/>
      <c r="AN10"/>
      <c r="AO10"/>
      <c r="AP10"/>
      <c r="AQ10"/>
      <c r="AR10"/>
      <c r="AS10"/>
      <c r="AT10"/>
      <c r="AU10"/>
      <c r="AV10"/>
      <c r="AW10"/>
      <c r="AX10"/>
      <c r="AY10"/>
      <c r="AZ10"/>
      <c r="BA10"/>
      <c r="BB10"/>
      <c r="BC10"/>
      <c r="BD10"/>
      <c r="BE10"/>
      <c r="BF10"/>
      <c r="BG10"/>
    </row>
    <row r="11" spans="1:59" s="102" customFormat="1" ht="23.25" customHeight="1">
      <c r="A11" s="103" t="s">
        <v>84</v>
      </c>
      <c r="B11" s="129"/>
      <c r="C11" s="212"/>
      <c r="D11" s="1265"/>
      <c r="E11" s="1265"/>
      <c r="F11" s="212"/>
      <c r="G11" s="212"/>
      <c r="N11" s="212"/>
      <c r="O11" s="212"/>
      <c r="P11" s="129"/>
      <c r="Q11" s="212"/>
      <c r="R11" s="129">
        <v>4</v>
      </c>
      <c r="S11" s="212">
        <v>188</v>
      </c>
      <c r="T11" s="129">
        <v>6</v>
      </c>
      <c r="U11" s="212">
        <v>244.4</v>
      </c>
      <c r="V11" s="212"/>
      <c r="W11" s="212"/>
      <c r="X11" s="129"/>
      <c r="Y11" s="212"/>
      <c r="Z11" s="129">
        <v>2</v>
      </c>
      <c r="AA11" s="212">
        <v>228</v>
      </c>
      <c r="AB11" s="131">
        <f t="shared" si="0"/>
        <v>12</v>
      </c>
      <c r="AC11" s="486">
        <f t="shared" si="0"/>
        <v>660.4</v>
      </c>
      <c r="AD11"/>
      <c r="AE11"/>
      <c r="AF11"/>
      <c r="AG11"/>
      <c r="AH11"/>
      <c r="AI11"/>
      <c r="AJ11"/>
      <c r="AK11"/>
      <c r="AL11"/>
      <c r="AM11"/>
      <c r="AN11"/>
      <c r="AO11"/>
      <c r="AP11"/>
      <c r="AQ11"/>
      <c r="AR11"/>
      <c r="AS11"/>
      <c r="AT11"/>
      <c r="AU11"/>
      <c r="AV11"/>
      <c r="AW11"/>
      <c r="AX11"/>
      <c r="AY11"/>
      <c r="AZ11"/>
      <c r="BA11"/>
      <c r="BB11"/>
      <c r="BC11"/>
      <c r="BD11"/>
      <c r="BE11"/>
      <c r="BF11"/>
      <c r="BG11"/>
    </row>
    <row r="12" spans="1:59" s="102" customFormat="1" ht="19.5" customHeight="1">
      <c r="A12" s="103" t="s">
        <v>105</v>
      </c>
      <c r="B12" s="130"/>
      <c r="C12" s="211"/>
      <c r="D12" s="1263"/>
      <c r="E12" s="1263"/>
      <c r="F12" s="211"/>
      <c r="G12" s="211"/>
      <c r="N12" s="211"/>
      <c r="O12" s="211"/>
      <c r="P12" s="130"/>
      <c r="Q12" s="211"/>
      <c r="R12" s="130">
        <v>4</v>
      </c>
      <c r="S12" s="211">
        <v>188</v>
      </c>
      <c r="T12" s="130"/>
      <c r="U12" s="211"/>
      <c r="V12" s="211"/>
      <c r="W12" s="211"/>
      <c r="X12" s="130">
        <v>2</v>
      </c>
      <c r="Y12" s="211">
        <v>59.6</v>
      </c>
      <c r="Z12" s="130">
        <v>2</v>
      </c>
      <c r="AA12" s="211">
        <v>214</v>
      </c>
      <c r="AB12" s="131">
        <f t="shared" si="0"/>
        <v>8</v>
      </c>
      <c r="AC12" s="486">
        <f t="shared" si="0"/>
        <v>461.6</v>
      </c>
      <c r="AD12"/>
      <c r="AE12"/>
      <c r="AF12"/>
      <c r="AG12"/>
      <c r="AH12"/>
      <c r="AI12"/>
      <c r="AJ12"/>
      <c r="AK12"/>
      <c r="AL12"/>
      <c r="AM12"/>
      <c r="AN12"/>
      <c r="AO12"/>
      <c r="AP12"/>
      <c r="AQ12"/>
      <c r="AR12"/>
      <c r="AS12"/>
      <c r="AT12"/>
      <c r="AU12"/>
      <c r="AV12"/>
      <c r="AW12"/>
      <c r="AX12"/>
      <c r="AY12"/>
      <c r="AZ12"/>
      <c r="BA12"/>
      <c r="BB12"/>
      <c r="BC12"/>
      <c r="BD12"/>
      <c r="BE12"/>
      <c r="BF12"/>
      <c r="BG12"/>
    </row>
    <row r="13" spans="1:59" s="102" customFormat="1" ht="19.5" customHeight="1">
      <c r="A13" s="103" t="s">
        <v>85</v>
      </c>
      <c r="B13" s="130"/>
      <c r="C13" s="211"/>
      <c r="D13" s="1263"/>
      <c r="E13" s="1263"/>
      <c r="F13" s="211"/>
      <c r="G13" s="211"/>
      <c r="H13" s="102">
        <v>3</v>
      </c>
      <c r="I13" s="102">
        <v>142.5</v>
      </c>
      <c r="N13" s="815">
        <v>2</v>
      </c>
      <c r="O13" s="211">
        <v>90.2</v>
      </c>
      <c r="P13" s="130"/>
      <c r="Q13" s="211"/>
      <c r="R13" s="130">
        <v>2</v>
      </c>
      <c r="S13" s="211">
        <v>95</v>
      </c>
      <c r="T13" s="130"/>
      <c r="U13" s="211"/>
      <c r="V13" s="211"/>
      <c r="W13" s="211"/>
      <c r="X13" s="130">
        <v>4</v>
      </c>
      <c r="Y13" s="211">
        <v>169.2</v>
      </c>
      <c r="Z13" s="130"/>
      <c r="AA13" s="211"/>
      <c r="AB13" s="131">
        <f t="shared" si="0"/>
        <v>11</v>
      </c>
      <c r="AC13" s="486">
        <f t="shared" si="0"/>
        <v>496.9</v>
      </c>
      <c r="AD13"/>
      <c r="AE13"/>
      <c r="AF13"/>
      <c r="AG13"/>
      <c r="AH13"/>
      <c r="AI13"/>
      <c r="AJ13"/>
      <c r="AK13"/>
      <c r="AL13"/>
      <c r="AM13"/>
      <c r="AN13"/>
      <c r="AO13"/>
      <c r="AP13"/>
      <c r="AQ13"/>
      <c r="AR13"/>
      <c r="AS13"/>
      <c r="AT13"/>
      <c r="AU13"/>
      <c r="AV13"/>
      <c r="AW13"/>
      <c r="AX13"/>
      <c r="AY13"/>
      <c r="AZ13"/>
      <c r="BA13"/>
      <c r="BB13"/>
      <c r="BC13"/>
      <c r="BD13"/>
      <c r="BE13"/>
      <c r="BF13"/>
      <c r="BG13"/>
    </row>
    <row r="14" spans="1:59" s="102" customFormat="1" ht="19.5" customHeight="1">
      <c r="A14" s="104" t="s">
        <v>80</v>
      </c>
      <c r="B14" s="219"/>
      <c r="C14" s="220"/>
      <c r="D14" s="1264"/>
      <c r="E14" s="1264"/>
      <c r="F14" s="220"/>
      <c r="G14" s="220"/>
      <c r="H14" s="951">
        <v>3</v>
      </c>
      <c r="I14" s="951">
        <v>38.1</v>
      </c>
      <c r="J14" s="951"/>
      <c r="K14" s="951"/>
      <c r="L14" s="951"/>
      <c r="M14" s="951"/>
      <c r="N14" s="220"/>
      <c r="O14" s="220"/>
      <c r="P14" s="219"/>
      <c r="Q14" s="220"/>
      <c r="R14" s="219"/>
      <c r="S14" s="220"/>
      <c r="T14" s="219">
        <v>2</v>
      </c>
      <c r="U14" s="220">
        <v>77.3</v>
      </c>
      <c r="V14" s="220"/>
      <c r="W14" s="220"/>
      <c r="X14" s="219"/>
      <c r="Y14" s="220"/>
      <c r="Z14" s="219">
        <v>13</v>
      </c>
      <c r="AA14" s="220">
        <v>432.4</v>
      </c>
      <c r="AB14" s="131">
        <f t="shared" si="0"/>
        <v>18</v>
      </c>
      <c r="AC14" s="486">
        <f t="shared" si="0"/>
        <v>547.8</v>
      </c>
      <c r="AD14"/>
      <c r="AE14"/>
      <c r="AF14"/>
      <c r="AG14"/>
      <c r="AH14"/>
      <c r="AI14"/>
      <c r="AJ14"/>
      <c r="AK14"/>
      <c r="AL14"/>
      <c r="AM14"/>
      <c r="AN14"/>
      <c r="AO14"/>
      <c r="AP14"/>
      <c r="AQ14"/>
      <c r="AR14"/>
      <c r="AS14"/>
      <c r="AT14"/>
      <c r="AU14"/>
      <c r="AV14"/>
      <c r="AW14"/>
      <c r="AX14"/>
      <c r="AY14"/>
      <c r="AZ14"/>
      <c r="BA14"/>
      <c r="BB14"/>
      <c r="BC14"/>
      <c r="BD14"/>
      <c r="BE14"/>
      <c r="BF14"/>
      <c r="BG14"/>
    </row>
    <row r="15" spans="1:59" s="102" customFormat="1" ht="19.5" customHeight="1">
      <c r="A15" s="961" t="s">
        <v>20</v>
      </c>
      <c r="B15" s="962"/>
      <c r="C15" s="963"/>
      <c r="D15" s="1263"/>
      <c r="E15" s="1263"/>
      <c r="F15" s="963"/>
      <c r="G15" s="963"/>
      <c r="H15" s="959"/>
      <c r="I15" s="959"/>
      <c r="J15" s="959"/>
      <c r="K15" s="959"/>
      <c r="L15" s="959"/>
      <c r="M15" s="959"/>
      <c r="N15" s="963"/>
      <c r="O15" s="963"/>
      <c r="P15" s="962"/>
      <c r="Q15" s="963"/>
      <c r="R15" s="962"/>
      <c r="S15" s="963"/>
      <c r="T15" s="962"/>
      <c r="U15" s="963"/>
      <c r="V15" s="963"/>
      <c r="W15" s="963"/>
      <c r="X15" s="962"/>
      <c r="Y15" s="963"/>
      <c r="Z15" s="962"/>
      <c r="AA15" s="963"/>
      <c r="AB15" s="939"/>
      <c r="AC15" s="940"/>
      <c r="AD15"/>
      <c r="AE15"/>
      <c r="AF15"/>
      <c r="AG15"/>
      <c r="AH15"/>
      <c r="AI15"/>
      <c r="AJ15"/>
      <c r="AK15"/>
      <c r="AL15"/>
      <c r="AM15"/>
      <c r="AN15"/>
      <c r="AO15"/>
      <c r="AP15"/>
      <c r="AQ15"/>
      <c r="AR15"/>
      <c r="AS15"/>
      <c r="AT15"/>
      <c r="AU15"/>
      <c r="AV15"/>
      <c r="AW15"/>
      <c r="AX15"/>
      <c r="AY15"/>
      <c r="AZ15"/>
      <c r="BA15"/>
      <c r="BB15"/>
      <c r="BC15"/>
      <c r="BD15"/>
      <c r="BE15"/>
      <c r="BF15"/>
      <c r="BG15"/>
    </row>
    <row r="16" spans="1:59" s="102" customFormat="1" ht="19.5" customHeight="1">
      <c r="A16" s="103" t="s">
        <v>83</v>
      </c>
      <c r="B16" s="130"/>
      <c r="C16" s="211"/>
      <c r="D16" s="1263"/>
      <c r="E16" s="1263"/>
      <c r="F16" s="211"/>
      <c r="G16" s="211"/>
      <c r="N16" s="211"/>
      <c r="O16" s="211"/>
      <c r="P16" s="130"/>
      <c r="Q16" s="211"/>
      <c r="T16" s="130">
        <v>3</v>
      </c>
      <c r="U16" s="211">
        <v>198.3</v>
      </c>
      <c r="V16" s="211"/>
      <c r="W16" s="211"/>
      <c r="X16" s="130"/>
      <c r="Y16" s="211"/>
      <c r="Z16" s="130"/>
      <c r="AA16" s="211"/>
      <c r="AB16" s="131">
        <f>SUM(B16,F16,H16,J16,L16,N16,R16,X16,Z16,P16,T16)</f>
        <v>3</v>
      </c>
      <c r="AC16" s="486">
        <f>SUM(C16,G16,I16,K16,M16,O16,S16,Y16,AA16,Q16,U16)</f>
        <v>198.3</v>
      </c>
      <c r="AD16"/>
      <c r="AE16"/>
      <c r="AF16"/>
      <c r="AG16"/>
      <c r="AH16"/>
      <c r="AI16"/>
      <c r="AJ16"/>
      <c r="AK16"/>
      <c r="AL16"/>
      <c r="AM16"/>
      <c r="AN16"/>
      <c r="AO16"/>
      <c r="AP16"/>
      <c r="AQ16"/>
      <c r="AR16"/>
      <c r="AS16"/>
      <c r="AT16"/>
      <c r="AU16"/>
      <c r="AV16"/>
      <c r="AW16"/>
      <c r="AX16"/>
      <c r="AY16"/>
      <c r="AZ16"/>
      <c r="BA16"/>
      <c r="BB16"/>
      <c r="BC16"/>
      <c r="BD16"/>
      <c r="BE16"/>
      <c r="BF16"/>
      <c r="BG16"/>
    </row>
    <row r="17" spans="1:59" s="102" customFormat="1" ht="19.5" customHeight="1">
      <c r="A17" s="104" t="s">
        <v>467</v>
      </c>
      <c r="B17" s="219"/>
      <c r="C17" s="220"/>
      <c r="D17" s="1264"/>
      <c r="E17" s="1264"/>
      <c r="F17" s="220"/>
      <c r="G17" s="220"/>
      <c r="H17" s="951"/>
      <c r="I17" s="951"/>
      <c r="J17" s="951"/>
      <c r="K17" s="951"/>
      <c r="L17" s="951"/>
      <c r="M17" s="951"/>
      <c r="N17" s="220"/>
      <c r="O17" s="220"/>
      <c r="P17" s="219"/>
      <c r="Q17" s="220"/>
      <c r="R17" s="219"/>
      <c r="S17" s="220"/>
      <c r="T17" s="219">
        <v>3</v>
      </c>
      <c r="U17" s="220">
        <v>197.7</v>
      </c>
      <c r="V17" s="220"/>
      <c r="W17" s="220"/>
      <c r="X17" s="219"/>
      <c r="Y17" s="220"/>
      <c r="Z17" s="219"/>
      <c r="AA17" s="220"/>
      <c r="AB17" s="131">
        <f>SUM(B17,F17,H17,J17,L17,N17,R17,X17,Z17,P17,T17)</f>
        <v>3</v>
      </c>
      <c r="AC17" s="486">
        <f>SUM(C17,G17,I17,K17,M17,O17,S17,Y17,AA17,Q17,U17)</f>
        <v>197.7</v>
      </c>
      <c r="AD17"/>
      <c r="AE17"/>
      <c r="AF17"/>
      <c r="AG17"/>
      <c r="AH17"/>
      <c r="AI17"/>
      <c r="AJ17"/>
      <c r="AK17"/>
      <c r="AL17"/>
      <c r="AM17"/>
      <c r="AN17"/>
      <c r="AO17"/>
      <c r="AP17"/>
      <c r="AQ17"/>
      <c r="AR17"/>
      <c r="AS17"/>
      <c r="AT17"/>
      <c r="AU17"/>
      <c r="AV17"/>
      <c r="AW17"/>
      <c r="AX17"/>
      <c r="AY17"/>
      <c r="AZ17"/>
      <c r="BA17"/>
      <c r="BB17"/>
      <c r="BC17"/>
      <c r="BD17"/>
      <c r="BE17"/>
      <c r="BF17"/>
      <c r="BG17"/>
    </row>
    <row r="18" spans="1:59" s="102" customFormat="1" ht="23.25" customHeight="1">
      <c r="A18" s="961" t="s">
        <v>23</v>
      </c>
      <c r="B18" s="964"/>
      <c r="C18" s="965"/>
      <c r="D18" s="1265"/>
      <c r="E18" s="1265"/>
      <c r="F18" s="965"/>
      <c r="G18" s="965"/>
      <c r="H18" s="959"/>
      <c r="I18" s="959"/>
      <c r="J18" s="959"/>
      <c r="K18" s="959"/>
      <c r="L18" s="959"/>
      <c r="M18" s="959"/>
      <c r="N18" s="965"/>
      <c r="O18" s="965"/>
      <c r="P18" s="964"/>
      <c r="Q18" s="965"/>
      <c r="R18" s="964"/>
      <c r="S18" s="965"/>
      <c r="T18" s="964"/>
      <c r="U18" s="965"/>
      <c r="V18" s="965"/>
      <c r="W18" s="965"/>
      <c r="X18" s="964"/>
      <c r="Y18" s="965"/>
      <c r="Z18" s="964"/>
      <c r="AA18" s="965"/>
      <c r="AB18" s="939"/>
      <c r="AC18" s="966"/>
      <c r="AD18"/>
      <c r="AE18"/>
      <c r="AF18"/>
      <c r="AG18"/>
      <c r="AH18"/>
      <c r="AI18"/>
      <c r="AJ18"/>
      <c r="AK18"/>
      <c r="AL18"/>
      <c r="AM18"/>
      <c r="AN18"/>
      <c r="AO18"/>
      <c r="AP18"/>
      <c r="AQ18"/>
      <c r="AR18"/>
      <c r="AS18"/>
      <c r="AT18"/>
      <c r="AU18"/>
      <c r="AV18"/>
      <c r="AW18"/>
      <c r="AX18"/>
      <c r="AY18"/>
      <c r="AZ18"/>
      <c r="BA18"/>
      <c r="BB18"/>
      <c r="BC18"/>
      <c r="BD18"/>
      <c r="BE18"/>
      <c r="BF18"/>
      <c r="BG18"/>
    </row>
    <row r="19" spans="1:59" s="102" customFormat="1" ht="23.25" customHeight="1">
      <c r="A19" s="103" t="s">
        <v>222</v>
      </c>
      <c r="B19" s="129"/>
      <c r="C19" s="212"/>
      <c r="D19" s="1265"/>
      <c r="E19" s="1265"/>
      <c r="F19" s="212"/>
      <c r="G19" s="212"/>
      <c r="P19" s="129"/>
      <c r="Q19" s="212"/>
      <c r="R19" s="129"/>
      <c r="S19" s="212"/>
      <c r="T19" s="129">
        <v>2</v>
      </c>
      <c r="U19" s="212">
        <v>35.4</v>
      </c>
      <c r="V19" s="212"/>
      <c r="W19" s="212"/>
      <c r="X19" s="129"/>
      <c r="Y19" s="212"/>
      <c r="Z19" s="129"/>
      <c r="AA19" s="212"/>
      <c r="AB19" s="131">
        <f aca="true" t="shared" si="1" ref="AB19:AC25">SUM(B19,F19,H19,J19,L19,N19,R19,X19,Z19,P19,T19)</f>
        <v>2</v>
      </c>
      <c r="AC19" s="486">
        <f t="shared" si="1"/>
        <v>35.4</v>
      </c>
      <c r="AD19"/>
      <c r="AE19"/>
      <c r="AF19"/>
      <c r="AG19"/>
      <c r="AH19"/>
      <c r="AI19"/>
      <c r="AJ19"/>
      <c r="AK19"/>
      <c r="AL19"/>
      <c r="AM19"/>
      <c r="AN19"/>
      <c r="AO19"/>
      <c r="AP19"/>
      <c r="AQ19"/>
      <c r="AR19"/>
      <c r="AS19"/>
      <c r="AT19"/>
      <c r="AU19"/>
      <c r="AV19"/>
      <c r="AW19"/>
      <c r="AX19"/>
      <c r="AY19"/>
      <c r="AZ19"/>
      <c r="BA19"/>
      <c r="BB19"/>
      <c r="BC19"/>
      <c r="BD19"/>
      <c r="BE19"/>
      <c r="BF19"/>
      <c r="BG19"/>
    </row>
    <row r="20" spans="1:59" s="102" customFormat="1" ht="23.25" customHeight="1">
      <c r="A20" s="103" t="s">
        <v>86</v>
      </c>
      <c r="B20" s="129"/>
      <c r="C20" s="212"/>
      <c r="D20" s="1265"/>
      <c r="E20" s="1265"/>
      <c r="F20" s="212"/>
      <c r="G20" s="212"/>
      <c r="N20" s="1137">
        <v>2</v>
      </c>
      <c r="O20" s="212">
        <v>90.2</v>
      </c>
      <c r="P20" s="129"/>
      <c r="Q20" s="212"/>
      <c r="R20" s="129"/>
      <c r="S20" s="212"/>
      <c r="T20" s="129">
        <v>4</v>
      </c>
      <c r="U20" s="212">
        <v>167.4</v>
      </c>
      <c r="V20" s="212"/>
      <c r="W20" s="212"/>
      <c r="X20" s="129"/>
      <c r="Y20" s="212"/>
      <c r="Z20" s="129">
        <v>3</v>
      </c>
      <c r="AA20" s="212">
        <v>163.2</v>
      </c>
      <c r="AB20" s="131">
        <f t="shared" si="1"/>
        <v>9</v>
      </c>
      <c r="AC20" s="486">
        <f t="shared" si="1"/>
        <v>420.79999999999995</v>
      </c>
      <c r="AD20"/>
      <c r="AE20"/>
      <c r="AF20"/>
      <c r="AG20"/>
      <c r="AH20"/>
      <c r="AI20"/>
      <c r="AJ20"/>
      <c r="AK20"/>
      <c r="AL20"/>
      <c r="AM20"/>
      <c r="AN20"/>
      <c r="AO20"/>
      <c r="AP20"/>
      <c r="AQ20"/>
      <c r="AR20"/>
      <c r="AS20"/>
      <c r="AT20"/>
      <c r="AU20"/>
      <c r="AV20"/>
      <c r="AW20"/>
      <c r="AX20"/>
      <c r="AY20"/>
      <c r="AZ20"/>
      <c r="BA20"/>
      <c r="BB20"/>
      <c r="BC20"/>
      <c r="BD20"/>
      <c r="BE20"/>
      <c r="BF20"/>
      <c r="BG20"/>
    </row>
    <row r="21" spans="1:59" s="102" customFormat="1" ht="23.25" customHeight="1">
      <c r="A21" s="103" t="s">
        <v>82</v>
      </c>
      <c r="B21" s="129"/>
      <c r="C21" s="212"/>
      <c r="D21" s="1265"/>
      <c r="E21" s="1265"/>
      <c r="F21" s="212"/>
      <c r="G21" s="212"/>
      <c r="N21" s="212">
        <v>2</v>
      </c>
      <c r="O21" s="212">
        <v>90.2</v>
      </c>
      <c r="P21" s="129"/>
      <c r="Q21" s="212"/>
      <c r="R21" s="129"/>
      <c r="S21" s="212"/>
      <c r="T21" s="129">
        <v>4</v>
      </c>
      <c r="U21" s="212">
        <v>175.2</v>
      </c>
      <c r="V21" s="212"/>
      <c r="W21" s="212"/>
      <c r="X21" s="129"/>
      <c r="Y21" s="212"/>
      <c r="Z21" s="129">
        <v>1</v>
      </c>
      <c r="AA21" s="212">
        <v>56.5</v>
      </c>
      <c r="AB21" s="131">
        <f t="shared" si="1"/>
        <v>7</v>
      </c>
      <c r="AC21" s="486">
        <f t="shared" si="1"/>
        <v>321.9</v>
      </c>
      <c r="AD21"/>
      <c r="AE21"/>
      <c r="AF21"/>
      <c r="AG21"/>
      <c r="AH21"/>
      <c r="AI21"/>
      <c r="AJ21"/>
      <c r="AK21"/>
      <c r="AL21"/>
      <c r="AM21"/>
      <c r="AN21"/>
      <c r="AO21"/>
      <c r="AP21"/>
      <c r="AQ21"/>
      <c r="AR21"/>
      <c r="AS21"/>
      <c r="AT21"/>
      <c r="AU21"/>
      <c r="AV21"/>
      <c r="AW21"/>
      <c r="AX21"/>
      <c r="AY21"/>
      <c r="AZ21"/>
      <c r="BA21"/>
      <c r="BB21"/>
      <c r="BC21"/>
      <c r="BD21"/>
      <c r="BE21"/>
      <c r="BF21"/>
      <c r="BG21"/>
    </row>
    <row r="22" spans="1:59" s="102" customFormat="1" ht="22.5" customHeight="1">
      <c r="A22" s="103" t="s">
        <v>413</v>
      </c>
      <c r="B22" s="129"/>
      <c r="C22" s="212"/>
      <c r="D22" s="1265"/>
      <c r="E22" s="1265"/>
      <c r="F22" s="212"/>
      <c r="G22" s="212"/>
      <c r="N22" s="212"/>
      <c r="O22" s="212"/>
      <c r="P22" s="129"/>
      <c r="Q22" s="212"/>
      <c r="R22" s="129"/>
      <c r="S22" s="212"/>
      <c r="T22" s="129"/>
      <c r="U22" s="212"/>
      <c r="V22" s="212"/>
      <c r="W22" s="212"/>
      <c r="X22" s="129"/>
      <c r="Y22" s="212"/>
      <c r="Z22" s="129">
        <v>3</v>
      </c>
      <c r="AA22" s="212">
        <v>169.5</v>
      </c>
      <c r="AB22" s="131">
        <f t="shared" si="1"/>
        <v>3</v>
      </c>
      <c r="AC22" s="486">
        <f t="shared" si="1"/>
        <v>169.5</v>
      </c>
      <c r="AD22"/>
      <c r="AE22"/>
      <c r="AF22"/>
      <c r="AG22"/>
      <c r="AH22"/>
      <c r="AI22"/>
      <c r="AJ22"/>
      <c r="AK22"/>
      <c r="AL22"/>
      <c r="AM22"/>
      <c r="AN22"/>
      <c r="AO22"/>
      <c r="AP22"/>
      <c r="AQ22"/>
      <c r="AR22"/>
      <c r="AS22"/>
      <c r="AT22"/>
      <c r="AU22"/>
      <c r="AV22"/>
      <c r="AW22"/>
      <c r="AX22"/>
      <c r="AY22"/>
      <c r="AZ22"/>
      <c r="BA22"/>
      <c r="BB22"/>
      <c r="BC22"/>
      <c r="BD22"/>
      <c r="BE22"/>
      <c r="BF22"/>
      <c r="BG22"/>
    </row>
    <row r="23" spans="1:59" s="102" customFormat="1" ht="23.25" customHeight="1">
      <c r="A23" s="103" t="s">
        <v>87</v>
      </c>
      <c r="B23" s="129"/>
      <c r="C23" s="212"/>
      <c r="D23" s="1265"/>
      <c r="E23" s="1265"/>
      <c r="F23" s="212"/>
      <c r="G23" s="212"/>
      <c r="N23" s="212">
        <v>3</v>
      </c>
      <c r="O23" s="212">
        <v>135.3</v>
      </c>
      <c r="P23" s="129"/>
      <c r="Q23" s="212"/>
      <c r="R23" s="129"/>
      <c r="S23" s="212"/>
      <c r="T23" s="129">
        <v>2</v>
      </c>
      <c r="U23" s="212">
        <v>83</v>
      </c>
      <c r="V23" s="212"/>
      <c r="W23" s="212"/>
      <c r="X23" s="129"/>
      <c r="Y23" s="212"/>
      <c r="Z23" s="129"/>
      <c r="AA23" s="212"/>
      <c r="AB23" s="131">
        <f t="shared" si="1"/>
        <v>5</v>
      </c>
      <c r="AC23" s="486">
        <f t="shared" si="1"/>
        <v>218.3</v>
      </c>
      <c r="AD23"/>
      <c r="AE23"/>
      <c r="AF23"/>
      <c r="AG23"/>
      <c r="AH23"/>
      <c r="AI23"/>
      <c r="AJ23"/>
      <c r="AK23"/>
      <c r="AL23"/>
      <c r="AM23"/>
      <c r="AN23"/>
      <c r="AO23"/>
      <c r="AP23"/>
      <c r="AQ23"/>
      <c r="AR23"/>
      <c r="AS23"/>
      <c r="AT23"/>
      <c r="AU23"/>
      <c r="AV23"/>
      <c r="AW23"/>
      <c r="AX23"/>
      <c r="AY23"/>
      <c r="AZ23"/>
      <c r="BA23"/>
      <c r="BB23"/>
      <c r="BC23"/>
      <c r="BD23"/>
      <c r="BE23"/>
      <c r="BF23"/>
      <c r="BG23"/>
    </row>
    <row r="24" spans="1:59" s="102" customFormat="1" ht="23.25" customHeight="1">
      <c r="A24" s="103" t="s">
        <v>107</v>
      </c>
      <c r="B24" s="129"/>
      <c r="C24" s="212"/>
      <c r="D24" s="1265"/>
      <c r="E24" s="1265"/>
      <c r="F24" s="212"/>
      <c r="G24" s="212"/>
      <c r="N24" s="212"/>
      <c r="O24" s="212"/>
      <c r="P24" s="129"/>
      <c r="Q24" s="212"/>
      <c r="R24" s="129"/>
      <c r="S24" s="212"/>
      <c r="T24" s="129">
        <v>1</v>
      </c>
      <c r="U24" s="212">
        <v>66</v>
      </c>
      <c r="V24" s="212"/>
      <c r="W24" s="212"/>
      <c r="X24" s="129"/>
      <c r="Y24" s="212"/>
      <c r="Z24" s="129">
        <v>2</v>
      </c>
      <c r="AA24" s="212">
        <v>111.4</v>
      </c>
      <c r="AB24" s="131">
        <f t="shared" si="1"/>
        <v>3</v>
      </c>
      <c r="AC24" s="486">
        <f t="shared" si="1"/>
        <v>177.4</v>
      </c>
      <c r="AD24"/>
      <c r="AE24"/>
      <c r="AF24"/>
      <c r="AG24"/>
      <c r="AH24"/>
      <c r="AI24"/>
      <c r="AJ24"/>
      <c r="AK24"/>
      <c r="AL24"/>
      <c r="AM24"/>
      <c r="AN24"/>
      <c r="AO24"/>
      <c r="AP24"/>
      <c r="AQ24"/>
      <c r="AR24"/>
      <c r="AS24"/>
      <c r="AT24"/>
      <c r="AU24"/>
      <c r="AV24"/>
      <c r="AW24"/>
      <c r="AX24"/>
      <c r="AY24"/>
      <c r="AZ24"/>
      <c r="BA24"/>
      <c r="BB24"/>
      <c r="BC24"/>
      <c r="BD24"/>
      <c r="BE24"/>
      <c r="BF24"/>
      <c r="BG24"/>
    </row>
    <row r="25" spans="1:59" s="102" customFormat="1" ht="20.25" customHeight="1">
      <c r="A25" s="104" t="s">
        <v>88</v>
      </c>
      <c r="B25" s="219"/>
      <c r="C25" s="220"/>
      <c r="D25" s="1264"/>
      <c r="E25" s="1264"/>
      <c r="F25" s="220"/>
      <c r="G25" s="220"/>
      <c r="H25" s="951"/>
      <c r="I25" s="951"/>
      <c r="J25" s="951"/>
      <c r="K25" s="951"/>
      <c r="L25" s="951"/>
      <c r="M25" s="951"/>
      <c r="N25" s="220">
        <v>2</v>
      </c>
      <c r="O25" s="220">
        <v>90.2</v>
      </c>
      <c r="P25" s="219"/>
      <c r="Q25" s="220"/>
      <c r="R25" s="219"/>
      <c r="S25" s="220"/>
      <c r="T25" s="219"/>
      <c r="U25" s="220"/>
      <c r="V25" s="220"/>
      <c r="W25" s="220"/>
      <c r="X25" s="219"/>
      <c r="Y25" s="220"/>
      <c r="Z25" s="219">
        <v>5</v>
      </c>
      <c r="AA25" s="220">
        <v>270</v>
      </c>
      <c r="AB25" s="131">
        <f t="shared" si="1"/>
        <v>7</v>
      </c>
      <c r="AC25" s="486">
        <f t="shared" si="1"/>
        <v>360.2</v>
      </c>
      <c r="AD25"/>
      <c r="AE25"/>
      <c r="AF25"/>
      <c r="AG25"/>
      <c r="AH25"/>
      <c r="AI25"/>
      <c r="AJ25"/>
      <c r="AK25"/>
      <c r="AL25"/>
      <c r="AM25"/>
      <c r="AN25"/>
      <c r="AO25"/>
      <c r="AP25"/>
      <c r="AQ25"/>
      <c r="AR25"/>
      <c r="AS25"/>
      <c r="AT25"/>
      <c r="AU25"/>
      <c r="AV25"/>
      <c r="AW25"/>
      <c r="AX25"/>
      <c r="AY25"/>
      <c r="AZ25"/>
      <c r="BA25"/>
      <c r="BB25"/>
      <c r="BC25"/>
      <c r="BD25"/>
      <c r="BE25"/>
      <c r="BF25"/>
      <c r="BG25"/>
    </row>
    <row r="26" spans="1:59" s="102" customFormat="1" ht="23.25" customHeight="1">
      <c r="A26" s="961" t="s">
        <v>414</v>
      </c>
      <c r="B26" s="962"/>
      <c r="C26" s="963"/>
      <c r="D26" s="1263"/>
      <c r="E26" s="1263"/>
      <c r="F26" s="963"/>
      <c r="G26" s="963"/>
      <c r="H26" s="959"/>
      <c r="I26" s="959"/>
      <c r="J26" s="959"/>
      <c r="K26" s="959"/>
      <c r="L26" s="959"/>
      <c r="M26" s="959"/>
      <c r="N26" s="963"/>
      <c r="O26" s="963"/>
      <c r="P26" s="962"/>
      <c r="Q26" s="963"/>
      <c r="R26" s="962"/>
      <c r="S26" s="963"/>
      <c r="T26" s="962"/>
      <c r="U26" s="963"/>
      <c r="V26" s="963"/>
      <c r="W26" s="963"/>
      <c r="X26" s="962"/>
      <c r="Y26" s="963"/>
      <c r="Z26" s="962"/>
      <c r="AA26" s="963"/>
      <c r="AB26" s="962"/>
      <c r="AC26" s="963"/>
      <c r="AD26"/>
      <c r="AE26"/>
      <c r="AF26"/>
      <c r="AG26"/>
      <c r="AH26"/>
      <c r="AI26"/>
      <c r="AJ26"/>
      <c r="AK26"/>
      <c r="AL26"/>
      <c r="AM26"/>
      <c r="AN26"/>
      <c r="AO26"/>
      <c r="AP26"/>
      <c r="AQ26"/>
      <c r="AR26"/>
      <c r="AS26"/>
      <c r="AT26"/>
      <c r="AU26"/>
      <c r="AV26"/>
      <c r="AW26"/>
      <c r="AX26"/>
      <c r="AY26"/>
      <c r="AZ26"/>
      <c r="BA26"/>
      <c r="BB26"/>
      <c r="BC26"/>
      <c r="BD26"/>
      <c r="BE26"/>
      <c r="BF26"/>
      <c r="BG26"/>
    </row>
    <row r="27" spans="1:59" s="102" customFormat="1" ht="23.25" customHeight="1">
      <c r="A27" s="103" t="s">
        <v>409</v>
      </c>
      <c r="B27" s="130"/>
      <c r="C27" s="211"/>
      <c r="D27" s="1263"/>
      <c r="E27" s="1263"/>
      <c r="F27" s="211"/>
      <c r="G27" s="211"/>
      <c r="N27" s="211"/>
      <c r="O27" s="211"/>
      <c r="P27" s="130"/>
      <c r="Q27" s="211"/>
      <c r="R27" s="130"/>
      <c r="S27" s="211"/>
      <c r="T27" s="130">
        <v>1</v>
      </c>
      <c r="U27" s="211">
        <v>18.2</v>
      </c>
      <c r="V27" s="211"/>
      <c r="W27" s="211"/>
      <c r="X27" s="130"/>
      <c r="Y27" s="211"/>
      <c r="Z27" s="130"/>
      <c r="AA27" s="211"/>
      <c r="AB27" s="131">
        <f>SUM(B27,F27,H27,J27,L27,N27,R27,X27,Z27,P27,T27)</f>
        <v>1</v>
      </c>
      <c r="AC27" s="486">
        <f>SUM(C27,G27,I27,K27,M27,O27,S27,Y27,AA27,Q27,U27)</f>
        <v>18.2</v>
      </c>
      <c r="AD27"/>
      <c r="AE27"/>
      <c r="AF27"/>
      <c r="AG27"/>
      <c r="AH27"/>
      <c r="AI27"/>
      <c r="AJ27"/>
      <c r="AK27"/>
      <c r="AL27"/>
      <c r="AM27"/>
      <c r="AN27"/>
      <c r="AO27"/>
      <c r="AP27"/>
      <c r="AQ27"/>
      <c r="AR27"/>
      <c r="AS27"/>
      <c r="AT27"/>
      <c r="AU27"/>
      <c r="AV27"/>
      <c r="AW27"/>
      <c r="AX27"/>
      <c r="AY27"/>
      <c r="AZ27"/>
      <c r="BA27"/>
      <c r="BB27"/>
      <c r="BC27"/>
      <c r="BD27"/>
      <c r="BE27"/>
      <c r="BF27"/>
      <c r="BG27"/>
    </row>
    <row r="28" spans="1:59" s="102" customFormat="1" ht="23.25" customHeight="1">
      <c r="A28" s="961" t="s">
        <v>677</v>
      </c>
      <c r="B28" s="962"/>
      <c r="C28" s="963"/>
      <c r="D28" s="1263"/>
      <c r="E28" s="1263"/>
      <c r="F28" s="963"/>
      <c r="G28" s="963"/>
      <c r="H28" s="959"/>
      <c r="I28" s="959"/>
      <c r="J28" s="959"/>
      <c r="K28" s="959"/>
      <c r="L28" s="959"/>
      <c r="M28" s="959"/>
      <c r="N28" s="963"/>
      <c r="O28" s="963"/>
      <c r="P28" s="962"/>
      <c r="Q28" s="963"/>
      <c r="R28" s="962"/>
      <c r="S28" s="963"/>
      <c r="T28" s="962"/>
      <c r="U28" s="963"/>
      <c r="V28" s="963"/>
      <c r="W28" s="963"/>
      <c r="X28" s="962"/>
      <c r="Y28" s="963"/>
      <c r="Z28" s="962"/>
      <c r="AA28" s="963"/>
      <c r="AB28" s="962"/>
      <c r="AC28" s="963"/>
      <c r="AD28"/>
      <c r="AE28"/>
      <c r="AF28"/>
      <c r="AG28"/>
      <c r="AH28"/>
      <c r="AI28"/>
      <c r="AJ28"/>
      <c r="AK28"/>
      <c r="AL28"/>
      <c r="AM28"/>
      <c r="AN28"/>
      <c r="AO28"/>
      <c r="AP28"/>
      <c r="AQ28"/>
      <c r="AR28"/>
      <c r="AS28"/>
      <c r="AT28"/>
      <c r="AU28"/>
      <c r="AV28"/>
      <c r="AW28"/>
      <c r="AX28"/>
      <c r="AY28"/>
      <c r="AZ28"/>
      <c r="BA28"/>
      <c r="BB28"/>
      <c r="BC28"/>
      <c r="BD28"/>
      <c r="BE28"/>
      <c r="BF28"/>
      <c r="BG28"/>
    </row>
    <row r="29" spans="1:59" s="102" customFormat="1" ht="23.25" customHeight="1">
      <c r="A29" s="103" t="s">
        <v>678</v>
      </c>
      <c r="B29" s="130"/>
      <c r="C29" s="211"/>
      <c r="D29" s="1263"/>
      <c r="E29" s="1263"/>
      <c r="F29" s="211"/>
      <c r="G29" s="211"/>
      <c r="N29" s="211"/>
      <c r="O29" s="211"/>
      <c r="P29" s="130"/>
      <c r="Q29" s="211"/>
      <c r="R29" s="130"/>
      <c r="S29" s="211"/>
      <c r="T29" s="130">
        <v>2</v>
      </c>
      <c r="U29" s="211">
        <v>80.7</v>
      </c>
      <c r="V29" s="211"/>
      <c r="W29" s="211"/>
      <c r="X29" s="130"/>
      <c r="Y29" s="211"/>
      <c r="Z29" s="130"/>
      <c r="AA29" s="211"/>
      <c r="AB29" s="131">
        <f>SUM(B29,F29,H29,J29,L29,N29,R29,X29,Z29,P29,T29)</f>
        <v>2</v>
      </c>
      <c r="AC29" s="486">
        <f>SUM(C29,G29,I29,K29,M29,O29,S29,Y29,AA29,Q29,U29)</f>
        <v>80.7</v>
      </c>
      <c r="AD29"/>
      <c r="AE29"/>
      <c r="AF29"/>
      <c r="AG29"/>
      <c r="AH29"/>
      <c r="AI29"/>
      <c r="AJ29"/>
      <c r="AK29"/>
      <c r="AL29"/>
      <c r="AM29"/>
      <c r="AN29"/>
      <c r="AO29"/>
      <c r="AP29"/>
      <c r="AQ29"/>
      <c r="AR29"/>
      <c r="AS29"/>
      <c r="AT29"/>
      <c r="AU29"/>
      <c r="AV29"/>
      <c r="AW29"/>
      <c r="AX29"/>
      <c r="AY29"/>
      <c r="AZ29"/>
      <c r="BA29"/>
      <c r="BB29"/>
      <c r="BC29"/>
      <c r="BD29"/>
      <c r="BE29"/>
      <c r="BF29"/>
      <c r="BG29"/>
    </row>
    <row r="30" spans="1:59" s="102" customFormat="1" ht="23.25" customHeight="1">
      <c r="A30" s="961" t="s">
        <v>679</v>
      </c>
      <c r="B30" s="962"/>
      <c r="C30" s="963"/>
      <c r="D30" s="1263"/>
      <c r="E30" s="1263"/>
      <c r="F30" s="963"/>
      <c r="G30" s="963"/>
      <c r="H30" s="959"/>
      <c r="I30" s="959"/>
      <c r="J30" s="959"/>
      <c r="K30" s="959"/>
      <c r="L30" s="959"/>
      <c r="M30" s="959"/>
      <c r="N30" s="963"/>
      <c r="O30" s="963"/>
      <c r="P30" s="962"/>
      <c r="Q30" s="963"/>
      <c r="R30" s="962"/>
      <c r="S30" s="963"/>
      <c r="T30" s="962"/>
      <c r="U30" s="963"/>
      <c r="V30" s="963"/>
      <c r="W30" s="963"/>
      <c r="X30" s="962"/>
      <c r="Y30" s="963"/>
      <c r="Z30" s="962"/>
      <c r="AA30" s="963"/>
      <c r="AB30" s="962"/>
      <c r="AC30" s="963"/>
      <c r="AD30"/>
      <c r="AE30"/>
      <c r="AF30"/>
      <c r="AG30"/>
      <c r="AH30"/>
      <c r="AI30"/>
      <c r="AJ30"/>
      <c r="AK30"/>
      <c r="AL30"/>
      <c r="AM30"/>
      <c r="AN30"/>
      <c r="AO30"/>
      <c r="AP30"/>
      <c r="AQ30"/>
      <c r="AR30"/>
      <c r="AS30"/>
      <c r="AT30"/>
      <c r="AU30"/>
      <c r="AV30"/>
      <c r="AW30"/>
      <c r="AX30"/>
      <c r="AY30"/>
      <c r="AZ30"/>
      <c r="BA30"/>
      <c r="BB30"/>
      <c r="BC30"/>
      <c r="BD30"/>
      <c r="BE30"/>
      <c r="BF30"/>
      <c r="BG30"/>
    </row>
    <row r="31" spans="1:59" s="102" customFormat="1" ht="23.25" customHeight="1">
      <c r="A31" s="10" t="s">
        <v>288</v>
      </c>
      <c r="B31" s="130"/>
      <c r="C31" s="211"/>
      <c r="D31" s="1263"/>
      <c r="E31" s="1263"/>
      <c r="F31" s="211"/>
      <c r="G31" s="211"/>
      <c r="N31" s="211"/>
      <c r="O31" s="211"/>
      <c r="P31" s="130"/>
      <c r="Q31" s="211"/>
      <c r="R31" s="130"/>
      <c r="S31" s="211"/>
      <c r="T31" s="130">
        <v>5</v>
      </c>
      <c r="U31" s="211">
        <v>167.6</v>
      </c>
      <c r="V31" s="211"/>
      <c r="W31" s="211"/>
      <c r="X31" s="130"/>
      <c r="Y31" s="211"/>
      <c r="Z31" s="130"/>
      <c r="AA31" s="211"/>
      <c r="AB31" s="131">
        <f aca="true" t="shared" si="2" ref="AB31:AC33">SUM(B31,F31,H31,J31,L31,N31,R31,X31,Z31,P31,T31)</f>
        <v>5</v>
      </c>
      <c r="AC31" s="486">
        <f t="shared" si="2"/>
        <v>167.6</v>
      </c>
      <c r="AD31"/>
      <c r="AE31"/>
      <c r="AF31"/>
      <c r="AG31"/>
      <c r="AH31"/>
      <c r="AI31"/>
      <c r="AJ31"/>
      <c r="AK31"/>
      <c r="AL31"/>
      <c r="AM31"/>
      <c r="AN31"/>
      <c r="AO31"/>
      <c r="AP31"/>
      <c r="AQ31"/>
      <c r="AR31"/>
      <c r="AS31"/>
      <c r="AT31"/>
      <c r="AU31"/>
      <c r="AV31"/>
      <c r="AW31"/>
      <c r="AX31"/>
      <c r="AY31"/>
      <c r="AZ31"/>
      <c r="BA31"/>
      <c r="BB31"/>
      <c r="BC31"/>
      <c r="BD31"/>
      <c r="BE31"/>
      <c r="BF31"/>
      <c r="BG31"/>
    </row>
    <row r="32" spans="1:59" s="102" customFormat="1" ht="23.25" customHeight="1">
      <c r="A32" s="10" t="s">
        <v>33</v>
      </c>
      <c r="B32" s="130"/>
      <c r="C32" s="211"/>
      <c r="D32" s="1263"/>
      <c r="E32" s="1263"/>
      <c r="F32" s="211"/>
      <c r="G32" s="211"/>
      <c r="N32" s="211"/>
      <c r="O32" s="211"/>
      <c r="P32" s="130"/>
      <c r="Q32" s="211"/>
      <c r="R32" s="130"/>
      <c r="S32" s="211"/>
      <c r="T32" s="130">
        <v>5</v>
      </c>
      <c r="U32" s="211">
        <v>167.6</v>
      </c>
      <c r="V32" s="211"/>
      <c r="W32" s="211"/>
      <c r="X32" s="130"/>
      <c r="Y32" s="211"/>
      <c r="Z32" s="130"/>
      <c r="AA32" s="211"/>
      <c r="AB32" s="131">
        <f t="shared" si="2"/>
        <v>5</v>
      </c>
      <c r="AC32" s="486">
        <f t="shared" si="2"/>
        <v>167.6</v>
      </c>
      <c r="AD32"/>
      <c r="AE32"/>
      <c r="AF32"/>
      <c r="AG32"/>
      <c r="AH32"/>
      <c r="AI32"/>
      <c r="AJ32"/>
      <c r="AK32"/>
      <c r="AL32"/>
      <c r="AM32"/>
      <c r="AN32"/>
      <c r="AO32"/>
      <c r="AP32"/>
      <c r="AQ32"/>
      <c r="AR32"/>
      <c r="AS32"/>
      <c r="AT32"/>
      <c r="AU32"/>
      <c r="AV32"/>
      <c r="AW32"/>
      <c r="AX32"/>
      <c r="AY32"/>
      <c r="AZ32"/>
      <c r="BA32"/>
      <c r="BB32"/>
      <c r="BC32"/>
      <c r="BD32"/>
      <c r="BE32"/>
      <c r="BF32"/>
      <c r="BG32"/>
    </row>
    <row r="33" spans="1:59" s="102" customFormat="1" ht="23.25" customHeight="1">
      <c r="A33" s="10" t="s">
        <v>34</v>
      </c>
      <c r="B33" s="130"/>
      <c r="C33" s="211"/>
      <c r="D33" s="1263"/>
      <c r="E33" s="1263"/>
      <c r="F33" s="211"/>
      <c r="G33" s="211"/>
      <c r="N33" s="211"/>
      <c r="O33" s="211"/>
      <c r="P33" s="130"/>
      <c r="Q33" s="211"/>
      <c r="R33" s="130"/>
      <c r="S33" s="211"/>
      <c r="T33" s="130">
        <v>8</v>
      </c>
      <c r="U33" s="211">
        <v>269.7</v>
      </c>
      <c r="V33" s="211"/>
      <c r="W33" s="211"/>
      <c r="X33" s="130"/>
      <c r="Y33" s="211"/>
      <c r="Z33" s="130"/>
      <c r="AA33" s="211"/>
      <c r="AB33" s="131">
        <f t="shared" si="2"/>
        <v>8</v>
      </c>
      <c r="AC33" s="486">
        <f t="shared" si="2"/>
        <v>269.7</v>
      </c>
      <c r="AD33"/>
      <c r="AE33"/>
      <c r="AF33"/>
      <c r="AG33"/>
      <c r="AH33"/>
      <c r="AI33"/>
      <c r="AJ33"/>
      <c r="AK33"/>
      <c r="AL33"/>
      <c r="AM33"/>
      <c r="AN33"/>
      <c r="AO33"/>
      <c r="AP33"/>
      <c r="AQ33"/>
      <c r="AR33"/>
      <c r="AS33"/>
      <c r="AT33"/>
      <c r="AU33"/>
      <c r="AV33"/>
      <c r="AW33"/>
      <c r="AX33"/>
      <c r="AY33"/>
      <c r="AZ33"/>
      <c r="BA33"/>
      <c r="BB33"/>
      <c r="BC33"/>
      <c r="BD33"/>
      <c r="BE33"/>
      <c r="BF33"/>
      <c r="BG33"/>
    </row>
    <row r="34" spans="1:59" s="102" customFormat="1" ht="23.25" customHeight="1">
      <c r="A34" s="961" t="s">
        <v>681</v>
      </c>
      <c r="B34" s="962"/>
      <c r="C34" s="963"/>
      <c r="D34" s="1263"/>
      <c r="E34" s="1263"/>
      <c r="F34" s="963"/>
      <c r="G34" s="963"/>
      <c r="H34" s="959"/>
      <c r="I34" s="959"/>
      <c r="J34" s="959"/>
      <c r="K34" s="959"/>
      <c r="L34" s="959"/>
      <c r="M34" s="959"/>
      <c r="N34" s="963"/>
      <c r="O34" s="963"/>
      <c r="P34" s="962"/>
      <c r="Q34" s="963"/>
      <c r="R34" s="962"/>
      <c r="S34" s="963"/>
      <c r="T34" s="962"/>
      <c r="U34" s="963"/>
      <c r="V34" s="963"/>
      <c r="W34" s="963"/>
      <c r="X34" s="962"/>
      <c r="Y34" s="963"/>
      <c r="Z34" s="962"/>
      <c r="AA34" s="963"/>
      <c r="AB34" s="962"/>
      <c r="AC34" s="963"/>
      <c r="AD34"/>
      <c r="AE34"/>
      <c r="AF34"/>
      <c r="AG34"/>
      <c r="AH34"/>
      <c r="AI34"/>
      <c r="AJ34"/>
      <c r="AK34"/>
      <c r="AL34"/>
      <c r="AM34"/>
      <c r="AN34"/>
      <c r="AO34"/>
      <c r="AP34"/>
      <c r="AQ34"/>
      <c r="AR34"/>
      <c r="AS34"/>
      <c r="AT34"/>
      <c r="AU34"/>
      <c r="AV34"/>
      <c r="AW34"/>
      <c r="AX34"/>
      <c r="AY34"/>
      <c r="AZ34"/>
      <c r="BA34"/>
      <c r="BB34"/>
      <c r="BC34"/>
      <c r="BD34"/>
      <c r="BE34"/>
      <c r="BF34"/>
      <c r="BG34"/>
    </row>
    <row r="35" spans="1:59" s="102" customFormat="1" ht="23.25" customHeight="1">
      <c r="A35" s="10" t="s">
        <v>351</v>
      </c>
      <c r="B35" s="130"/>
      <c r="C35" s="211"/>
      <c r="D35" s="1263"/>
      <c r="E35" s="1263"/>
      <c r="F35" s="211"/>
      <c r="G35" s="211"/>
      <c r="N35" s="211"/>
      <c r="O35" s="211"/>
      <c r="P35" s="130"/>
      <c r="Q35" s="211"/>
      <c r="R35" s="130"/>
      <c r="S35" s="211"/>
      <c r="T35" s="130">
        <v>2</v>
      </c>
      <c r="U35" s="211">
        <v>69</v>
      </c>
      <c r="V35" s="211"/>
      <c r="W35" s="211"/>
      <c r="X35" s="130"/>
      <c r="Y35" s="211"/>
      <c r="Z35" s="130"/>
      <c r="AA35" s="211"/>
      <c r="AB35" s="131">
        <f>SUM(B35,F35,H35,J35,L35,N35,R35,X35,Z35,P35,T35)</f>
        <v>2</v>
      </c>
      <c r="AC35" s="486">
        <f>SUM(C35,G35,I35,K35,M35,O35,S35,Y35,AA35,Q35,U35)</f>
        <v>69</v>
      </c>
      <c r="AD35"/>
      <c r="AE35"/>
      <c r="AF35"/>
      <c r="AG35"/>
      <c r="AH35"/>
      <c r="AI35"/>
      <c r="AJ35"/>
      <c r="AK35"/>
      <c r="AL35"/>
      <c r="AM35"/>
      <c r="AN35"/>
      <c r="AO35"/>
      <c r="AP35"/>
      <c r="AQ35"/>
      <c r="AR35"/>
      <c r="AS35"/>
      <c r="AT35"/>
      <c r="AU35"/>
      <c r="AV35"/>
      <c r="AW35"/>
      <c r="AX35"/>
      <c r="AY35"/>
      <c r="AZ35"/>
      <c r="BA35"/>
      <c r="BB35"/>
      <c r="BC35"/>
      <c r="BD35"/>
      <c r="BE35"/>
      <c r="BF35"/>
      <c r="BG35"/>
    </row>
    <row r="36" spans="1:59" s="102" customFormat="1" ht="22.5" customHeight="1" thickBot="1">
      <c r="A36" s="967" t="s">
        <v>680</v>
      </c>
      <c r="B36" s="968"/>
      <c r="C36" s="969"/>
      <c r="D36" s="1263"/>
      <c r="E36" s="1263"/>
      <c r="F36" s="963"/>
      <c r="G36" s="963">
        <v>96.2</v>
      </c>
      <c r="H36" s="959">
        <v>4</v>
      </c>
      <c r="I36" s="959">
        <v>47.2</v>
      </c>
      <c r="J36" s="959">
        <v>2</v>
      </c>
      <c r="K36" s="959">
        <v>125</v>
      </c>
      <c r="L36" s="959"/>
      <c r="M36" s="959"/>
      <c r="N36" s="970">
        <v>3</v>
      </c>
      <c r="O36" s="969">
        <v>135.3</v>
      </c>
      <c r="P36" s="968"/>
      <c r="Q36" s="969"/>
      <c r="R36" s="968">
        <v>2</v>
      </c>
      <c r="S36" s="969">
        <f>92+1.7</f>
        <v>93.7</v>
      </c>
      <c r="T36" s="968"/>
      <c r="U36" s="969">
        <f>19.8+82.9</f>
        <v>102.7</v>
      </c>
      <c r="V36" s="969"/>
      <c r="W36" s="969">
        <v>145.8</v>
      </c>
      <c r="X36" s="968"/>
      <c r="Y36" s="959"/>
      <c r="Z36" s="968">
        <v>120</v>
      </c>
      <c r="AA36" s="969">
        <v>162.9</v>
      </c>
      <c r="AB36" s="939">
        <f>SUM(B36,F36,H36,J36,L36,N36,V36,R36,X36,Z36,P36,T36)</f>
        <v>131</v>
      </c>
      <c r="AC36" s="940">
        <f>SUM(C36,G36,I36,K36,M36,O36,W36,S36,Y36,AA36,Q36,U36)</f>
        <v>908.8000000000001</v>
      </c>
      <c r="AD36"/>
      <c r="AE36"/>
      <c r="AF36"/>
      <c r="AG36"/>
      <c r="AH36"/>
      <c r="AI36"/>
      <c r="AJ36"/>
      <c r="AK36"/>
      <c r="AL36"/>
      <c r="AM36"/>
      <c r="AN36"/>
      <c r="AO36"/>
      <c r="AP36"/>
      <c r="AQ36"/>
      <c r="AR36"/>
      <c r="AS36"/>
      <c r="AT36"/>
      <c r="AU36"/>
      <c r="AV36"/>
      <c r="AW36"/>
      <c r="AX36"/>
      <c r="AY36"/>
      <c r="AZ36"/>
      <c r="BA36"/>
      <c r="BB36"/>
      <c r="BC36"/>
      <c r="BD36"/>
      <c r="BE36"/>
      <c r="BF36"/>
      <c r="BG36"/>
    </row>
    <row r="37" spans="1:59" s="102" customFormat="1" ht="23.25" customHeight="1" thickBot="1">
      <c r="A37" s="105" t="s">
        <v>53</v>
      </c>
      <c r="B37" s="106">
        <f aca="true" t="shared" si="3" ref="B37:AC37">SUM(B5:B36)</f>
        <v>17</v>
      </c>
      <c r="C37" s="459">
        <f t="shared" si="3"/>
        <v>2700.5</v>
      </c>
      <c r="D37" s="1266"/>
      <c r="E37" s="1266"/>
      <c r="F37" s="106">
        <f t="shared" si="3"/>
        <v>40</v>
      </c>
      <c r="G37" s="459">
        <f t="shared" si="3"/>
        <v>983.3000000000001</v>
      </c>
      <c r="H37" s="106">
        <f t="shared" si="3"/>
        <v>24</v>
      </c>
      <c r="I37" s="459">
        <f t="shared" si="3"/>
        <v>584</v>
      </c>
      <c r="J37" s="106">
        <f t="shared" si="3"/>
        <v>17</v>
      </c>
      <c r="K37" s="459">
        <f t="shared" si="3"/>
        <v>1078.4</v>
      </c>
      <c r="L37" s="106">
        <f t="shared" si="3"/>
        <v>19</v>
      </c>
      <c r="M37" s="459">
        <f t="shared" si="3"/>
        <v>483.4</v>
      </c>
      <c r="N37" s="106">
        <f t="shared" si="3"/>
        <v>23</v>
      </c>
      <c r="O37" s="459">
        <f t="shared" si="3"/>
        <v>1037.3000000000002</v>
      </c>
      <c r="P37" s="106">
        <f t="shared" si="3"/>
        <v>17</v>
      </c>
      <c r="Q37" s="459">
        <f t="shared" si="3"/>
        <v>811.8000000000001</v>
      </c>
      <c r="R37" s="106">
        <f t="shared" si="3"/>
        <v>49</v>
      </c>
      <c r="S37" s="459">
        <f t="shared" si="3"/>
        <v>2350</v>
      </c>
      <c r="T37" s="106">
        <f t="shared" si="3"/>
        <v>72</v>
      </c>
      <c r="U37" s="459">
        <f t="shared" si="3"/>
        <v>3279.399999999999</v>
      </c>
      <c r="V37" s="106">
        <f t="shared" si="3"/>
        <v>0</v>
      </c>
      <c r="W37" s="459">
        <f t="shared" si="3"/>
        <v>1248.3</v>
      </c>
      <c r="X37" s="106">
        <f t="shared" si="3"/>
        <v>32</v>
      </c>
      <c r="Y37" s="459">
        <f t="shared" si="3"/>
        <v>1076.3999999999999</v>
      </c>
      <c r="Z37" s="106">
        <f t="shared" si="3"/>
        <v>163</v>
      </c>
      <c r="AA37" s="459">
        <f t="shared" si="3"/>
        <v>2638</v>
      </c>
      <c r="AB37" s="106">
        <f t="shared" si="3"/>
        <v>473</v>
      </c>
      <c r="AC37" s="459">
        <f t="shared" si="3"/>
        <v>18270.799999999996</v>
      </c>
      <c r="AD37" s="679"/>
      <c r="AE37"/>
      <c r="AF37"/>
      <c r="AG37"/>
      <c r="AH37"/>
      <c r="AI37"/>
      <c r="AJ37"/>
      <c r="AK37"/>
      <c r="AL37"/>
      <c r="AM37"/>
      <c r="AN37"/>
      <c r="AO37"/>
      <c r="AP37"/>
      <c r="AQ37"/>
      <c r="AR37"/>
      <c r="AS37"/>
      <c r="AT37"/>
      <c r="AU37"/>
      <c r="AV37"/>
      <c r="AW37"/>
      <c r="AX37"/>
      <c r="AY37"/>
      <c r="AZ37"/>
      <c r="BA37"/>
      <c r="BB37"/>
      <c r="BC37"/>
      <c r="BD37"/>
      <c r="BE37"/>
      <c r="BF37"/>
      <c r="BG37"/>
    </row>
    <row r="38" spans="1:29" s="51" customFormat="1" ht="18" customHeight="1">
      <c r="A38" s="51" t="s">
        <v>314</v>
      </c>
      <c r="C38" s="214"/>
      <c r="D38" s="1267"/>
      <c r="E38" s="1267"/>
      <c r="F38" s="214"/>
      <c r="G38" s="214"/>
      <c r="H38" s="214"/>
      <c r="I38" s="214"/>
      <c r="J38" s="214"/>
      <c r="K38" s="214"/>
      <c r="L38" s="214"/>
      <c r="M38" s="214"/>
      <c r="O38" s="214"/>
      <c r="Q38" s="214"/>
      <c r="S38" s="214"/>
      <c r="U38" s="214"/>
      <c r="V38" s="214"/>
      <c r="W38" s="214"/>
      <c r="Y38" s="214"/>
      <c r="AA38" s="214"/>
      <c r="AC38" s="214"/>
    </row>
    <row r="39" spans="3:29" s="51" customFormat="1" ht="15.75" customHeight="1">
      <c r="C39" s="214"/>
      <c r="D39" s="1267"/>
      <c r="E39" s="1267"/>
      <c r="F39" s="214"/>
      <c r="G39" s="214"/>
      <c r="H39" s="214"/>
      <c r="I39" s="214"/>
      <c r="J39" s="214"/>
      <c r="K39" s="214"/>
      <c r="L39" s="214"/>
      <c r="M39" s="214"/>
      <c r="O39" s="214"/>
      <c r="Q39" s="214"/>
      <c r="S39" s="214"/>
      <c r="U39" s="214"/>
      <c r="V39" s="214"/>
      <c r="W39" s="214"/>
      <c r="Y39" s="214"/>
      <c r="AA39" s="214"/>
      <c r="AC39" s="214"/>
    </row>
    <row r="40" spans="3:32" s="51" customFormat="1" ht="15.75" customHeight="1">
      <c r="C40" s="214"/>
      <c r="D40" s="1267"/>
      <c r="E40" s="1267"/>
      <c r="F40" s="214"/>
      <c r="G40" s="214"/>
      <c r="H40" s="214"/>
      <c r="I40" s="214"/>
      <c r="J40" s="214"/>
      <c r="K40" s="214"/>
      <c r="L40" s="214"/>
      <c r="M40" s="214"/>
      <c r="O40" s="214"/>
      <c r="Q40" s="214"/>
      <c r="S40" s="214"/>
      <c r="U40" s="214"/>
      <c r="V40" s="214"/>
      <c r="W40" s="214"/>
      <c r="Y40" s="214"/>
      <c r="AA40" s="214"/>
      <c r="AC40" s="214"/>
      <c r="AD40" s="614"/>
      <c r="AF40" s="171"/>
    </row>
    <row r="41" spans="3:29" s="51" customFormat="1" ht="15.75" customHeight="1">
      <c r="C41" s="214"/>
      <c r="D41" s="1267"/>
      <c r="E41" s="1267"/>
      <c r="F41" s="214"/>
      <c r="G41" s="214"/>
      <c r="H41" s="214"/>
      <c r="I41" s="214"/>
      <c r="J41" s="214"/>
      <c r="K41" s="214"/>
      <c r="L41" s="214"/>
      <c r="M41" s="214"/>
      <c r="O41" s="214"/>
      <c r="Q41" s="214"/>
      <c r="S41" s="214"/>
      <c r="U41" s="214"/>
      <c r="V41" s="214"/>
      <c r="W41" s="214"/>
      <c r="Y41" s="214"/>
      <c r="AA41" s="214"/>
      <c r="AC41" s="214"/>
    </row>
    <row r="42" spans="3:29" s="51" customFormat="1" ht="15.75" customHeight="1">
      <c r="C42" s="214"/>
      <c r="D42" s="1267"/>
      <c r="E42" s="1267"/>
      <c r="F42" s="214"/>
      <c r="G42" s="214"/>
      <c r="H42" s="214"/>
      <c r="I42" s="214"/>
      <c r="J42" s="214"/>
      <c r="K42" s="214"/>
      <c r="L42" s="214"/>
      <c r="M42" s="214"/>
      <c r="O42" s="214"/>
      <c r="Q42" s="214"/>
      <c r="S42" s="214"/>
      <c r="U42" s="214"/>
      <c r="V42" s="214"/>
      <c r="W42" s="214"/>
      <c r="Y42" s="214"/>
      <c r="AA42" s="214"/>
      <c r="AC42" s="214"/>
    </row>
    <row r="43" spans="3:29" s="51" customFormat="1" ht="15.75" customHeight="1">
      <c r="C43" s="214"/>
      <c r="D43" s="1267"/>
      <c r="E43" s="1267"/>
      <c r="F43" s="214"/>
      <c r="G43" s="214"/>
      <c r="H43" s="214"/>
      <c r="I43" s="214"/>
      <c r="J43" s="214"/>
      <c r="K43" s="214"/>
      <c r="L43" s="214"/>
      <c r="M43" s="214"/>
      <c r="O43" s="214"/>
      <c r="Q43" s="214"/>
      <c r="S43" s="214"/>
      <c r="U43" s="214"/>
      <c r="V43" s="214"/>
      <c r="W43" s="214"/>
      <c r="Y43" s="214"/>
      <c r="AA43" s="214"/>
      <c r="AC43" s="214"/>
    </row>
    <row r="44" spans="3:29" s="51" customFormat="1" ht="15.75" customHeight="1">
      <c r="C44" s="214"/>
      <c r="D44" s="1267"/>
      <c r="E44" s="1267"/>
      <c r="F44" s="214"/>
      <c r="G44" s="214"/>
      <c r="H44" s="214"/>
      <c r="I44" s="214"/>
      <c r="J44" s="214"/>
      <c r="K44" s="214"/>
      <c r="L44" s="214"/>
      <c r="M44" s="214"/>
      <c r="O44" s="214"/>
      <c r="Q44" s="214"/>
      <c r="S44" s="214"/>
      <c r="U44" s="214"/>
      <c r="V44" s="214"/>
      <c r="W44" s="214"/>
      <c r="Y44" s="214"/>
      <c r="AA44" s="214"/>
      <c r="AC44" s="214"/>
    </row>
    <row r="45" spans="3:29" s="51" customFormat="1" ht="15.75" customHeight="1">
      <c r="C45" s="214"/>
      <c r="D45" s="1267"/>
      <c r="E45" s="1267"/>
      <c r="F45" s="214"/>
      <c r="G45" s="214"/>
      <c r="H45" s="214"/>
      <c r="I45" s="214"/>
      <c r="J45" s="214"/>
      <c r="K45" s="214"/>
      <c r="L45" s="214"/>
      <c r="M45" s="214"/>
      <c r="O45" s="214"/>
      <c r="Q45" s="214"/>
      <c r="S45" s="214"/>
      <c r="U45" s="214"/>
      <c r="V45" s="214"/>
      <c r="W45" s="214"/>
      <c r="Y45" s="214"/>
      <c r="AA45" s="214"/>
      <c r="AC45" s="214"/>
    </row>
    <row r="46" spans="3:29" s="51" customFormat="1" ht="15.75" customHeight="1">
      <c r="C46" s="214"/>
      <c r="D46" s="1267"/>
      <c r="E46" s="1267"/>
      <c r="F46" s="214"/>
      <c r="G46" s="214"/>
      <c r="H46" s="214"/>
      <c r="I46" s="214"/>
      <c r="J46" s="214"/>
      <c r="K46" s="214"/>
      <c r="L46" s="214"/>
      <c r="M46" s="214"/>
      <c r="O46" s="214"/>
      <c r="Q46" s="214"/>
      <c r="S46" s="214"/>
      <c r="U46" s="214"/>
      <c r="V46" s="214"/>
      <c r="W46" s="214"/>
      <c r="Y46" s="214"/>
      <c r="AA46" s="214"/>
      <c r="AC46" s="214"/>
    </row>
    <row r="47" spans="3:29" s="51" customFormat="1" ht="15.75" customHeight="1">
      <c r="C47" s="214"/>
      <c r="D47" s="1267"/>
      <c r="E47" s="1267"/>
      <c r="F47" s="214"/>
      <c r="G47" s="214"/>
      <c r="H47" s="214"/>
      <c r="I47" s="214"/>
      <c r="J47" s="214"/>
      <c r="K47" s="214"/>
      <c r="L47" s="214"/>
      <c r="M47" s="214"/>
      <c r="O47" s="214"/>
      <c r="Q47" s="214"/>
      <c r="S47" s="214"/>
      <c r="U47" s="214"/>
      <c r="V47" s="214"/>
      <c r="W47" s="214"/>
      <c r="Y47" s="214"/>
      <c r="AA47" s="214"/>
      <c r="AC47" s="214"/>
    </row>
    <row r="48" spans="3:29" s="51" customFormat="1" ht="15.75" customHeight="1">
      <c r="C48" s="214"/>
      <c r="D48" s="1267"/>
      <c r="E48" s="1267"/>
      <c r="F48" s="214"/>
      <c r="G48" s="214"/>
      <c r="H48" s="214"/>
      <c r="I48" s="214"/>
      <c r="J48" s="214"/>
      <c r="K48" s="214"/>
      <c r="L48" s="214"/>
      <c r="M48" s="214"/>
      <c r="O48" s="214"/>
      <c r="Q48" s="214"/>
      <c r="S48" s="214"/>
      <c r="U48" s="214"/>
      <c r="V48" s="214"/>
      <c r="W48" s="214"/>
      <c r="Y48" s="214"/>
      <c r="AA48" s="214"/>
      <c r="AC48" s="214"/>
    </row>
    <row r="49" spans="3:29" s="51" customFormat="1" ht="15.75" customHeight="1">
      <c r="C49" s="214"/>
      <c r="D49" s="1267"/>
      <c r="E49" s="1267"/>
      <c r="F49" s="214"/>
      <c r="G49" s="214"/>
      <c r="H49" s="214"/>
      <c r="I49" s="214"/>
      <c r="J49" s="214"/>
      <c r="K49" s="214"/>
      <c r="L49" s="214"/>
      <c r="M49" s="214"/>
      <c r="O49" s="214"/>
      <c r="Q49" s="214"/>
      <c r="S49" s="214"/>
      <c r="U49" s="214"/>
      <c r="V49" s="214"/>
      <c r="W49" s="214"/>
      <c r="Y49" s="214"/>
      <c r="AA49" s="214"/>
      <c r="AC49" s="214"/>
    </row>
    <row r="50" spans="3:29" s="51" customFormat="1" ht="17.25" customHeight="1">
      <c r="C50" s="214"/>
      <c r="D50" s="1267"/>
      <c r="E50" s="1267"/>
      <c r="F50" s="214"/>
      <c r="G50" s="214"/>
      <c r="H50" s="214"/>
      <c r="I50" s="214"/>
      <c r="J50" s="214"/>
      <c r="K50" s="214"/>
      <c r="L50" s="214"/>
      <c r="M50" s="214"/>
      <c r="O50" s="214"/>
      <c r="Q50" s="214"/>
      <c r="S50" s="214"/>
      <c r="U50" s="214"/>
      <c r="V50" s="214"/>
      <c r="W50" s="214"/>
      <c r="Y50" s="214"/>
      <c r="AA50" s="214"/>
      <c r="AC50" s="214"/>
    </row>
    <row r="51" spans="3:29" ht="15.75" customHeight="1">
      <c r="C51" s="213"/>
      <c r="D51" s="1258"/>
      <c r="E51" s="1258"/>
      <c r="F51" s="213"/>
      <c r="G51" s="213"/>
      <c r="H51" s="213"/>
      <c r="I51" s="213"/>
      <c r="J51" s="213"/>
      <c r="K51" s="213"/>
      <c r="L51" s="213"/>
      <c r="M51" s="213"/>
      <c r="O51" s="213"/>
      <c r="P51" s="58"/>
      <c r="Q51" s="217"/>
      <c r="S51" s="213"/>
      <c r="T51" s="58"/>
      <c r="U51" s="217"/>
      <c r="V51" s="217"/>
      <c r="W51" s="217"/>
      <c r="X51" s="58"/>
      <c r="Y51" s="217"/>
      <c r="Z51" s="58"/>
      <c r="AA51" s="217"/>
      <c r="AC51" s="213"/>
    </row>
    <row r="52" spans="3:29" ht="18.75" customHeight="1">
      <c r="C52" s="213"/>
      <c r="D52" s="1258"/>
      <c r="E52" s="1258"/>
      <c r="F52" s="213"/>
      <c r="G52" s="213"/>
      <c r="H52" s="213"/>
      <c r="I52" s="213"/>
      <c r="J52" s="213"/>
      <c r="K52" s="213"/>
      <c r="L52" s="213"/>
      <c r="M52" s="213"/>
      <c r="O52" s="213"/>
      <c r="P52" s="58"/>
      <c r="Q52" s="217"/>
      <c r="S52" s="213"/>
      <c r="T52" s="58"/>
      <c r="U52" s="217"/>
      <c r="V52" s="217"/>
      <c r="W52" s="217"/>
      <c r="X52" s="58"/>
      <c r="Y52" s="217"/>
      <c r="Z52" s="58"/>
      <c r="AA52" s="217"/>
      <c r="AC52" s="213"/>
    </row>
    <row r="53" spans="3:29" ht="21.75" customHeight="1">
      <c r="C53" s="213"/>
      <c r="D53" s="1258"/>
      <c r="E53" s="1258"/>
      <c r="F53" s="213"/>
      <c r="G53" s="213"/>
      <c r="H53" s="213"/>
      <c r="I53" s="213"/>
      <c r="J53" s="213"/>
      <c r="K53" s="213"/>
      <c r="L53" s="213"/>
      <c r="M53" s="213"/>
      <c r="O53" s="213"/>
      <c r="P53" s="58"/>
      <c r="Q53" s="217"/>
      <c r="S53" s="213"/>
      <c r="T53" s="58"/>
      <c r="U53" s="217"/>
      <c r="V53" s="217"/>
      <c r="W53" s="217"/>
      <c r="X53" s="58"/>
      <c r="Y53" s="217"/>
      <c r="Z53" s="58"/>
      <c r="AA53" s="217"/>
      <c r="AC53" s="213"/>
    </row>
    <row r="54" spans="3:29" ht="19.5" customHeight="1">
      <c r="C54" s="213"/>
      <c r="D54" s="1258"/>
      <c r="E54" s="1258"/>
      <c r="F54" s="213"/>
      <c r="G54" s="213"/>
      <c r="H54" s="213"/>
      <c r="I54" s="213"/>
      <c r="J54" s="213"/>
      <c r="K54" s="213"/>
      <c r="L54" s="213"/>
      <c r="M54" s="213"/>
      <c r="O54" s="213"/>
      <c r="P54" s="58"/>
      <c r="Q54" s="217"/>
      <c r="S54" s="213"/>
      <c r="T54" s="58"/>
      <c r="U54" s="217"/>
      <c r="V54" s="217"/>
      <c r="W54" s="217"/>
      <c r="X54" s="58"/>
      <c r="Y54" s="217"/>
      <c r="Z54" s="58"/>
      <c r="AA54" s="217"/>
      <c r="AC54" s="213"/>
    </row>
    <row r="55" spans="3:29" ht="18" customHeight="1">
      <c r="C55" s="213"/>
      <c r="D55" s="1258"/>
      <c r="E55" s="1258"/>
      <c r="F55" s="213"/>
      <c r="G55" s="213"/>
      <c r="H55" s="213"/>
      <c r="I55" s="213"/>
      <c r="J55" s="213"/>
      <c r="K55" s="213"/>
      <c r="L55" s="213"/>
      <c r="M55" s="213"/>
      <c r="O55" s="213"/>
      <c r="P55" s="58"/>
      <c r="Q55" s="217"/>
      <c r="S55" s="213"/>
      <c r="T55" s="58"/>
      <c r="U55" s="217"/>
      <c r="V55" s="217"/>
      <c r="W55" s="217"/>
      <c r="X55" s="58"/>
      <c r="Y55" s="217"/>
      <c r="Z55" s="58"/>
      <c r="AA55" s="217"/>
      <c r="AC55" s="213"/>
    </row>
    <row r="56" spans="3:29" ht="15.75" customHeight="1">
      <c r="C56" s="213"/>
      <c r="D56" s="1258"/>
      <c r="E56" s="1258"/>
      <c r="F56" s="213"/>
      <c r="G56" s="213"/>
      <c r="H56" s="213"/>
      <c r="I56" s="213"/>
      <c r="J56" s="213"/>
      <c r="K56" s="213"/>
      <c r="L56" s="213"/>
      <c r="M56" s="213"/>
      <c r="O56" s="213"/>
      <c r="P56" s="58"/>
      <c r="Q56" s="217"/>
      <c r="S56" s="213"/>
      <c r="T56" s="58"/>
      <c r="U56" s="217"/>
      <c r="V56" s="217"/>
      <c r="W56" s="217"/>
      <c r="X56" s="58"/>
      <c r="Y56" s="217"/>
      <c r="Z56" s="58"/>
      <c r="AA56" s="217"/>
      <c r="AC56" s="213"/>
    </row>
    <row r="57" spans="3:29" ht="19.5" customHeight="1">
      <c r="C57" s="213"/>
      <c r="D57" s="1258"/>
      <c r="E57" s="1258"/>
      <c r="F57" s="213"/>
      <c r="G57" s="213"/>
      <c r="H57" s="213"/>
      <c r="I57" s="213"/>
      <c r="J57" s="213"/>
      <c r="K57" s="213"/>
      <c r="L57" s="213"/>
      <c r="M57" s="213"/>
      <c r="O57" s="213"/>
      <c r="P57" s="58"/>
      <c r="Q57" s="217"/>
      <c r="S57" s="213"/>
      <c r="T57" s="58"/>
      <c r="U57" s="217"/>
      <c r="V57" s="217"/>
      <c r="W57" s="217"/>
      <c r="X57" s="58"/>
      <c r="Y57" s="217"/>
      <c r="Z57" s="58"/>
      <c r="AA57" s="217"/>
      <c r="AC57" s="213"/>
    </row>
    <row r="58" spans="3:29" ht="20.25" customHeight="1">
      <c r="C58" s="213"/>
      <c r="D58" s="1258"/>
      <c r="E58" s="1258"/>
      <c r="F58" s="213"/>
      <c r="G58" s="213"/>
      <c r="H58" s="213"/>
      <c r="I58" s="213"/>
      <c r="J58" s="213"/>
      <c r="K58" s="213"/>
      <c r="L58" s="213"/>
      <c r="M58" s="213"/>
      <c r="O58" s="213"/>
      <c r="P58" s="58"/>
      <c r="Q58" s="217"/>
      <c r="S58" s="213"/>
      <c r="T58" s="58"/>
      <c r="U58" s="217"/>
      <c r="V58" s="217"/>
      <c r="W58" s="217"/>
      <c r="X58" s="58"/>
      <c r="Y58" s="217"/>
      <c r="Z58" s="58"/>
      <c r="AA58" s="217"/>
      <c r="AC58" s="213"/>
    </row>
    <row r="59" spans="3:29" ht="18.75" customHeight="1">
      <c r="C59" s="213"/>
      <c r="D59" s="1258"/>
      <c r="E59" s="1258"/>
      <c r="F59" s="213"/>
      <c r="G59" s="213"/>
      <c r="H59" s="213"/>
      <c r="I59" s="213"/>
      <c r="J59" s="213"/>
      <c r="K59" s="213"/>
      <c r="L59" s="213"/>
      <c r="M59" s="213"/>
      <c r="O59" s="213"/>
      <c r="P59" s="58"/>
      <c r="Q59" s="217"/>
      <c r="S59" s="213"/>
      <c r="T59" s="58"/>
      <c r="U59" s="217"/>
      <c r="V59" s="217"/>
      <c r="W59" s="217"/>
      <c r="X59" s="58"/>
      <c r="Y59" s="217"/>
      <c r="Z59" s="58"/>
      <c r="AA59" s="217"/>
      <c r="AC59" s="213"/>
    </row>
    <row r="60" spans="3:29" ht="15.75" customHeight="1">
      <c r="C60" s="213"/>
      <c r="D60" s="1258"/>
      <c r="E60" s="1258"/>
      <c r="F60" s="213"/>
      <c r="G60" s="213"/>
      <c r="H60" s="213"/>
      <c r="I60" s="213"/>
      <c r="J60" s="213"/>
      <c r="K60" s="213"/>
      <c r="L60" s="213"/>
      <c r="M60" s="213"/>
      <c r="O60" s="213"/>
      <c r="P60" s="58"/>
      <c r="Q60" s="217"/>
      <c r="S60" s="213"/>
      <c r="T60" s="58"/>
      <c r="U60" s="217"/>
      <c r="V60" s="217"/>
      <c r="W60" s="217"/>
      <c r="X60" s="58"/>
      <c r="Y60" s="217"/>
      <c r="Z60" s="58"/>
      <c r="AA60" s="217"/>
      <c r="AC60" s="213"/>
    </row>
    <row r="61" spans="3:29" ht="15.75" customHeight="1">
      <c r="C61" s="213"/>
      <c r="D61" s="1258"/>
      <c r="E61" s="1258"/>
      <c r="F61" s="213"/>
      <c r="G61" s="213"/>
      <c r="H61" s="213"/>
      <c r="I61" s="213"/>
      <c r="J61" s="213"/>
      <c r="K61" s="213"/>
      <c r="L61" s="213"/>
      <c r="M61" s="213"/>
      <c r="O61" s="213"/>
      <c r="P61" s="58"/>
      <c r="Q61" s="217"/>
      <c r="S61" s="213"/>
      <c r="T61" s="58"/>
      <c r="U61" s="217"/>
      <c r="V61" s="217"/>
      <c r="W61" s="217"/>
      <c r="X61" s="58"/>
      <c r="Y61" s="217"/>
      <c r="Z61" s="58"/>
      <c r="AA61" s="217"/>
      <c r="AC61" s="213"/>
    </row>
    <row r="62" spans="3:29" ht="15.75" customHeight="1">
      <c r="C62" s="213"/>
      <c r="D62" s="1258"/>
      <c r="E62" s="1258"/>
      <c r="F62" s="213"/>
      <c r="G62" s="213"/>
      <c r="H62" s="213"/>
      <c r="I62" s="213"/>
      <c r="J62" s="213"/>
      <c r="K62" s="213"/>
      <c r="L62" s="213"/>
      <c r="M62" s="213"/>
      <c r="O62" s="213"/>
      <c r="P62" s="58"/>
      <c r="Q62" s="217"/>
      <c r="S62" s="213"/>
      <c r="T62" s="58"/>
      <c r="U62" s="217"/>
      <c r="V62" s="217"/>
      <c r="W62" s="217"/>
      <c r="X62" s="58"/>
      <c r="Y62" s="217"/>
      <c r="Z62" s="58"/>
      <c r="AA62" s="217"/>
      <c r="AC62" s="213"/>
    </row>
    <row r="63" spans="3:29" ht="15.75" customHeight="1">
      <c r="C63" s="213"/>
      <c r="D63" s="1258"/>
      <c r="E63" s="1258"/>
      <c r="F63" s="213"/>
      <c r="G63" s="213"/>
      <c r="H63" s="213"/>
      <c r="I63" s="213"/>
      <c r="J63" s="213"/>
      <c r="K63" s="213"/>
      <c r="L63" s="213"/>
      <c r="M63" s="213"/>
      <c r="O63" s="213"/>
      <c r="P63" s="58"/>
      <c r="Q63" s="217"/>
      <c r="S63" s="213"/>
      <c r="T63" s="58"/>
      <c r="U63" s="217"/>
      <c r="V63" s="217"/>
      <c r="W63" s="217"/>
      <c r="X63" s="58"/>
      <c r="Y63" s="217"/>
      <c r="Z63" s="58"/>
      <c r="AA63" s="217"/>
      <c r="AC63" s="213"/>
    </row>
    <row r="64" spans="3:29" ht="15.75" customHeight="1">
      <c r="C64" s="213"/>
      <c r="D64" s="1258"/>
      <c r="E64" s="1258"/>
      <c r="F64" s="213"/>
      <c r="G64" s="213"/>
      <c r="H64" s="213"/>
      <c r="I64" s="213"/>
      <c r="J64" s="213"/>
      <c r="K64" s="213"/>
      <c r="L64" s="213"/>
      <c r="M64" s="213"/>
      <c r="O64" s="213"/>
      <c r="P64" s="58"/>
      <c r="Q64" s="217"/>
      <c r="S64" s="213"/>
      <c r="T64" s="58"/>
      <c r="U64" s="217"/>
      <c r="V64" s="217"/>
      <c r="W64" s="217"/>
      <c r="X64" s="58"/>
      <c r="Y64" s="217"/>
      <c r="Z64" s="58"/>
      <c r="AA64" s="217"/>
      <c r="AC64" s="213"/>
    </row>
    <row r="65" spans="3:29" ht="15.75" customHeight="1">
      <c r="C65" s="213"/>
      <c r="D65" s="1258"/>
      <c r="E65" s="1258"/>
      <c r="F65" s="213"/>
      <c r="G65" s="213"/>
      <c r="H65" s="213"/>
      <c r="I65" s="213"/>
      <c r="J65" s="213"/>
      <c r="K65" s="213"/>
      <c r="L65" s="213"/>
      <c r="M65" s="213"/>
      <c r="O65" s="213"/>
      <c r="P65" s="58"/>
      <c r="Q65" s="217"/>
      <c r="S65" s="213"/>
      <c r="T65" s="58"/>
      <c r="U65" s="217"/>
      <c r="V65" s="217"/>
      <c r="W65" s="217"/>
      <c r="X65" s="58"/>
      <c r="Y65" s="217"/>
      <c r="Z65" s="58"/>
      <c r="AA65" s="217"/>
      <c r="AC65" s="213"/>
    </row>
    <row r="66" spans="3:29" ht="15.75" customHeight="1">
      <c r="C66" s="213"/>
      <c r="D66" s="1258"/>
      <c r="E66" s="1258"/>
      <c r="F66" s="213"/>
      <c r="G66" s="213"/>
      <c r="H66" s="213"/>
      <c r="I66" s="213"/>
      <c r="J66" s="213"/>
      <c r="K66" s="213"/>
      <c r="L66" s="213"/>
      <c r="M66" s="213"/>
      <c r="O66" s="213"/>
      <c r="P66" s="58"/>
      <c r="Q66" s="217"/>
      <c r="S66" s="213"/>
      <c r="T66" s="58"/>
      <c r="U66" s="217"/>
      <c r="V66" s="217"/>
      <c r="W66" s="217"/>
      <c r="X66" s="58"/>
      <c r="Y66" s="217"/>
      <c r="Z66" s="58"/>
      <c r="AA66" s="217"/>
      <c r="AC66" s="213"/>
    </row>
    <row r="67" spans="3:29" ht="15.75" customHeight="1">
      <c r="C67" s="213"/>
      <c r="D67" s="1258"/>
      <c r="E67" s="1258"/>
      <c r="F67" s="213"/>
      <c r="G67" s="213"/>
      <c r="H67" s="213"/>
      <c r="I67" s="213"/>
      <c r="J67" s="213"/>
      <c r="K67" s="213"/>
      <c r="L67" s="213"/>
      <c r="M67" s="213"/>
      <c r="O67" s="213"/>
      <c r="P67" s="58"/>
      <c r="Q67" s="217"/>
      <c r="S67" s="213"/>
      <c r="T67" s="58"/>
      <c r="U67" s="217"/>
      <c r="V67" s="217"/>
      <c r="W67" s="217"/>
      <c r="X67" s="58"/>
      <c r="Y67" s="217"/>
      <c r="Z67" s="58"/>
      <c r="AA67" s="217"/>
      <c r="AC67" s="213"/>
    </row>
    <row r="68" spans="3:29" ht="15.75" customHeight="1">
      <c r="C68" s="213"/>
      <c r="D68" s="1258"/>
      <c r="E68" s="1258"/>
      <c r="F68" s="213"/>
      <c r="G68" s="213"/>
      <c r="H68" s="213"/>
      <c r="I68" s="213"/>
      <c r="J68" s="213"/>
      <c r="K68" s="213"/>
      <c r="L68" s="213"/>
      <c r="M68" s="213"/>
      <c r="O68" s="213"/>
      <c r="P68" s="58"/>
      <c r="Q68" s="217"/>
      <c r="S68" s="213"/>
      <c r="T68" s="58"/>
      <c r="U68" s="217"/>
      <c r="V68" s="217"/>
      <c r="W68" s="217"/>
      <c r="X68" s="58"/>
      <c r="Y68" s="217"/>
      <c r="Z68" s="58"/>
      <c r="AA68" s="217"/>
      <c r="AC68" s="213"/>
    </row>
    <row r="69" spans="3:29" ht="15.75" customHeight="1">
      <c r="C69" s="213"/>
      <c r="D69" s="1258"/>
      <c r="E69" s="1258"/>
      <c r="F69" s="213"/>
      <c r="G69" s="213"/>
      <c r="H69" s="213"/>
      <c r="I69" s="213"/>
      <c r="J69" s="213"/>
      <c r="K69" s="213"/>
      <c r="L69" s="213"/>
      <c r="M69" s="213"/>
      <c r="O69" s="213"/>
      <c r="P69" s="58"/>
      <c r="Q69" s="217"/>
      <c r="S69" s="213"/>
      <c r="T69" s="58"/>
      <c r="U69" s="217"/>
      <c r="V69" s="217"/>
      <c r="W69" s="217"/>
      <c r="X69" s="58"/>
      <c r="Y69" s="217"/>
      <c r="Z69" s="58"/>
      <c r="AA69" s="217"/>
      <c r="AC69" s="213"/>
    </row>
    <row r="70" spans="3:29" ht="15.75" customHeight="1">
      <c r="C70" s="213"/>
      <c r="D70" s="1258"/>
      <c r="E70" s="1258"/>
      <c r="F70" s="213"/>
      <c r="G70" s="213"/>
      <c r="H70" s="213"/>
      <c r="I70" s="213"/>
      <c r="J70" s="213"/>
      <c r="K70" s="213"/>
      <c r="L70" s="213"/>
      <c r="M70" s="213"/>
      <c r="O70" s="213"/>
      <c r="P70" s="58"/>
      <c r="Q70" s="217"/>
      <c r="S70" s="213"/>
      <c r="T70" s="58"/>
      <c r="U70" s="217"/>
      <c r="V70" s="217"/>
      <c r="W70" s="217"/>
      <c r="X70" s="58"/>
      <c r="Y70" s="217"/>
      <c r="Z70" s="58"/>
      <c r="AA70" s="217"/>
      <c r="AC70" s="213"/>
    </row>
    <row r="71" spans="3:29" ht="15.75" customHeight="1">
      <c r="C71" s="213"/>
      <c r="D71" s="1258"/>
      <c r="E71" s="1258"/>
      <c r="F71" s="213"/>
      <c r="G71" s="213"/>
      <c r="H71" s="213"/>
      <c r="I71" s="213"/>
      <c r="J71" s="213"/>
      <c r="K71" s="213"/>
      <c r="L71" s="213"/>
      <c r="M71" s="213"/>
      <c r="O71" s="213"/>
      <c r="P71" s="58"/>
      <c r="Q71" s="217"/>
      <c r="S71" s="213"/>
      <c r="T71" s="58"/>
      <c r="U71" s="217"/>
      <c r="V71" s="217"/>
      <c r="W71" s="217"/>
      <c r="X71" s="58"/>
      <c r="Y71" s="217"/>
      <c r="Z71" s="58"/>
      <c r="AA71" s="217"/>
      <c r="AC71" s="213"/>
    </row>
    <row r="72" spans="3:29" ht="15.75" customHeight="1">
      <c r="C72" s="213"/>
      <c r="D72" s="1258"/>
      <c r="E72" s="1258"/>
      <c r="F72" s="213"/>
      <c r="G72" s="213"/>
      <c r="H72" s="213"/>
      <c r="I72" s="213"/>
      <c r="J72" s="213"/>
      <c r="K72" s="213"/>
      <c r="L72" s="213"/>
      <c r="M72" s="213"/>
      <c r="O72" s="213"/>
      <c r="P72" s="58"/>
      <c r="Q72" s="217"/>
      <c r="S72" s="213"/>
      <c r="T72" s="58"/>
      <c r="U72" s="217"/>
      <c r="V72" s="217"/>
      <c r="W72" s="217"/>
      <c r="X72" s="58"/>
      <c r="Y72" s="217"/>
      <c r="Z72" s="58"/>
      <c r="AA72" s="217"/>
      <c r="AC72" s="213"/>
    </row>
    <row r="73" spans="3:29" ht="15.75" customHeight="1">
      <c r="C73" s="213"/>
      <c r="D73" s="1258"/>
      <c r="E73" s="1258"/>
      <c r="F73" s="213"/>
      <c r="G73" s="213"/>
      <c r="H73" s="213"/>
      <c r="I73" s="213"/>
      <c r="J73" s="213"/>
      <c r="K73" s="213"/>
      <c r="L73" s="213"/>
      <c r="M73" s="213"/>
      <c r="O73" s="213"/>
      <c r="P73" s="58"/>
      <c r="Q73" s="217"/>
      <c r="S73" s="213"/>
      <c r="T73" s="58"/>
      <c r="U73" s="217"/>
      <c r="V73" s="217"/>
      <c r="W73" s="217"/>
      <c r="X73" s="58"/>
      <c r="Y73" s="217"/>
      <c r="Z73" s="58"/>
      <c r="AA73" s="217"/>
      <c r="AC73" s="213"/>
    </row>
    <row r="74" spans="3:29" ht="15.75" customHeight="1">
      <c r="C74" s="213"/>
      <c r="D74" s="1258"/>
      <c r="E74" s="1258"/>
      <c r="F74" s="213"/>
      <c r="G74" s="213"/>
      <c r="H74" s="213"/>
      <c r="I74" s="213"/>
      <c r="J74" s="213"/>
      <c r="K74" s="213"/>
      <c r="L74" s="213"/>
      <c r="M74" s="213"/>
      <c r="O74" s="213"/>
      <c r="P74" s="58"/>
      <c r="Q74" s="217"/>
      <c r="S74" s="213"/>
      <c r="T74" s="58"/>
      <c r="U74" s="217"/>
      <c r="V74" s="217"/>
      <c r="W74" s="217"/>
      <c r="X74" s="58"/>
      <c r="Y74" s="217"/>
      <c r="Z74" s="58"/>
      <c r="AA74" s="217"/>
      <c r="AC74" s="213"/>
    </row>
    <row r="75" spans="3:29" ht="15.75" customHeight="1">
      <c r="C75" s="213"/>
      <c r="D75" s="1258"/>
      <c r="E75" s="1258"/>
      <c r="F75" s="213"/>
      <c r="G75" s="213"/>
      <c r="H75" s="213"/>
      <c r="I75" s="213"/>
      <c r="J75" s="213"/>
      <c r="K75" s="213"/>
      <c r="L75" s="213"/>
      <c r="M75" s="213"/>
      <c r="O75" s="213"/>
      <c r="P75" s="58"/>
      <c r="Q75" s="217"/>
      <c r="S75" s="213"/>
      <c r="T75" s="58"/>
      <c r="U75" s="217"/>
      <c r="V75" s="217"/>
      <c r="W75" s="217"/>
      <c r="X75" s="58"/>
      <c r="Y75" s="217"/>
      <c r="Z75" s="58"/>
      <c r="AA75" s="217"/>
      <c r="AC75" s="213"/>
    </row>
    <row r="76" spans="3:29" ht="15.75" customHeight="1">
      <c r="C76" s="213"/>
      <c r="D76" s="1258"/>
      <c r="E76" s="1258"/>
      <c r="F76" s="213"/>
      <c r="G76" s="213"/>
      <c r="H76" s="213"/>
      <c r="I76" s="213"/>
      <c r="J76" s="213"/>
      <c r="K76" s="213"/>
      <c r="L76" s="213"/>
      <c r="M76" s="213"/>
      <c r="O76" s="213"/>
      <c r="P76" s="58"/>
      <c r="Q76" s="217"/>
      <c r="S76" s="213"/>
      <c r="T76" s="58"/>
      <c r="U76" s="217"/>
      <c r="V76" s="217"/>
      <c r="W76" s="217"/>
      <c r="X76" s="58"/>
      <c r="Y76" s="217"/>
      <c r="Z76" s="58"/>
      <c r="AA76" s="217"/>
      <c r="AC76" s="213"/>
    </row>
    <row r="77" spans="3:29" ht="15.75" customHeight="1">
      <c r="C77" s="213"/>
      <c r="D77" s="1258"/>
      <c r="E77" s="1258"/>
      <c r="F77" s="213"/>
      <c r="G77" s="213"/>
      <c r="H77" s="213"/>
      <c r="I77" s="213"/>
      <c r="J77" s="213"/>
      <c r="K77" s="213"/>
      <c r="L77" s="213"/>
      <c r="M77" s="213"/>
      <c r="O77" s="213"/>
      <c r="P77" s="58"/>
      <c r="Q77" s="217"/>
      <c r="S77" s="213"/>
      <c r="T77" s="58"/>
      <c r="U77" s="217"/>
      <c r="V77" s="217"/>
      <c r="W77" s="217"/>
      <c r="X77" s="58"/>
      <c r="Y77" s="217"/>
      <c r="Z77" s="58"/>
      <c r="AA77" s="217"/>
      <c r="AC77" s="213"/>
    </row>
    <row r="78" spans="3:29" ht="15.75" customHeight="1">
      <c r="C78" s="213"/>
      <c r="D78" s="1258"/>
      <c r="E78" s="1258"/>
      <c r="F78" s="213"/>
      <c r="G78" s="213"/>
      <c r="H78" s="213"/>
      <c r="I78" s="213"/>
      <c r="J78" s="213"/>
      <c r="K78" s="213"/>
      <c r="L78" s="213"/>
      <c r="M78" s="213"/>
      <c r="O78" s="213"/>
      <c r="P78" s="58"/>
      <c r="Q78" s="217"/>
      <c r="S78" s="213"/>
      <c r="T78" s="58"/>
      <c r="U78" s="217"/>
      <c r="V78" s="217"/>
      <c r="W78" s="217"/>
      <c r="X78" s="58"/>
      <c r="Y78" s="217"/>
      <c r="Z78" s="58"/>
      <c r="AA78" s="217"/>
      <c r="AC78" s="213"/>
    </row>
    <row r="79" spans="3:29" ht="15.75" customHeight="1">
      <c r="C79" s="213"/>
      <c r="D79" s="1258"/>
      <c r="E79" s="1258"/>
      <c r="F79" s="213"/>
      <c r="G79" s="213"/>
      <c r="H79" s="213"/>
      <c r="I79" s="213"/>
      <c r="J79" s="213"/>
      <c r="K79" s="213"/>
      <c r="L79" s="213"/>
      <c r="M79" s="213"/>
      <c r="O79" s="213"/>
      <c r="P79" s="58"/>
      <c r="Q79" s="217"/>
      <c r="S79" s="213"/>
      <c r="T79" s="58"/>
      <c r="U79" s="217"/>
      <c r="V79" s="217"/>
      <c r="W79" s="217"/>
      <c r="X79" s="58"/>
      <c r="Y79" s="217"/>
      <c r="Z79" s="58"/>
      <c r="AA79" s="217"/>
      <c r="AC79" s="213"/>
    </row>
    <row r="80" spans="3:29" ht="15.75" customHeight="1">
      <c r="C80" s="213"/>
      <c r="D80" s="1258"/>
      <c r="E80" s="1258"/>
      <c r="F80" s="213"/>
      <c r="G80" s="213"/>
      <c r="H80" s="213"/>
      <c r="I80" s="213"/>
      <c r="J80" s="213"/>
      <c r="K80" s="213"/>
      <c r="L80" s="213"/>
      <c r="M80" s="213"/>
      <c r="O80" s="213"/>
      <c r="P80" s="58"/>
      <c r="Q80" s="217"/>
      <c r="S80" s="213"/>
      <c r="T80" s="58"/>
      <c r="U80" s="217"/>
      <c r="V80" s="217"/>
      <c r="W80" s="217"/>
      <c r="X80" s="58"/>
      <c r="Y80" s="217"/>
      <c r="Z80" s="58"/>
      <c r="AA80" s="217"/>
      <c r="AC80" s="213"/>
    </row>
    <row r="81" spans="3:29" ht="15.75" customHeight="1">
      <c r="C81" s="213"/>
      <c r="D81" s="1258"/>
      <c r="E81" s="1258"/>
      <c r="F81" s="213"/>
      <c r="G81" s="213"/>
      <c r="H81" s="213"/>
      <c r="I81" s="213"/>
      <c r="J81" s="213"/>
      <c r="K81" s="213"/>
      <c r="L81" s="213"/>
      <c r="M81" s="213"/>
      <c r="O81" s="213"/>
      <c r="P81" s="58"/>
      <c r="Q81" s="217"/>
      <c r="S81" s="213"/>
      <c r="T81" s="58"/>
      <c r="U81" s="217"/>
      <c r="V81" s="217"/>
      <c r="W81" s="217"/>
      <c r="X81" s="58"/>
      <c r="Y81" s="217"/>
      <c r="Z81" s="58"/>
      <c r="AA81" s="217"/>
      <c r="AC81" s="213"/>
    </row>
    <row r="82" spans="3:29" ht="15.75" customHeight="1">
      <c r="C82" s="213"/>
      <c r="D82" s="1258"/>
      <c r="E82" s="1258"/>
      <c r="F82" s="213"/>
      <c r="G82" s="213"/>
      <c r="H82" s="213"/>
      <c r="I82" s="213"/>
      <c r="J82" s="213"/>
      <c r="K82" s="213"/>
      <c r="L82" s="213"/>
      <c r="M82" s="213"/>
      <c r="O82" s="213"/>
      <c r="P82" s="58"/>
      <c r="Q82" s="217"/>
      <c r="S82" s="213"/>
      <c r="T82" s="58"/>
      <c r="U82" s="217"/>
      <c r="V82" s="217"/>
      <c r="W82" s="217"/>
      <c r="X82" s="58"/>
      <c r="Y82" s="217"/>
      <c r="Z82" s="58"/>
      <c r="AA82" s="217"/>
      <c r="AC82" s="213"/>
    </row>
    <row r="83" spans="3:29" ht="17.25" customHeight="1">
      <c r="C83" s="213"/>
      <c r="D83" s="1258"/>
      <c r="E83" s="1258"/>
      <c r="F83" s="213"/>
      <c r="G83" s="213"/>
      <c r="H83" s="213"/>
      <c r="I83" s="213"/>
      <c r="J83" s="213"/>
      <c r="K83" s="213"/>
      <c r="L83" s="213"/>
      <c r="M83" s="213"/>
      <c r="O83" s="213"/>
      <c r="P83" s="58"/>
      <c r="Q83" s="217"/>
      <c r="S83" s="213"/>
      <c r="T83" s="58"/>
      <c r="U83" s="217"/>
      <c r="V83" s="217"/>
      <c r="W83" s="217"/>
      <c r="X83" s="58"/>
      <c r="Y83" s="217"/>
      <c r="Z83" s="58"/>
      <c r="AA83" s="217"/>
      <c r="AC83" s="213"/>
    </row>
    <row r="84" spans="3:29" ht="17.25" customHeight="1">
      <c r="C84" s="213"/>
      <c r="D84" s="1258"/>
      <c r="E84" s="1258"/>
      <c r="F84" s="213"/>
      <c r="G84" s="213"/>
      <c r="H84" s="213"/>
      <c r="I84" s="213"/>
      <c r="J84" s="213"/>
      <c r="K84" s="213"/>
      <c r="L84" s="213"/>
      <c r="M84" s="213"/>
      <c r="O84" s="213"/>
      <c r="P84" s="58"/>
      <c r="Q84" s="217"/>
      <c r="S84" s="213"/>
      <c r="T84" s="58"/>
      <c r="U84" s="217"/>
      <c r="V84" s="217"/>
      <c r="W84" s="217"/>
      <c r="X84" s="58"/>
      <c r="Y84" s="217"/>
      <c r="Z84" s="58"/>
      <c r="AA84" s="217"/>
      <c r="AC84" s="213"/>
    </row>
    <row r="85" spans="3:29" ht="18" customHeight="1">
      <c r="C85" s="213"/>
      <c r="D85" s="1258"/>
      <c r="E85" s="1258"/>
      <c r="F85" s="213"/>
      <c r="G85" s="213"/>
      <c r="H85" s="213"/>
      <c r="I85" s="213"/>
      <c r="J85" s="213"/>
      <c r="K85" s="213"/>
      <c r="L85" s="213"/>
      <c r="M85" s="213"/>
      <c r="O85" s="213"/>
      <c r="P85" s="58"/>
      <c r="Q85" s="217"/>
      <c r="S85" s="213"/>
      <c r="T85" s="58"/>
      <c r="U85" s="217"/>
      <c r="V85" s="217"/>
      <c r="W85" s="217"/>
      <c r="X85" s="58"/>
      <c r="Y85" s="217"/>
      <c r="Z85" s="58"/>
      <c r="AA85" s="217"/>
      <c r="AC85" s="213"/>
    </row>
    <row r="86" spans="3:29" ht="18.75" customHeight="1">
      <c r="C86" s="213"/>
      <c r="D86" s="1258"/>
      <c r="E86" s="1258"/>
      <c r="F86" s="213"/>
      <c r="G86" s="213"/>
      <c r="H86" s="213"/>
      <c r="I86" s="213"/>
      <c r="J86" s="213"/>
      <c r="K86" s="213"/>
      <c r="L86" s="213"/>
      <c r="M86" s="213"/>
      <c r="O86" s="213"/>
      <c r="P86" s="58"/>
      <c r="Q86" s="217"/>
      <c r="S86" s="213"/>
      <c r="T86" s="58"/>
      <c r="U86" s="217"/>
      <c r="V86" s="217"/>
      <c r="W86" s="217"/>
      <c r="X86" s="58"/>
      <c r="Y86" s="217"/>
      <c r="Z86" s="58"/>
      <c r="AA86" s="217"/>
      <c r="AC86" s="213"/>
    </row>
    <row r="87" spans="3:29" ht="15.75" customHeight="1">
      <c r="C87" s="213"/>
      <c r="D87" s="1258"/>
      <c r="E87" s="1258"/>
      <c r="F87" s="213"/>
      <c r="G87" s="213"/>
      <c r="H87" s="213"/>
      <c r="I87" s="213"/>
      <c r="J87" s="213"/>
      <c r="K87" s="213"/>
      <c r="L87" s="213"/>
      <c r="M87" s="213"/>
      <c r="O87" s="213"/>
      <c r="P87" s="58"/>
      <c r="Q87" s="217"/>
      <c r="S87" s="213"/>
      <c r="T87" s="58"/>
      <c r="U87" s="217"/>
      <c r="V87" s="217"/>
      <c r="W87" s="217"/>
      <c r="X87" s="58"/>
      <c r="Y87" s="217"/>
      <c r="Z87" s="58"/>
      <c r="AA87" s="217"/>
      <c r="AC87" s="213"/>
    </row>
    <row r="88" spans="3:29" ht="15.75" customHeight="1">
      <c r="C88" s="213"/>
      <c r="D88" s="1258"/>
      <c r="E88" s="1258"/>
      <c r="F88" s="213"/>
      <c r="G88" s="213"/>
      <c r="H88" s="213"/>
      <c r="I88" s="213"/>
      <c r="J88" s="213"/>
      <c r="K88" s="213"/>
      <c r="L88" s="213"/>
      <c r="M88" s="213"/>
      <c r="O88" s="213"/>
      <c r="P88" s="58"/>
      <c r="Q88" s="217"/>
      <c r="S88" s="213"/>
      <c r="T88" s="58"/>
      <c r="U88" s="217"/>
      <c r="V88" s="217"/>
      <c r="W88" s="217"/>
      <c r="X88" s="58"/>
      <c r="Y88" s="217"/>
      <c r="Z88" s="58"/>
      <c r="AA88" s="217"/>
      <c r="AC88" s="213"/>
    </row>
    <row r="89" spans="3:29" ht="15.75" customHeight="1">
      <c r="C89" s="213"/>
      <c r="D89" s="1258"/>
      <c r="E89" s="1258"/>
      <c r="F89" s="213"/>
      <c r="G89" s="213"/>
      <c r="H89" s="213"/>
      <c r="I89" s="213"/>
      <c r="J89" s="213"/>
      <c r="K89" s="213"/>
      <c r="L89" s="213"/>
      <c r="M89" s="213"/>
      <c r="O89" s="213"/>
      <c r="P89" s="58"/>
      <c r="Q89" s="217"/>
      <c r="S89" s="213"/>
      <c r="T89" s="58"/>
      <c r="U89" s="217"/>
      <c r="V89" s="217"/>
      <c r="W89" s="217"/>
      <c r="X89" s="58"/>
      <c r="Y89" s="217"/>
      <c r="Z89" s="58"/>
      <c r="AA89" s="217"/>
      <c r="AC89" s="213"/>
    </row>
    <row r="90" spans="3:29" ht="15.75" customHeight="1">
      <c r="C90" s="213"/>
      <c r="D90" s="1258"/>
      <c r="E90" s="1258"/>
      <c r="F90" s="213"/>
      <c r="G90" s="213"/>
      <c r="H90" s="213"/>
      <c r="I90" s="213"/>
      <c r="J90" s="213"/>
      <c r="K90" s="213"/>
      <c r="L90" s="213"/>
      <c r="M90" s="213"/>
      <c r="O90" s="213"/>
      <c r="P90" s="58"/>
      <c r="Q90" s="217"/>
      <c r="S90" s="213"/>
      <c r="T90" s="58"/>
      <c r="U90" s="217"/>
      <c r="V90" s="217"/>
      <c r="W90" s="217"/>
      <c r="X90" s="58"/>
      <c r="Y90" s="217"/>
      <c r="Z90" s="58"/>
      <c r="AA90" s="217"/>
      <c r="AC90" s="213"/>
    </row>
    <row r="91" spans="3:29" ht="15.75" customHeight="1">
      <c r="C91" s="213"/>
      <c r="D91" s="1258"/>
      <c r="E91" s="1258"/>
      <c r="F91" s="213"/>
      <c r="G91" s="213"/>
      <c r="H91" s="213"/>
      <c r="I91" s="213"/>
      <c r="J91" s="213"/>
      <c r="K91" s="213"/>
      <c r="L91" s="213"/>
      <c r="M91" s="213"/>
      <c r="O91" s="213"/>
      <c r="P91" s="58"/>
      <c r="Q91" s="217"/>
      <c r="S91" s="213"/>
      <c r="T91" s="58"/>
      <c r="U91" s="217"/>
      <c r="V91" s="217"/>
      <c r="W91" s="217"/>
      <c r="X91" s="58"/>
      <c r="Y91" s="217"/>
      <c r="Z91" s="58"/>
      <c r="AA91" s="217"/>
      <c r="AC91" s="213"/>
    </row>
    <row r="92" spans="3:29" ht="15.75" customHeight="1">
      <c r="C92" s="213"/>
      <c r="D92" s="1258"/>
      <c r="E92" s="1258"/>
      <c r="F92" s="213"/>
      <c r="G92" s="213"/>
      <c r="H92" s="213"/>
      <c r="I92" s="213"/>
      <c r="J92" s="213"/>
      <c r="K92" s="213"/>
      <c r="L92" s="213"/>
      <c r="M92" s="213"/>
      <c r="O92" s="213"/>
      <c r="P92" s="58"/>
      <c r="Q92" s="217"/>
      <c r="S92" s="213"/>
      <c r="T92" s="58"/>
      <c r="U92" s="217"/>
      <c r="V92" s="217"/>
      <c r="W92" s="217"/>
      <c r="X92" s="58"/>
      <c r="Y92" s="217"/>
      <c r="Z92" s="58"/>
      <c r="AA92" s="217"/>
      <c r="AC92" s="213"/>
    </row>
    <row r="93" spans="3:29" ht="15.75" customHeight="1">
      <c r="C93" s="213"/>
      <c r="D93" s="1258"/>
      <c r="E93" s="1258"/>
      <c r="F93" s="213"/>
      <c r="G93" s="213"/>
      <c r="H93" s="213"/>
      <c r="I93" s="213"/>
      <c r="J93" s="213"/>
      <c r="K93" s="213"/>
      <c r="L93" s="213"/>
      <c r="M93" s="213"/>
      <c r="O93" s="213"/>
      <c r="P93" s="58"/>
      <c r="Q93" s="217"/>
      <c r="S93" s="213"/>
      <c r="T93" s="58"/>
      <c r="U93" s="217"/>
      <c r="V93" s="217"/>
      <c r="W93" s="217"/>
      <c r="X93" s="58"/>
      <c r="Y93" s="217"/>
      <c r="Z93" s="58"/>
      <c r="AA93" s="217"/>
      <c r="AC93" s="213"/>
    </row>
    <row r="94" spans="3:29" ht="15.75" customHeight="1">
      <c r="C94" s="213"/>
      <c r="D94" s="1258"/>
      <c r="E94" s="1258"/>
      <c r="F94" s="213"/>
      <c r="G94" s="213"/>
      <c r="H94" s="213"/>
      <c r="I94" s="213"/>
      <c r="J94" s="213"/>
      <c r="K94" s="213"/>
      <c r="L94" s="213"/>
      <c r="M94" s="213"/>
      <c r="O94" s="213"/>
      <c r="P94" s="58"/>
      <c r="Q94" s="217"/>
      <c r="S94" s="213"/>
      <c r="T94" s="58"/>
      <c r="U94" s="217"/>
      <c r="V94" s="217"/>
      <c r="W94" s="217"/>
      <c r="X94" s="58"/>
      <c r="Y94" s="217"/>
      <c r="Z94" s="58"/>
      <c r="AA94" s="217"/>
      <c r="AC94" s="213"/>
    </row>
    <row r="95" spans="3:29" ht="15.75" customHeight="1">
      <c r="C95" s="213"/>
      <c r="D95" s="1258"/>
      <c r="E95" s="1258"/>
      <c r="F95" s="213"/>
      <c r="G95" s="213"/>
      <c r="H95" s="213"/>
      <c r="I95" s="213"/>
      <c r="J95" s="213"/>
      <c r="K95" s="213"/>
      <c r="L95" s="213"/>
      <c r="M95" s="213"/>
      <c r="O95" s="213"/>
      <c r="P95" s="58"/>
      <c r="Q95" s="217"/>
      <c r="S95" s="213"/>
      <c r="T95" s="58"/>
      <c r="U95" s="217"/>
      <c r="V95" s="217"/>
      <c r="W95" s="217"/>
      <c r="X95" s="58"/>
      <c r="Y95" s="217"/>
      <c r="Z95" s="58"/>
      <c r="AA95" s="217"/>
      <c r="AC95" s="213"/>
    </row>
    <row r="96" spans="3:29" ht="15.75" customHeight="1">
      <c r="C96" s="213"/>
      <c r="D96" s="1258"/>
      <c r="E96" s="1258"/>
      <c r="F96" s="213"/>
      <c r="G96" s="213"/>
      <c r="H96" s="213"/>
      <c r="I96" s="213"/>
      <c r="J96" s="213"/>
      <c r="K96" s="213"/>
      <c r="L96" s="213"/>
      <c r="M96" s="213"/>
      <c r="O96" s="213"/>
      <c r="P96" s="58"/>
      <c r="Q96" s="217"/>
      <c r="S96" s="213"/>
      <c r="T96" s="58"/>
      <c r="U96" s="217"/>
      <c r="V96" s="217"/>
      <c r="W96" s="217"/>
      <c r="X96" s="58"/>
      <c r="Y96" s="217"/>
      <c r="Z96" s="58"/>
      <c r="AA96" s="217"/>
      <c r="AC96" s="213"/>
    </row>
    <row r="97" spans="3:29" ht="15.75" customHeight="1">
      <c r="C97" s="213"/>
      <c r="D97" s="1258"/>
      <c r="E97" s="1258"/>
      <c r="F97" s="213"/>
      <c r="G97" s="213"/>
      <c r="H97" s="213"/>
      <c r="I97" s="213"/>
      <c r="J97" s="213"/>
      <c r="K97" s="213"/>
      <c r="L97" s="213"/>
      <c r="M97" s="213"/>
      <c r="O97" s="213"/>
      <c r="P97" s="58"/>
      <c r="Q97" s="217"/>
      <c r="S97" s="213"/>
      <c r="T97" s="58"/>
      <c r="U97" s="217"/>
      <c r="V97" s="217"/>
      <c r="W97" s="217"/>
      <c r="X97" s="58"/>
      <c r="Y97" s="217"/>
      <c r="Z97" s="58"/>
      <c r="AA97" s="217"/>
      <c r="AC97" s="213"/>
    </row>
    <row r="98" spans="3:29" ht="15.75" customHeight="1">
      <c r="C98" s="213"/>
      <c r="D98" s="1258"/>
      <c r="E98" s="1258"/>
      <c r="F98" s="213"/>
      <c r="G98" s="213"/>
      <c r="H98" s="213"/>
      <c r="I98" s="213"/>
      <c r="J98" s="213"/>
      <c r="K98" s="213"/>
      <c r="L98" s="213"/>
      <c r="M98" s="213"/>
      <c r="O98" s="213"/>
      <c r="P98" s="58"/>
      <c r="Q98" s="217"/>
      <c r="S98" s="213"/>
      <c r="T98" s="58"/>
      <c r="U98" s="217"/>
      <c r="V98" s="217"/>
      <c r="W98" s="217"/>
      <c r="X98" s="58"/>
      <c r="Y98" s="217"/>
      <c r="Z98" s="58"/>
      <c r="AA98" s="217"/>
      <c r="AC98" s="213"/>
    </row>
    <row r="99" spans="3:29" ht="15.75" customHeight="1">
      <c r="C99" s="213"/>
      <c r="D99" s="1258"/>
      <c r="E99" s="1258"/>
      <c r="F99" s="213"/>
      <c r="G99" s="213"/>
      <c r="H99" s="213"/>
      <c r="I99" s="213"/>
      <c r="J99" s="213"/>
      <c r="K99" s="213"/>
      <c r="L99" s="213"/>
      <c r="M99" s="213"/>
      <c r="O99" s="213"/>
      <c r="P99" s="58"/>
      <c r="Q99" s="217"/>
      <c r="S99" s="213"/>
      <c r="T99" s="58"/>
      <c r="U99" s="217"/>
      <c r="V99" s="217"/>
      <c r="W99" s="217"/>
      <c r="X99" s="58"/>
      <c r="Y99" s="217"/>
      <c r="Z99" s="58"/>
      <c r="AA99" s="217"/>
      <c r="AC99" s="213"/>
    </row>
    <row r="100" spans="3:29" ht="15.75" customHeight="1">
      <c r="C100" s="213"/>
      <c r="D100" s="1258"/>
      <c r="E100" s="1258"/>
      <c r="F100" s="213"/>
      <c r="G100" s="213"/>
      <c r="H100" s="213"/>
      <c r="I100" s="213"/>
      <c r="J100" s="213"/>
      <c r="K100" s="213"/>
      <c r="L100" s="213"/>
      <c r="M100" s="213"/>
      <c r="O100" s="213"/>
      <c r="P100" s="58"/>
      <c r="Q100" s="217"/>
      <c r="S100" s="213"/>
      <c r="T100" s="58"/>
      <c r="U100" s="217"/>
      <c r="V100" s="217"/>
      <c r="W100" s="217"/>
      <c r="X100" s="58"/>
      <c r="Y100" s="217"/>
      <c r="Z100" s="58"/>
      <c r="AA100" s="217"/>
      <c r="AC100" s="213"/>
    </row>
    <row r="101" spans="3:29" ht="15.75" customHeight="1">
      <c r="C101" s="213"/>
      <c r="D101" s="1258"/>
      <c r="E101" s="1258"/>
      <c r="F101" s="213"/>
      <c r="G101" s="213"/>
      <c r="H101" s="213"/>
      <c r="I101" s="213"/>
      <c r="J101" s="213"/>
      <c r="K101" s="213"/>
      <c r="L101" s="213"/>
      <c r="M101" s="213"/>
      <c r="O101" s="213"/>
      <c r="P101" s="58"/>
      <c r="Q101" s="217"/>
      <c r="S101" s="213"/>
      <c r="T101" s="58"/>
      <c r="U101" s="217"/>
      <c r="V101" s="217"/>
      <c r="W101" s="217"/>
      <c r="X101" s="58"/>
      <c r="Y101" s="217"/>
      <c r="Z101" s="58"/>
      <c r="AA101" s="217"/>
      <c r="AC101" s="213"/>
    </row>
    <row r="102" spans="3:29" ht="15.75" customHeight="1">
      <c r="C102" s="213"/>
      <c r="D102" s="1258"/>
      <c r="E102" s="1258"/>
      <c r="F102" s="213"/>
      <c r="G102" s="213"/>
      <c r="H102" s="213"/>
      <c r="I102" s="213"/>
      <c r="J102" s="213"/>
      <c r="K102" s="213"/>
      <c r="L102" s="213"/>
      <c r="M102" s="213"/>
      <c r="O102" s="213"/>
      <c r="P102" s="58"/>
      <c r="Q102" s="217"/>
      <c r="S102" s="213"/>
      <c r="T102" s="58"/>
      <c r="U102" s="217"/>
      <c r="V102" s="217"/>
      <c r="W102" s="217"/>
      <c r="X102" s="58"/>
      <c r="Y102" s="217"/>
      <c r="Z102" s="58"/>
      <c r="AA102" s="217"/>
      <c r="AC102" s="213"/>
    </row>
    <row r="103" spans="3:29" ht="15.75" customHeight="1">
      <c r="C103" s="213"/>
      <c r="D103" s="1258"/>
      <c r="E103" s="1258"/>
      <c r="F103" s="213"/>
      <c r="G103" s="213"/>
      <c r="H103" s="213"/>
      <c r="I103" s="213"/>
      <c r="J103" s="213"/>
      <c r="K103" s="213"/>
      <c r="L103" s="213"/>
      <c r="M103" s="213"/>
      <c r="O103" s="213"/>
      <c r="P103" s="58"/>
      <c r="Q103" s="217"/>
      <c r="S103" s="213"/>
      <c r="T103" s="58"/>
      <c r="U103" s="217"/>
      <c r="V103" s="217"/>
      <c r="W103" s="217"/>
      <c r="X103" s="58"/>
      <c r="Y103" s="217"/>
      <c r="Z103" s="58"/>
      <c r="AA103" s="217"/>
      <c r="AC103" s="213"/>
    </row>
    <row r="104" spans="3:29" ht="15.75" customHeight="1">
      <c r="C104" s="213"/>
      <c r="D104" s="1258"/>
      <c r="E104" s="1258"/>
      <c r="F104" s="213"/>
      <c r="G104" s="213"/>
      <c r="H104" s="213"/>
      <c r="I104" s="213"/>
      <c r="J104" s="213"/>
      <c r="K104" s="213"/>
      <c r="L104" s="213"/>
      <c r="M104" s="213"/>
      <c r="O104" s="213"/>
      <c r="P104" s="58"/>
      <c r="Q104" s="217"/>
      <c r="S104" s="213"/>
      <c r="T104" s="58"/>
      <c r="U104" s="217"/>
      <c r="V104" s="217"/>
      <c r="W104" s="217"/>
      <c r="X104" s="58"/>
      <c r="Y104" s="217"/>
      <c r="Z104" s="58"/>
      <c r="AA104" s="217"/>
      <c r="AC104" s="213"/>
    </row>
    <row r="105" spans="3:29" ht="15.75" customHeight="1">
      <c r="C105" s="213"/>
      <c r="D105" s="1258"/>
      <c r="E105" s="1258"/>
      <c r="F105" s="213"/>
      <c r="G105" s="213"/>
      <c r="H105" s="213"/>
      <c r="I105" s="213"/>
      <c r="J105" s="213"/>
      <c r="K105" s="213"/>
      <c r="L105" s="213"/>
      <c r="M105" s="213"/>
      <c r="O105" s="213"/>
      <c r="P105" s="58"/>
      <c r="Q105" s="217"/>
      <c r="S105" s="213"/>
      <c r="T105" s="58"/>
      <c r="U105" s="217"/>
      <c r="V105" s="217"/>
      <c r="W105" s="217"/>
      <c r="X105" s="58"/>
      <c r="Y105" s="217"/>
      <c r="Z105" s="58"/>
      <c r="AA105" s="217"/>
      <c r="AC105" s="213"/>
    </row>
    <row r="106" spans="3:29" ht="15.75" customHeight="1">
      <c r="C106" s="213"/>
      <c r="D106" s="1258"/>
      <c r="E106" s="1258"/>
      <c r="F106" s="213"/>
      <c r="G106" s="213"/>
      <c r="H106" s="213"/>
      <c r="I106" s="213"/>
      <c r="J106" s="213"/>
      <c r="K106" s="213"/>
      <c r="L106" s="213"/>
      <c r="M106" s="213"/>
      <c r="O106" s="213"/>
      <c r="P106" s="58"/>
      <c r="Q106" s="217"/>
      <c r="S106" s="213"/>
      <c r="T106" s="58"/>
      <c r="U106" s="217"/>
      <c r="V106" s="217"/>
      <c r="W106" s="217"/>
      <c r="X106" s="58"/>
      <c r="Y106" s="217"/>
      <c r="Z106" s="58"/>
      <c r="AA106" s="217"/>
      <c r="AC106" s="213"/>
    </row>
    <row r="107" spans="3:29" ht="15.75" customHeight="1">
      <c r="C107" s="213"/>
      <c r="D107" s="1258"/>
      <c r="E107" s="1258"/>
      <c r="F107" s="213"/>
      <c r="G107" s="213"/>
      <c r="H107" s="213"/>
      <c r="I107" s="213"/>
      <c r="J107" s="213"/>
      <c r="K107" s="213"/>
      <c r="L107" s="213"/>
      <c r="M107" s="213"/>
      <c r="O107" s="213"/>
      <c r="P107" s="58"/>
      <c r="Q107" s="217"/>
      <c r="S107" s="213"/>
      <c r="T107" s="58"/>
      <c r="U107" s="217"/>
      <c r="V107" s="217"/>
      <c r="W107" s="217"/>
      <c r="X107" s="58"/>
      <c r="Y107" s="217"/>
      <c r="Z107" s="58"/>
      <c r="AA107" s="217"/>
      <c r="AC107" s="213"/>
    </row>
  </sheetData>
  <sheetProtection/>
  <mergeCells count="14">
    <mergeCell ref="V2:W2"/>
    <mergeCell ref="Z2:AA2"/>
    <mergeCell ref="X2:Y2"/>
    <mergeCell ref="N2:O2"/>
    <mergeCell ref="A2:A3"/>
    <mergeCell ref="B2:C2"/>
    <mergeCell ref="H2:I2"/>
    <mergeCell ref="R2:S2"/>
    <mergeCell ref="AB2:AC2"/>
    <mergeCell ref="P2:Q2"/>
    <mergeCell ref="T2:U2"/>
    <mergeCell ref="F2:G2"/>
    <mergeCell ref="J2:K2"/>
    <mergeCell ref="L2:M2"/>
  </mergeCells>
  <printOptions horizontalCentered="1"/>
  <pageMargins left="0" right="0" top="0.15748031496063" bottom="0.0393700787401575" header="0.31496062992126" footer="0.236220472440945"/>
  <pageSetup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14"/>
  </sheetPr>
  <dimension ref="A1:N266"/>
  <sheetViews>
    <sheetView zoomScalePageLayoutView="0" workbookViewId="0" topLeftCell="A1">
      <selection activeCell="J18" sqref="J18"/>
    </sheetView>
  </sheetViews>
  <sheetFormatPr defaultColWidth="9.140625" defaultRowHeight="12.75"/>
  <cols>
    <col min="1" max="1" width="12.28125" style="99" customWidth="1"/>
    <col min="2" max="2" width="4.140625" style="163" customWidth="1"/>
    <col min="3" max="3" width="51.57421875" style="151" customWidth="1"/>
    <col min="4" max="4" width="12.7109375" style="100" customWidth="1"/>
    <col min="5" max="5" width="5.28125" style="99" customWidth="1"/>
    <col min="6" max="6" width="9.140625" style="6" customWidth="1"/>
    <col min="7" max="7" width="5.140625" style="495" customWidth="1"/>
    <col min="8" max="8" width="8.00390625" style="0" customWidth="1"/>
    <col min="9" max="9" width="4.140625" style="6" customWidth="1"/>
    <col min="10" max="10" width="7.140625" style="6" customWidth="1"/>
    <col min="11" max="11" width="4.7109375" style="6" customWidth="1"/>
    <col min="12" max="13" width="4.8515625" style="6" customWidth="1"/>
    <col min="14" max="14" width="9.28125" style="6" bestFit="1" customWidth="1"/>
    <col min="15" max="16384" width="9.140625" style="6" customWidth="1"/>
  </cols>
  <sheetData>
    <row r="1" spans="1:13" ht="24.75" customHeight="1" thickBot="1">
      <c r="A1" s="138" t="s">
        <v>482</v>
      </c>
      <c r="C1" s="115"/>
      <c r="D1" s="92"/>
      <c r="E1" s="93"/>
      <c r="M1" s="18" t="s">
        <v>0</v>
      </c>
    </row>
    <row r="2" spans="1:14" s="114" customFormat="1" ht="34.5" customHeight="1" thickBot="1">
      <c r="A2" s="540" t="s">
        <v>109</v>
      </c>
      <c r="B2" s="541"/>
      <c r="C2" s="543" t="s">
        <v>110</v>
      </c>
      <c r="D2" s="542" t="s">
        <v>111</v>
      </c>
      <c r="E2" s="1358" t="s">
        <v>103</v>
      </c>
      <c r="F2" s="1358"/>
      <c r="G2" s="1358" t="s">
        <v>58</v>
      </c>
      <c r="H2" s="1358"/>
      <c r="I2" s="1358" t="s">
        <v>59</v>
      </c>
      <c r="J2" s="1358"/>
      <c r="K2" s="1359" t="s">
        <v>55</v>
      </c>
      <c r="L2" s="1414" t="s">
        <v>56</v>
      </c>
      <c r="M2" s="1412" t="s">
        <v>104</v>
      </c>
      <c r="N2" s="1413"/>
    </row>
    <row r="3" spans="1:14" ht="22.5" thickBot="1">
      <c r="A3" s="544"/>
      <c r="B3" s="545"/>
      <c r="C3" s="547"/>
      <c r="D3" s="546"/>
      <c r="E3" s="368" t="s">
        <v>10</v>
      </c>
      <c r="F3" s="369" t="s">
        <v>9</v>
      </c>
      <c r="G3" s="493" t="s">
        <v>10</v>
      </c>
      <c r="H3" s="369" t="s">
        <v>9</v>
      </c>
      <c r="I3" s="493" t="s">
        <v>10</v>
      </c>
      <c r="J3" s="369" t="s">
        <v>9</v>
      </c>
      <c r="K3" s="1360"/>
      <c r="L3" s="1415"/>
      <c r="M3" s="493" t="s">
        <v>10</v>
      </c>
      <c r="N3" s="369" t="s">
        <v>9</v>
      </c>
    </row>
    <row r="4" spans="1:14" ht="102" customHeight="1">
      <c r="A4" s="550" t="s">
        <v>440</v>
      </c>
      <c r="B4" s="610">
        <v>1</v>
      </c>
      <c r="C4" s="790" t="s">
        <v>590</v>
      </c>
      <c r="D4" s="787" t="s">
        <v>68</v>
      </c>
      <c r="E4" s="610">
        <v>34</v>
      </c>
      <c r="F4" s="611">
        <v>1175.3</v>
      </c>
      <c r="G4" s="549"/>
      <c r="H4" s="622"/>
      <c r="I4" s="612"/>
      <c r="J4" s="613"/>
      <c r="K4" s="612"/>
      <c r="L4" s="612"/>
      <c r="M4" s="788">
        <f>E4+G4</f>
        <v>34</v>
      </c>
      <c r="N4" s="555">
        <f>F4+H4+J4+K4+L4</f>
        <v>1175.3</v>
      </c>
    </row>
    <row r="5" spans="1:14" s="203" customFormat="1" ht="24" customHeight="1">
      <c r="A5" s="505"/>
      <c r="B5" s="505"/>
      <c r="C5" s="507" t="s">
        <v>143</v>
      </c>
      <c r="D5" s="506"/>
      <c r="E5" s="507">
        <f>SUM(E4:E4)</f>
        <v>34</v>
      </c>
      <c r="F5" s="558">
        <f>SUM(F4:F4)</f>
        <v>1175.3</v>
      </c>
      <c r="G5" s="507"/>
      <c r="H5" s="686"/>
      <c r="I5" s="744"/>
      <c r="J5" s="686"/>
      <c r="K5" s="558"/>
      <c r="L5" s="558"/>
      <c r="M5" s="561">
        <f>SUM(M4:M4)</f>
        <v>34</v>
      </c>
      <c r="N5" s="509">
        <f>SUM(N4:N4)</f>
        <v>1175.3</v>
      </c>
    </row>
    <row r="6" spans="1:14" s="203" customFormat="1" ht="41.25" customHeight="1">
      <c r="A6" s="550" t="s">
        <v>607</v>
      </c>
      <c r="B6" s="610">
        <v>2</v>
      </c>
      <c r="C6" s="790" t="s">
        <v>608</v>
      </c>
      <c r="D6" s="787" t="s">
        <v>62</v>
      </c>
      <c r="E6" s="610">
        <v>12</v>
      </c>
      <c r="F6" s="611">
        <v>774.9</v>
      </c>
      <c r="G6" s="549"/>
      <c r="H6" s="875"/>
      <c r="I6" s="612"/>
      <c r="J6" s="613"/>
      <c r="K6" s="612"/>
      <c r="L6" s="612"/>
      <c r="M6" s="788">
        <f>E6+G6</f>
        <v>12</v>
      </c>
      <c r="N6" s="555">
        <f>F6+H6+J6+K6+L6</f>
        <v>774.9</v>
      </c>
    </row>
    <row r="7" spans="1:14" s="203" customFormat="1" ht="24" customHeight="1">
      <c r="A7" s="505"/>
      <c r="B7" s="505"/>
      <c r="C7" s="507" t="s">
        <v>143</v>
      </c>
      <c r="D7" s="506"/>
      <c r="E7" s="507">
        <f>SUM(E6:E6)</f>
        <v>12</v>
      </c>
      <c r="F7" s="558">
        <f>SUM(F6:F6)</f>
        <v>774.9</v>
      </c>
      <c r="G7" s="507"/>
      <c r="H7" s="558"/>
      <c r="I7" s="744"/>
      <c r="J7" s="686"/>
      <c r="K7" s="558"/>
      <c r="L7" s="558"/>
      <c r="M7" s="561">
        <f>SUM(M6:M6)</f>
        <v>12</v>
      </c>
      <c r="N7" s="509">
        <f>SUM(N6:N6)</f>
        <v>774.9</v>
      </c>
    </row>
    <row r="8" spans="1:14" ht="84.75" customHeight="1">
      <c r="A8" s="550" t="s">
        <v>365</v>
      </c>
      <c r="B8" s="610">
        <v>3</v>
      </c>
      <c r="C8" s="790" t="s">
        <v>591</v>
      </c>
      <c r="D8" s="787" t="s">
        <v>452</v>
      </c>
      <c r="E8" s="610">
        <v>14</v>
      </c>
      <c r="F8" s="611">
        <v>770.6</v>
      </c>
      <c r="G8" s="549"/>
      <c r="H8" s="622"/>
      <c r="I8" s="612"/>
      <c r="J8" s="613"/>
      <c r="K8" s="612"/>
      <c r="L8" s="612"/>
      <c r="M8" s="788">
        <f>E8+G8</f>
        <v>14</v>
      </c>
      <c r="N8" s="555">
        <f>F8+H8+J8+K8+L8</f>
        <v>770.6</v>
      </c>
    </row>
    <row r="9" spans="1:14" s="203" customFormat="1" ht="24" customHeight="1">
      <c r="A9" s="505"/>
      <c r="B9" s="505"/>
      <c r="C9" s="507" t="s">
        <v>143</v>
      </c>
      <c r="D9" s="506"/>
      <c r="E9" s="507">
        <f>SUM(E8:E8)</f>
        <v>14</v>
      </c>
      <c r="F9" s="558">
        <f>SUM(F8:F8)</f>
        <v>770.6</v>
      </c>
      <c r="G9" s="507"/>
      <c r="H9" s="686"/>
      <c r="I9" s="744"/>
      <c r="J9" s="686"/>
      <c r="K9" s="558"/>
      <c r="L9" s="558"/>
      <c r="M9" s="561">
        <f>SUM(M8:M8)</f>
        <v>14</v>
      </c>
      <c r="N9" s="509">
        <f>SUM(N8:N8)</f>
        <v>770.6</v>
      </c>
    </row>
    <row r="10" spans="1:14" s="203" customFormat="1" ht="21.75">
      <c r="A10" s="550" t="s">
        <v>666</v>
      </c>
      <c r="B10" s="610">
        <v>4</v>
      </c>
      <c r="C10" s="790" t="s">
        <v>667</v>
      </c>
      <c r="D10" s="787" t="s">
        <v>73</v>
      </c>
      <c r="E10" s="610"/>
      <c r="F10" s="611"/>
      <c r="G10" s="549"/>
      <c r="H10" s="875"/>
      <c r="I10" s="549">
        <v>2</v>
      </c>
      <c r="J10" s="875">
        <f>87490*1.1/1000</f>
        <v>96.23900000000002</v>
      </c>
      <c r="K10" s="612"/>
      <c r="L10" s="612"/>
      <c r="M10" s="788"/>
      <c r="N10" s="555">
        <f>F10+H10+J10+K10+L10</f>
        <v>96.23900000000002</v>
      </c>
    </row>
    <row r="11" spans="1:14" s="203" customFormat="1" ht="60.75">
      <c r="A11" s="550"/>
      <c r="B11" s="610">
        <v>5</v>
      </c>
      <c r="C11" s="790" t="s">
        <v>669</v>
      </c>
      <c r="D11" s="787" t="s">
        <v>68</v>
      </c>
      <c r="E11" s="610"/>
      <c r="F11" s="611"/>
      <c r="G11" s="549"/>
      <c r="H11" s="875"/>
      <c r="I11" s="549">
        <v>1</v>
      </c>
      <c r="J11" s="875">
        <f>1520*1.1/1000</f>
        <v>1.6720000000000002</v>
      </c>
      <c r="K11" s="612"/>
      <c r="L11" s="612"/>
      <c r="M11" s="788"/>
      <c r="N11" s="555">
        <f>F11+H11+J11+K11+L11</f>
        <v>1.6720000000000002</v>
      </c>
    </row>
    <row r="12" spans="1:14" s="203" customFormat="1" ht="21.75">
      <c r="A12" s="550"/>
      <c r="B12" s="610">
        <v>6</v>
      </c>
      <c r="C12" s="790" t="s">
        <v>668</v>
      </c>
      <c r="D12" s="787" t="s">
        <v>69</v>
      </c>
      <c r="E12" s="610"/>
      <c r="F12" s="611"/>
      <c r="G12" s="549"/>
      <c r="H12" s="875"/>
      <c r="I12" s="549">
        <v>2</v>
      </c>
      <c r="J12" s="875">
        <f>75408*1.1/1000</f>
        <v>82.9488</v>
      </c>
      <c r="K12" s="612"/>
      <c r="L12" s="612"/>
      <c r="M12" s="788"/>
      <c r="N12" s="555">
        <f>F12+H12+J12+K12+L12</f>
        <v>82.9488</v>
      </c>
    </row>
    <row r="13" spans="1:14" s="203" customFormat="1" ht="21">
      <c r="A13" s="505"/>
      <c r="B13" s="505"/>
      <c r="C13" s="507" t="s">
        <v>143</v>
      </c>
      <c r="D13" s="506"/>
      <c r="E13" s="507">
        <f>SUM(E10:E10)</f>
        <v>0</v>
      </c>
      <c r="F13" s="558">
        <f>SUM(F10:F10)</f>
        <v>0</v>
      </c>
      <c r="G13" s="744">
        <f>SUM(G10:G12)</f>
        <v>0</v>
      </c>
      <c r="H13" s="686">
        <f>SUM(H10:H12)</f>
        <v>0</v>
      </c>
      <c r="I13" s="744">
        <f>SUM(I10:I12)</f>
        <v>5</v>
      </c>
      <c r="J13" s="686">
        <f>SUM(J10:J12)</f>
        <v>180.8598</v>
      </c>
      <c r="K13" s="558"/>
      <c r="L13" s="558"/>
      <c r="M13" s="744">
        <f>SUM(M10:M12)</f>
        <v>0</v>
      </c>
      <c r="N13" s="686">
        <f>SUM(N10:N12)</f>
        <v>180.8598</v>
      </c>
    </row>
    <row r="14" spans="1:14" s="203" customFormat="1" ht="40.5">
      <c r="A14" s="550" t="s">
        <v>449</v>
      </c>
      <c r="B14" s="610">
        <v>7</v>
      </c>
      <c r="C14" s="790" t="s">
        <v>573</v>
      </c>
      <c r="D14" s="787" t="s">
        <v>62</v>
      </c>
      <c r="E14" s="610"/>
      <c r="F14" s="611"/>
      <c r="G14" s="549"/>
      <c r="H14" s="875">
        <f>(167086+34086)*1.1/1000</f>
        <v>221.28920000000002</v>
      </c>
      <c r="I14" s="612"/>
      <c r="J14" s="613"/>
      <c r="K14" s="612"/>
      <c r="L14" s="612"/>
      <c r="M14" s="788"/>
      <c r="N14" s="555">
        <f>F14+H14+J14+K14+L14</f>
        <v>221.28920000000002</v>
      </c>
    </row>
    <row r="15" spans="1:14" s="203" customFormat="1" ht="43.5">
      <c r="A15" s="550"/>
      <c r="B15" s="610">
        <v>8</v>
      </c>
      <c r="C15" s="790" t="s">
        <v>575</v>
      </c>
      <c r="D15" s="787" t="s">
        <v>450</v>
      </c>
      <c r="E15" s="610"/>
      <c r="F15" s="611"/>
      <c r="G15" s="549"/>
      <c r="H15" s="875"/>
      <c r="I15" s="612">
        <v>4</v>
      </c>
      <c r="J15" s="613">
        <f>132501*1.1/1000</f>
        <v>145.7511</v>
      </c>
      <c r="K15" s="612"/>
      <c r="L15" s="612"/>
      <c r="M15" s="788"/>
      <c r="N15" s="555">
        <f>F15+H15+J15+K15+L15</f>
        <v>145.7511</v>
      </c>
    </row>
    <row r="16" spans="1:14" s="203" customFormat="1" ht="21">
      <c r="A16" s="505"/>
      <c r="B16" s="505"/>
      <c r="C16" s="507" t="s">
        <v>143</v>
      </c>
      <c r="D16" s="506"/>
      <c r="E16" s="507">
        <f>SUM(E14:E14)</f>
        <v>0</v>
      </c>
      <c r="F16" s="558">
        <f>SUM(F14:F14)</f>
        <v>0</v>
      </c>
      <c r="G16" s="744">
        <f>SUM(G14:G15)</f>
        <v>0</v>
      </c>
      <c r="H16" s="686">
        <f>SUM(H14:H15)</f>
        <v>221.28920000000002</v>
      </c>
      <c r="I16" s="744">
        <f>SUM(I14:I15)</f>
        <v>4</v>
      </c>
      <c r="J16" s="686">
        <f>SUM(J14:J15)</f>
        <v>145.7511</v>
      </c>
      <c r="K16" s="558"/>
      <c r="L16" s="558"/>
      <c r="M16" s="744">
        <f>SUM(M14:M15)</f>
        <v>0</v>
      </c>
      <c r="N16" s="686">
        <f>SUM(N14:N15)</f>
        <v>367.0403</v>
      </c>
    </row>
    <row r="17" spans="1:14" s="203" customFormat="1" ht="60.75">
      <c r="A17" s="551" t="s">
        <v>446</v>
      </c>
      <c r="B17" s="889">
        <v>9</v>
      </c>
      <c r="C17" s="556" t="s">
        <v>627</v>
      </c>
      <c r="D17" s="553" t="s">
        <v>452</v>
      </c>
      <c r="E17" s="610">
        <v>120</v>
      </c>
      <c r="F17" s="611">
        <v>162.9</v>
      </c>
      <c r="G17" s="549"/>
      <c r="H17" s="622"/>
      <c r="I17" s="612"/>
      <c r="J17" s="613"/>
      <c r="K17" s="613"/>
      <c r="L17" s="612"/>
      <c r="M17" s="560">
        <f>E17+G17</f>
        <v>120</v>
      </c>
      <c r="N17" s="555">
        <f>F17+H17+J17+K17+L17</f>
        <v>162.9</v>
      </c>
    </row>
    <row r="18" spans="1:14" s="7" customFormat="1" ht="40.5">
      <c r="A18" s="890"/>
      <c r="B18" s="889">
        <v>10</v>
      </c>
      <c r="C18" s="556" t="s">
        <v>447</v>
      </c>
      <c r="D18" s="553" t="s">
        <v>69</v>
      </c>
      <c r="E18" s="610"/>
      <c r="F18" s="611"/>
      <c r="G18" s="549"/>
      <c r="H18" s="622"/>
      <c r="I18" s="612">
        <v>4</v>
      </c>
      <c r="J18" s="613">
        <f>205848*1.1/1000</f>
        <v>226.43280000000001</v>
      </c>
      <c r="K18" s="613"/>
      <c r="L18" s="612"/>
      <c r="M18" s="560">
        <f>E18+G18</f>
        <v>0</v>
      </c>
      <c r="N18" s="555">
        <f>F18+H18+J18+K18+L18</f>
        <v>226.43280000000001</v>
      </c>
    </row>
    <row r="19" spans="1:14" s="7" customFormat="1" ht="18.75" customHeight="1">
      <c r="A19" s="505"/>
      <c r="B19" s="505"/>
      <c r="C19" s="507" t="s">
        <v>143</v>
      </c>
      <c r="D19" s="506"/>
      <c r="E19" s="507">
        <f>SUM(E17:E18)</f>
        <v>120</v>
      </c>
      <c r="F19" s="507">
        <f>SUM(F17:F18)</f>
        <v>162.9</v>
      </c>
      <c r="G19" s="507"/>
      <c r="H19" s="507"/>
      <c r="I19" s="507">
        <f>SUM(I17:I18)</f>
        <v>4</v>
      </c>
      <c r="J19" s="558">
        <f>SUM(J17:J18)</f>
        <v>226.43280000000001</v>
      </c>
      <c r="K19" s="558"/>
      <c r="L19" s="558"/>
      <c r="M19" s="507">
        <f>SUM(M17:M18)</f>
        <v>120</v>
      </c>
      <c r="N19" s="558">
        <f>SUM(N17:N18)</f>
        <v>389.3328</v>
      </c>
    </row>
    <row r="20" spans="1:14" s="7" customFormat="1" ht="81">
      <c r="A20" s="550" t="s">
        <v>113</v>
      </c>
      <c r="B20" s="1083">
        <v>11</v>
      </c>
      <c r="C20" s="548" t="s">
        <v>600</v>
      </c>
      <c r="D20" s="1084" t="s">
        <v>62</v>
      </c>
      <c r="E20" s="1085">
        <v>5</v>
      </c>
      <c r="F20" s="1085">
        <v>1704.3</v>
      </c>
      <c r="G20" s="1086"/>
      <c r="H20" s="1086"/>
      <c r="I20" s="1086"/>
      <c r="J20" s="1086"/>
      <c r="K20" s="1086"/>
      <c r="L20" s="1086"/>
      <c r="M20" s="1087">
        <f aca="true" t="shared" si="0" ref="M20:M27">E20+G20</f>
        <v>5</v>
      </c>
      <c r="N20" s="1075">
        <f aca="true" t="shared" si="1" ref="N20:N27">F20+H20+J20+K20+L20</f>
        <v>1704.3</v>
      </c>
    </row>
    <row r="21" spans="1:14" s="7" customFormat="1" ht="83.25" customHeight="1">
      <c r="A21" s="550"/>
      <c r="B21" s="789">
        <v>12</v>
      </c>
      <c r="C21" s="548" t="s">
        <v>594</v>
      </c>
      <c r="D21" s="1073" t="s">
        <v>74</v>
      </c>
      <c r="E21" s="610">
        <v>17</v>
      </c>
      <c r="F21" s="611">
        <v>1078.4</v>
      </c>
      <c r="G21" s="610"/>
      <c r="H21" s="611"/>
      <c r="I21" s="610"/>
      <c r="J21" s="611"/>
      <c r="K21" s="610"/>
      <c r="L21" s="611"/>
      <c r="M21" s="1074">
        <f t="shared" si="0"/>
        <v>17</v>
      </c>
      <c r="N21" s="1075">
        <f t="shared" si="1"/>
        <v>1078.4</v>
      </c>
    </row>
    <row r="22" spans="1:14" s="7" customFormat="1" ht="63" customHeight="1">
      <c r="A22" s="550"/>
      <c r="B22" s="789">
        <v>13</v>
      </c>
      <c r="C22" s="548" t="s">
        <v>598</v>
      </c>
      <c r="D22" s="557" t="s">
        <v>128</v>
      </c>
      <c r="E22" s="549">
        <v>19</v>
      </c>
      <c r="F22" s="554">
        <v>483.4</v>
      </c>
      <c r="G22" s="1072"/>
      <c r="H22" s="1072"/>
      <c r="I22" s="549"/>
      <c r="J22" s="554"/>
      <c r="K22" s="1072"/>
      <c r="L22" s="1072"/>
      <c r="M22" s="560">
        <f t="shared" si="0"/>
        <v>19</v>
      </c>
      <c r="N22" s="555">
        <f t="shared" si="1"/>
        <v>483.4</v>
      </c>
    </row>
    <row r="23" spans="1:14" s="7" customFormat="1" ht="83.25" customHeight="1">
      <c r="A23" s="550"/>
      <c r="B23" s="789">
        <v>14</v>
      </c>
      <c r="C23" s="548" t="s">
        <v>593</v>
      </c>
      <c r="D23" s="557" t="s">
        <v>459</v>
      </c>
      <c r="E23" s="549">
        <v>23</v>
      </c>
      <c r="F23" s="554">
        <v>1037.3</v>
      </c>
      <c r="G23" s="1072"/>
      <c r="H23" s="1072"/>
      <c r="I23" s="549"/>
      <c r="J23" s="554"/>
      <c r="K23" s="1072"/>
      <c r="L23" s="1072"/>
      <c r="M23" s="560">
        <f t="shared" si="0"/>
        <v>23</v>
      </c>
      <c r="N23" s="555">
        <f t="shared" si="1"/>
        <v>1037.3</v>
      </c>
    </row>
    <row r="24" spans="1:14" s="7" customFormat="1" ht="63.75" customHeight="1">
      <c r="A24" s="550"/>
      <c r="B24" s="789">
        <v>15</v>
      </c>
      <c r="C24" s="548" t="s">
        <v>596</v>
      </c>
      <c r="D24" s="557" t="s">
        <v>595</v>
      </c>
      <c r="E24" s="549">
        <v>17</v>
      </c>
      <c r="F24" s="554">
        <v>811.8</v>
      </c>
      <c r="G24" s="1072"/>
      <c r="H24" s="1072"/>
      <c r="I24" s="549"/>
      <c r="J24" s="554"/>
      <c r="K24" s="1072"/>
      <c r="L24" s="1072"/>
      <c r="M24" s="560">
        <f t="shared" si="0"/>
        <v>17</v>
      </c>
      <c r="N24" s="555">
        <f t="shared" si="1"/>
        <v>811.8</v>
      </c>
    </row>
    <row r="25" spans="1:14" s="7" customFormat="1" ht="62.25" customHeight="1">
      <c r="A25" s="550"/>
      <c r="B25" s="789">
        <v>16</v>
      </c>
      <c r="C25" s="548" t="s">
        <v>592</v>
      </c>
      <c r="D25" s="557" t="s">
        <v>416</v>
      </c>
      <c r="E25" s="549">
        <v>18</v>
      </c>
      <c r="F25" s="554">
        <v>603.6</v>
      </c>
      <c r="G25" s="1072"/>
      <c r="H25" s="1072"/>
      <c r="I25" s="549"/>
      <c r="J25" s="554"/>
      <c r="K25" s="1072"/>
      <c r="L25" s="1072"/>
      <c r="M25" s="560">
        <f t="shared" si="0"/>
        <v>18</v>
      </c>
      <c r="N25" s="555">
        <f t="shared" si="1"/>
        <v>603.6</v>
      </c>
    </row>
    <row r="26" spans="1:14" s="7" customFormat="1" ht="64.5" customHeight="1">
      <c r="A26" s="550"/>
      <c r="B26" s="789">
        <v>17</v>
      </c>
      <c r="C26" s="548" t="s">
        <v>597</v>
      </c>
      <c r="D26" s="557" t="s">
        <v>416</v>
      </c>
      <c r="E26" s="549">
        <v>14</v>
      </c>
      <c r="F26" s="554">
        <v>472.8</v>
      </c>
      <c r="G26" s="1072"/>
      <c r="H26" s="1072"/>
      <c r="I26" s="549"/>
      <c r="J26" s="554"/>
      <c r="K26" s="1072"/>
      <c r="L26" s="1072"/>
      <c r="M26" s="560">
        <f t="shared" si="0"/>
        <v>14</v>
      </c>
      <c r="N26" s="555">
        <f t="shared" si="1"/>
        <v>472.8</v>
      </c>
    </row>
    <row r="27" spans="1:14" s="7" customFormat="1" ht="81">
      <c r="A27" s="550"/>
      <c r="B27" s="789">
        <v>18</v>
      </c>
      <c r="C27" s="548" t="s">
        <v>599</v>
      </c>
      <c r="D27" s="845" t="s">
        <v>405</v>
      </c>
      <c r="E27" s="549">
        <v>40</v>
      </c>
      <c r="F27" s="554">
        <f>805.9+81.2</f>
        <v>887.1</v>
      </c>
      <c r="G27" s="549"/>
      <c r="H27" s="611"/>
      <c r="I27" s="549"/>
      <c r="J27" s="554"/>
      <c r="K27" s="549"/>
      <c r="L27" s="554"/>
      <c r="M27" s="560">
        <f t="shared" si="0"/>
        <v>40</v>
      </c>
      <c r="N27" s="555">
        <f t="shared" si="1"/>
        <v>887.1</v>
      </c>
    </row>
    <row r="28" spans="1:14" s="7" customFormat="1" ht="21">
      <c r="A28" s="505"/>
      <c r="B28" s="505"/>
      <c r="C28" s="507" t="s">
        <v>143</v>
      </c>
      <c r="D28" s="506"/>
      <c r="E28" s="507">
        <f>SUM(E20:E27)</f>
        <v>153</v>
      </c>
      <c r="F28" s="558">
        <f>SUM(F20:F27)</f>
        <v>7078.700000000001</v>
      </c>
      <c r="G28" s="507"/>
      <c r="H28" s="686"/>
      <c r="I28" s="507"/>
      <c r="J28" s="558"/>
      <c r="K28" s="558"/>
      <c r="L28" s="558"/>
      <c r="M28" s="561">
        <f>SUM(M20:M27)</f>
        <v>153</v>
      </c>
      <c r="N28" s="509">
        <f>SUM(N20:N27)</f>
        <v>7078.700000000001</v>
      </c>
    </row>
    <row r="29" spans="1:14" s="7" customFormat="1" ht="81">
      <c r="A29" s="550" t="s">
        <v>628</v>
      </c>
      <c r="B29" s="789">
        <v>19</v>
      </c>
      <c r="C29" s="548" t="s">
        <v>629</v>
      </c>
      <c r="D29" s="557" t="s">
        <v>452</v>
      </c>
      <c r="E29" s="549">
        <v>13</v>
      </c>
      <c r="F29" s="554">
        <v>1503.3</v>
      </c>
      <c r="G29" s="549"/>
      <c r="H29" s="611"/>
      <c r="I29" s="549"/>
      <c r="J29" s="554"/>
      <c r="K29" s="549"/>
      <c r="L29" s="554"/>
      <c r="M29" s="560">
        <f>E29+G29</f>
        <v>13</v>
      </c>
      <c r="N29" s="555">
        <f>F29+H29+J29+K29+L29</f>
        <v>1503.3</v>
      </c>
    </row>
    <row r="30" spans="1:14" s="7" customFormat="1" ht="81.75" customHeight="1">
      <c r="A30" s="550"/>
      <c r="B30" s="789">
        <v>20</v>
      </c>
      <c r="C30" s="548" t="s">
        <v>648</v>
      </c>
      <c r="D30" s="557" t="s">
        <v>452</v>
      </c>
      <c r="E30" s="549">
        <v>16</v>
      </c>
      <c r="F30" s="554">
        <v>201.2</v>
      </c>
      <c r="G30" s="549"/>
      <c r="H30" s="611"/>
      <c r="I30" s="549"/>
      <c r="J30" s="554"/>
      <c r="K30" s="549"/>
      <c r="L30" s="554"/>
      <c r="M30" s="560">
        <f>E30+G30</f>
        <v>16</v>
      </c>
      <c r="N30" s="555">
        <f>F30+H30+J30+K30+L30</f>
        <v>201.2</v>
      </c>
    </row>
    <row r="31" spans="1:14" s="7" customFormat="1" ht="18.75" customHeight="1">
      <c r="A31" s="505"/>
      <c r="B31" s="505"/>
      <c r="C31" s="507" t="s">
        <v>143</v>
      </c>
      <c r="D31" s="506"/>
      <c r="E31" s="507">
        <f>SUM(E29:E30)</f>
        <v>29</v>
      </c>
      <c r="F31" s="507">
        <f>SUM(F29:F30)</f>
        <v>1704.5</v>
      </c>
      <c r="G31" s="507"/>
      <c r="H31" s="686"/>
      <c r="I31" s="507"/>
      <c r="J31" s="558"/>
      <c r="K31" s="558"/>
      <c r="L31" s="558"/>
      <c r="M31" s="561">
        <f>SUM(M29:M30)</f>
        <v>29</v>
      </c>
      <c r="N31" s="509">
        <f>SUM(N29:N30)</f>
        <v>1704.5</v>
      </c>
    </row>
    <row r="32" spans="1:14" s="7" customFormat="1" ht="81">
      <c r="A32" s="550" t="s">
        <v>441</v>
      </c>
      <c r="B32" s="789">
        <v>21</v>
      </c>
      <c r="C32" s="548" t="s">
        <v>601</v>
      </c>
      <c r="D32" s="557" t="s">
        <v>63</v>
      </c>
      <c r="E32" s="549">
        <v>24</v>
      </c>
      <c r="F32" s="554">
        <v>584</v>
      </c>
      <c r="G32" s="549"/>
      <c r="H32" s="611"/>
      <c r="I32" s="549"/>
      <c r="J32" s="554"/>
      <c r="K32" s="549"/>
      <c r="L32" s="554"/>
      <c r="M32" s="560">
        <f>E32+G32</f>
        <v>24</v>
      </c>
      <c r="N32" s="555">
        <f>F32+H32+J32+K32+L32</f>
        <v>584</v>
      </c>
    </row>
    <row r="33" spans="1:14" s="7" customFormat="1" ht="18.75" customHeight="1">
      <c r="A33" s="505"/>
      <c r="B33" s="505"/>
      <c r="C33" s="507" t="s">
        <v>143</v>
      </c>
      <c r="D33" s="506"/>
      <c r="E33" s="507">
        <f>SUM(E32)</f>
        <v>24</v>
      </c>
      <c r="F33" s="558">
        <f>SUM(F32)</f>
        <v>584</v>
      </c>
      <c r="G33" s="507"/>
      <c r="H33" s="686"/>
      <c r="I33" s="507"/>
      <c r="J33" s="558"/>
      <c r="K33" s="558"/>
      <c r="L33" s="558"/>
      <c r="M33" s="561">
        <f>SUM(M32:M32)</f>
        <v>24</v>
      </c>
      <c r="N33" s="509">
        <f>SUM(N32:N32)</f>
        <v>584</v>
      </c>
    </row>
    <row r="34" spans="1:14" s="7" customFormat="1" ht="124.5" customHeight="1">
      <c r="A34" s="550" t="s">
        <v>614</v>
      </c>
      <c r="B34" s="879">
        <v>22</v>
      </c>
      <c r="C34" s="790" t="s">
        <v>602</v>
      </c>
      <c r="D34" s="557" t="s">
        <v>69</v>
      </c>
      <c r="E34" s="549">
        <v>15</v>
      </c>
      <c r="F34" s="554">
        <v>992.6</v>
      </c>
      <c r="G34" s="549"/>
      <c r="H34" s="611"/>
      <c r="I34" s="549"/>
      <c r="J34" s="554"/>
      <c r="K34" s="549"/>
      <c r="L34" s="554"/>
      <c r="M34" s="560">
        <f>E34+G34</f>
        <v>15</v>
      </c>
      <c r="N34" s="555">
        <f>F34+H34+J34+K34+L34</f>
        <v>992.6</v>
      </c>
    </row>
    <row r="35" spans="1:14" s="101" customFormat="1" ht="19.5" customHeight="1">
      <c r="A35" s="505"/>
      <c r="B35" s="505"/>
      <c r="C35" s="507" t="s">
        <v>143</v>
      </c>
      <c r="D35" s="506"/>
      <c r="E35" s="507">
        <f>SUM(E34)</f>
        <v>15</v>
      </c>
      <c r="F35" s="558">
        <f>SUM(F34)</f>
        <v>992.6</v>
      </c>
      <c r="G35" s="507"/>
      <c r="H35" s="686"/>
      <c r="I35" s="507"/>
      <c r="J35" s="686"/>
      <c r="K35" s="558"/>
      <c r="L35" s="558"/>
      <c r="M35" s="561">
        <f>SUM(M34:M34)</f>
        <v>15</v>
      </c>
      <c r="N35" s="509">
        <f>SUM(N34:N34)</f>
        <v>992.6</v>
      </c>
    </row>
    <row r="36" spans="1:14" s="101" customFormat="1" ht="40.5">
      <c r="A36" s="550" t="s">
        <v>273</v>
      </c>
      <c r="B36" s="879">
        <v>23</v>
      </c>
      <c r="C36" s="790" t="s">
        <v>609</v>
      </c>
      <c r="D36" s="557" t="s">
        <v>68</v>
      </c>
      <c r="E36" s="549">
        <v>15</v>
      </c>
      <c r="F36" s="554">
        <v>1173</v>
      </c>
      <c r="G36" s="549"/>
      <c r="H36" s="611"/>
      <c r="I36" s="549"/>
      <c r="J36" s="554"/>
      <c r="K36" s="549"/>
      <c r="L36" s="554"/>
      <c r="M36" s="560">
        <f>E36+G36</f>
        <v>15</v>
      </c>
      <c r="N36" s="555">
        <f>F36+H36+J36+K36+L36</f>
        <v>1173</v>
      </c>
    </row>
    <row r="37" spans="1:14" ht="21.75">
      <c r="A37" s="505"/>
      <c r="B37" s="505"/>
      <c r="C37" s="507" t="s">
        <v>143</v>
      </c>
      <c r="D37" s="506"/>
      <c r="E37" s="507">
        <f>SUM(E36)</f>
        <v>15</v>
      </c>
      <c r="F37" s="558">
        <f>SUM(F36)</f>
        <v>1173</v>
      </c>
      <c r="G37" s="507">
        <f>SUM(G36:G36)</f>
        <v>0</v>
      </c>
      <c r="H37" s="686">
        <f>SUM(H36:H36)</f>
        <v>0</v>
      </c>
      <c r="I37" s="507"/>
      <c r="J37" s="686"/>
      <c r="K37" s="558"/>
      <c r="L37" s="558"/>
      <c r="M37" s="561">
        <f>SUM(M36:M36)</f>
        <v>15</v>
      </c>
      <c r="N37" s="509">
        <f>SUM(N36:N36)</f>
        <v>1173</v>
      </c>
    </row>
    <row r="38" spans="1:14" s="101" customFormat="1" ht="40.5">
      <c r="A38" s="550" t="s">
        <v>448</v>
      </c>
      <c r="B38" s="879">
        <v>24</v>
      </c>
      <c r="C38" s="790" t="s">
        <v>574</v>
      </c>
      <c r="D38" s="557" t="s">
        <v>450</v>
      </c>
      <c r="E38" s="549"/>
      <c r="F38" s="554"/>
      <c r="G38" s="549"/>
      <c r="H38" s="611">
        <f>(651490+350765)*1.1/1000</f>
        <v>1102.4805</v>
      </c>
      <c r="I38" s="549"/>
      <c r="J38" s="554"/>
      <c r="K38" s="549"/>
      <c r="L38" s="554"/>
      <c r="M38" s="560">
        <f>E38+G38</f>
        <v>0</v>
      </c>
      <c r="N38" s="555">
        <f>F38+H38+J38+K38+L38</f>
        <v>1102.4805</v>
      </c>
    </row>
    <row r="39" spans="1:14" ht="21.75">
      <c r="A39" s="505"/>
      <c r="B39" s="505"/>
      <c r="C39" s="507" t="s">
        <v>143</v>
      </c>
      <c r="D39" s="506"/>
      <c r="E39" s="507">
        <f>SUM(E38)</f>
        <v>0</v>
      </c>
      <c r="F39" s="558">
        <f>SUM(F38)</f>
        <v>0</v>
      </c>
      <c r="G39" s="507">
        <f>SUM(G38:G38)</f>
        <v>0</v>
      </c>
      <c r="H39" s="686">
        <f>SUM(H38:H38)</f>
        <v>1102.4805</v>
      </c>
      <c r="I39" s="507"/>
      <c r="J39" s="686"/>
      <c r="K39" s="558"/>
      <c r="L39" s="558"/>
      <c r="M39" s="561">
        <f>SUM(M38:M38)</f>
        <v>0</v>
      </c>
      <c r="N39" s="509">
        <f>SUM(N38:N38)</f>
        <v>1102.4805</v>
      </c>
    </row>
    <row r="40" spans="1:14" ht="81.75" customHeight="1">
      <c r="A40" s="550" t="s">
        <v>417</v>
      </c>
      <c r="B40" s="789">
        <v>25</v>
      </c>
      <c r="C40" s="548" t="s">
        <v>603</v>
      </c>
      <c r="D40" s="557" t="s">
        <v>69</v>
      </c>
      <c r="E40" s="549">
        <v>20</v>
      </c>
      <c r="F40" s="554">
        <v>752.1</v>
      </c>
      <c r="G40" s="549"/>
      <c r="H40" s="611"/>
      <c r="I40" s="549"/>
      <c r="J40" s="554"/>
      <c r="K40" s="549"/>
      <c r="L40" s="554"/>
      <c r="M40" s="560">
        <f>E40+G40</f>
        <v>20</v>
      </c>
      <c r="N40" s="555">
        <f>F40+H40+J40+K40+L40</f>
        <v>752.1</v>
      </c>
    </row>
    <row r="41" spans="1:14" ht="101.25">
      <c r="A41" s="550"/>
      <c r="B41" s="789">
        <v>26</v>
      </c>
      <c r="C41" s="548" t="s">
        <v>610</v>
      </c>
      <c r="D41" s="557" t="s">
        <v>69</v>
      </c>
      <c r="E41" s="549">
        <v>17</v>
      </c>
      <c r="F41" s="554">
        <v>531.7</v>
      </c>
      <c r="G41" s="549"/>
      <c r="H41" s="611"/>
      <c r="I41" s="549"/>
      <c r="J41" s="554"/>
      <c r="K41" s="549"/>
      <c r="L41" s="554"/>
      <c r="M41" s="560">
        <f>E41+G41</f>
        <v>17</v>
      </c>
      <c r="N41" s="555">
        <f>F41+H41+J41+K41+L41</f>
        <v>531.7</v>
      </c>
    </row>
    <row r="42" spans="1:14" ht="21">
      <c r="A42" s="505"/>
      <c r="B42" s="505"/>
      <c r="C42" s="507" t="s">
        <v>143</v>
      </c>
      <c r="D42" s="506"/>
      <c r="E42" s="507">
        <f>SUM(E40:E41)</f>
        <v>37</v>
      </c>
      <c r="F42" s="507">
        <f>SUM(F40:F41)</f>
        <v>1283.8000000000002</v>
      </c>
      <c r="G42" s="507"/>
      <c r="H42" s="686"/>
      <c r="I42" s="744">
        <f>SUM(I40:I40)</f>
        <v>0</v>
      </c>
      <c r="J42" s="686">
        <f>SUM(J40:J40)</f>
        <v>0</v>
      </c>
      <c r="K42" s="558"/>
      <c r="L42" s="558"/>
      <c r="M42" s="561">
        <f>SUM(M40:M41)</f>
        <v>37</v>
      </c>
      <c r="N42" s="509">
        <f>SUM(N40:N41)</f>
        <v>1283.8000000000002</v>
      </c>
    </row>
    <row r="43" spans="1:14" s="175" customFormat="1" ht="60.75">
      <c r="A43" s="550" t="s">
        <v>604</v>
      </c>
      <c r="B43" s="789">
        <v>27</v>
      </c>
      <c r="C43" s="548" t="s">
        <v>605</v>
      </c>
      <c r="D43" s="557" t="s">
        <v>69</v>
      </c>
      <c r="E43" s="549">
        <v>20</v>
      </c>
      <c r="F43" s="554">
        <v>673.9</v>
      </c>
      <c r="G43" s="549"/>
      <c r="H43" s="611"/>
      <c r="I43" s="549"/>
      <c r="J43" s="554"/>
      <c r="K43" s="549"/>
      <c r="L43" s="554"/>
      <c r="M43" s="560">
        <f>E43+G43</f>
        <v>20</v>
      </c>
      <c r="N43" s="555">
        <f>F43+H43+J43+K43+L43</f>
        <v>673.9</v>
      </c>
    </row>
    <row r="44" spans="1:14" s="175" customFormat="1" ht="60.75">
      <c r="A44" s="550"/>
      <c r="B44" s="789">
        <v>28</v>
      </c>
      <c r="C44" s="548" t="s">
        <v>606</v>
      </c>
      <c r="D44" s="557" t="s">
        <v>69</v>
      </c>
      <c r="E44" s="549"/>
      <c r="F44" s="554"/>
      <c r="G44" s="549"/>
      <c r="H44" s="611"/>
      <c r="I44" s="549">
        <v>2</v>
      </c>
      <c r="J44" s="554">
        <v>19.8</v>
      </c>
      <c r="K44" s="549"/>
      <c r="L44" s="554"/>
      <c r="M44" s="560">
        <f>E44+G44</f>
        <v>0</v>
      </c>
      <c r="N44" s="555">
        <f>F44+H44+J44+K44+L44</f>
        <v>19.8</v>
      </c>
    </row>
    <row r="45" spans="1:14" s="3" customFormat="1" ht="18" customHeight="1" thickBot="1">
      <c r="A45" s="505"/>
      <c r="B45" s="505"/>
      <c r="C45" s="507" t="s">
        <v>143</v>
      </c>
      <c r="D45" s="506"/>
      <c r="E45" s="507">
        <f>SUM(E43)</f>
        <v>20</v>
      </c>
      <c r="F45" s="558">
        <f>SUM(F43)</f>
        <v>673.9</v>
      </c>
      <c r="G45" s="507">
        <f>SUM(G43:G43)</f>
        <v>0</v>
      </c>
      <c r="H45" s="686">
        <f>SUM(H43:H43)</f>
        <v>0</v>
      </c>
      <c r="I45" s="507">
        <f>SUM(I44)</f>
        <v>2</v>
      </c>
      <c r="J45" s="507">
        <f>SUM(J44)</f>
        <v>19.8</v>
      </c>
      <c r="K45" s="558"/>
      <c r="L45" s="558"/>
      <c r="M45" s="561">
        <f>SUM(M43:M43)</f>
        <v>20</v>
      </c>
      <c r="N45" s="509">
        <f>SUM(N43:N44)</f>
        <v>693.6999999999999</v>
      </c>
    </row>
    <row r="46" spans="1:14" ht="21.75" thickBot="1">
      <c r="A46" s="559"/>
      <c r="B46" s="511"/>
      <c r="C46" s="513" t="s">
        <v>53</v>
      </c>
      <c r="D46" s="512"/>
      <c r="E46" s="514">
        <f aca="true" t="shared" si="2" ref="E46:J46">SUM(E4:E45)/2</f>
        <v>473</v>
      </c>
      <c r="F46" s="743">
        <f t="shared" si="2"/>
        <v>16374.199999999999</v>
      </c>
      <c r="G46" s="514">
        <f t="shared" si="2"/>
        <v>0</v>
      </c>
      <c r="H46" s="743">
        <f t="shared" si="2"/>
        <v>1323.7696999999998</v>
      </c>
      <c r="I46" s="514">
        <f t="shared" si="2"/>
        <v>15</v>
      </c>
      <c r="J46" s="743">
        <f t="shared" si="2"/>
        <v>572.8437</v>
      </c>
      <c r="K46" s="743">
        <f>SUM(K4:K28)/2</f>
        <v>0</v>
      </c>
      <c r="L46" s="743">
        <f>SUM(L4:L28)/2</f>
        <v>0</v>
      </c>
      <c r="M46" s="514">
        <f>SUM(M4:M45)/2</f>
        <v>473</v>
      </c>
      <c r="N46" s="743">
        <f>SUM(N4:N45)/2</f>
        <v>18270.8134</v>
      </c>
    </row>
    <row r="47" spans="1:14" ht="21">
      <c r="A47" s="120"/>
      <c r="B47" s="156"/>
      <c r="C47" s="147"/>
      <c r="D47" s="86"/>
      <c r="E47" s="117"/>
      <c r="F47" s="197"/>
      <c r="G47" s="496"/>
      <c r="H47" s="77"/>
      <c r="I47" s="101"/>
      <c r="J47" s="101"/>
      <c r="K47" s="101"/>
      <c r="L47" s="101"/>
      <c r="M47" s="101"/>
      <c r="N47" s="101"/>
    </row>
    <row r="48" spans="1:14" ht="20.25">
      <c r="A48" s="59"/>
      <c r="B48" s="83"/>
      <c r="C48" s="147"/>
      <c r="D48" s="119"/>
      <c r="E48" s="117"/>
      <c r="F48" s="196"/>
      <c r="G48" s="496"/>
      <c r="H48" s="77"/>
      <c r="I48" s="101"/>
      <c r="J48" s="101"/>
      <c r="K48" s="101"/>
      <c r="L48" s="101"/>
      <c r="M48" s="101"/>
      <c r="N48" s="101"/>
    </row>
    <row r="49" spans="1:14" ht="21.75">
      <c r="A49" s="152"/>
      <c r="B49" s="116"/>
      <c r="C49" s="146"/>
      <c r="D49" s="119"/>
      <c r="E49" s="161"/>
      <c r="F49" s="198"/>
      <c r="G49" s="678"/>
      <c r="H49" s="77"/>
      <c r="I49" s="7"/>
      <c r="J49" s="7"/>
      <c r="K49" s="7"/>
      <c r="L49" s="7"/>
      <c r="M49" s="7"/>
      <c r="N49" s="7"/>
    </row>
    <row r="50" spans="1:14" ht="21.75">
      <c r="A50" s="152"/>
      <c r="B50" s="116"/>
      <c r="C50" s="146"/>
      <c r="D50" s="119"/>
      <c r="E50" s="117"/>
      <c r="F50" s="196"/>
      <c r="G50" s="432"/>
      <c r="H50" s="77"/>
      <c r="I50" s="7"/>
      <c r="J50" s="7"/>
      <c r="K50" s="7"/>
      <c r="L50" s="7"/>
      <c r="M50" s="7"/>
      <c r="N50" s="7"/>
    </row>
    <row r="51" spans="1:14" ht="21.75">
      <c r="A51" s="152"/>
      <c r="B51" s="116"/>
      <c r="C51" s="146"/>
      <c r="D51" s="119"/>
      <c r="E51" s="161"/>
      <c r="F51" s="198"/>
      <c r="G51" s="432"/>
      <c r="H51" s="77"/>
      <c r="I51" s="7"/>
      <c r="J51" s="7"/>
      <c r="K51" s="7"/>
      <c r="L51" s="7"/>
      <c r="M51" s="7"/>
      <c r="N51" s="7"/>
    </row>
    <row r="52" spans="1:14" ht="21.75">
      <c r="A52" s="152"/>
      <c r="B52" s="116"/>
      <c r="C52" s="146"/>
      <c r="D52" s="119"/>
      <c r="E52" s="161"/>
      <c r="F52" s="196"/>
      <c r="G52" s="432"/>
      <c r="H52" s="77"/>
      <c r="I52" s="7"/>
      <c r="J52" s="7"/>
      <c r="K52" s="7"/>
      <c r="L52" s="7"/>
      <c r="M52" s="7"/>
      <c r="N52" s="7"/>
    </row>
    <row r="53" spans="1:14" ht="21.75">
      <c r="A53" s="152"/>
      <c r="B53" s="116"/>
      <c r="C53" s="146"/>
      <c r="D53" s="119"/>
      <c r="E53" s="117"/>
      <c r="F53" s="196"/>
      <c r="G53" s="432"/>
      <c r="H53" s="77"/>
      <c r="I53" s="7"/>
      <c r="J53" s="7"/>
      <c r="K53" s="7"/>
      <c r="L53" s="7"/>
      <c r="M53" s="7"/>
      <c r="N53" s="7"/>
    </row>
    <row r="54" spans="1:14" ht="21.75">
      <c r="A54" s="152"/>
      <c r="B54" s="116"/>
      <c r="C54" s="146"/>
      <c r="D54" s="119"/>
      <c r="E54" s="117"/>
      <c r="F54" s="196"/>
      <c r="G54" s="432"/>
      <c r="H54" s="77"/>
      <c r="I54" s="7"/>
      <c r="J54" s="7"/>
      <c r="K54" s="7"/>
      <c r="L54" s="7"/>
      <c r="M54" s="7"/>
      <c r="N54" s="7"/>
    </row>
    <row r="55" spans="1:14" ht="21">
      <c r="A55" s="94"/>
      <c r="B55" s="116"/>
      <c r="C55" s="145"/>
      <c r="D55" s="170"/>
      <c r="E55" s="117"/>
      <c r="F55" s="196"/>
      <c r="G55" s="496"/>
      <c r="H55" s="77"/>
      <c r="I55" s="101"/>
      <c r="J55" s="101"/>
      <c r="K55" s="101"/>
      <c r="L55" s="101"/>
      <c r="M55" s="101"/>
      <c r="N55" s="101"/>
    </row>
    <row r="56" spans="1:14" ht="21">
      <c r="A56" s="94"/>
      <c r="B56" s="116"/>
      <c r="C56" s="145"/>
      <c r="D56" s="170"/>
      <c r="E56" s="117"/>
      <c r="F56" s="196"/>
      <c r="G56" s="496"/>
      <c r="H56" s="77"/>
      <c r="I56" s="101"/>
      <c r="J56" s="101"/>
      <c r="K56" s="101"/>
      <c r="L56" s="101"/>
      <c r="M56" s="101"/>
      <c r="N56" s="101"/>
    </row>
    <row r="57" ht="21.75">
      <c r="F57" s="199"/>
    </row>
    <row r="58" ht="21.75">
      <c r="F58" s="199"/>
    </row>
    <row r="59" spans="1:14" ht="21">
      <c r="A59" s="174"/>
      <c r="B59" s="160"/>
      <c r="C59" s="175"/>
      <c r="D59" s="176"/>
      <c r="E59" s="174"/>
      <c r="F59" s="200"/>
      <c r="G59" s="174"/>
      <c r="H59" s="177"/>
      <c r="I59" s="175"/>
      <c r="J59" s="175"/>
      <c r="K59" s="175"/>
      <c r="L59" s="175"/>
      <c r="M59" s="175"/>
      <c r="N59" s="175"/>
    </row>
    <row r="60" spans="1:14" ht="20.25">
      <c r="A60" s="96"/>
      <c r="B60" s="160"/>
      <c r="C60" s="148"/>
      <c r="D60" s="97"/>
      <c r="E60" s="95"/>
      <c r="F60" s="201"/>
      <c r="G60" s="2"/>
      <c r="I60" s="3"/>
      <c r="J60" s="3"/>
      <c r="K60" s="3"/>
      <c r="L60" s="3"/>
      <c r="M60" s="3"/>
      <c r="N60" s="3"/>
    </row>
    <row r="61" spans="2:6" ht="17.25">
      <c r="B61" s="82"/>
      <c r="C61" s="149"/>
      <c r="F61" s="202"/>
    </row>
    <row r="62" spans="2:6" ht="17.25">
      <c r="B62" s="82"/>
      <c r="C62" s="149"/>
      <c r="F62" s="202"/>
    </row>
    <row r="63" spans="2:6" ht="17.25">
      <c r="B63" s="82"/>
      <c r="C63" s="149"/>
      <c r="F63" s="202"/>
    </row>
    <row r="64" spans="2:6" ht="17.25">
      <c r="B64" s="82"/>
      <c r="C64" s="149"/>
      <c r="F64" s="202"/>
    </row>
    <row r="65" spans="2:6" ht="17.25">
      <c r="B65" s="82"/>
      <c r="C65" s="149"/>
      <c r="F65" s="202"/>
    </row>
    <row r="66" spans="2:6" ht="17.25">
      <c r="B66" s="82"/>
      <c r="C66" s="149"/>
      <c r="F66" s="202"/>
    </row>
    <row r="67" spans="2:6" ht="17.25">
      <c r="B67" s="82"/>
      <c r="C67" s="149"/>
      <c r="F67" s="202"/>
    </row>
    <row r="68" spans="2:6" ht="17.25">
      <c r="B68" s="82"/>
      <c r="C68" s="149"/>
      <c r="F68" s="202"/>
    </row>
    <row r="69" spans="2:6" ht="17.25">
      <c r="B69" s="82"/>
      <c r="C69" s="149"/>
      <c r="F69" s="202"/>
    </row>
    <row r="70" spans="2:6" ht="17.25">
      <c r="B70" s="82"/>
      <c r="C70" s="149"/>
      <c r="F70" s="202"/>
    </row>
    <row r="71" spans="2:6" ht="17.25">
      <c r="B71" s="82"/>
      <c r="C71" s="149"/>
      <c r="F71" s="202"/>
    </row>
    <row r="72" spans="2:6" ht="17.25">
      <c r="B72" s="82"/>
      <c r="C72" s="149"/>
      <c r="F72" s="202"/>
    </row>
    <row r="73" spans="2:6" ht="17.25">
      <c r="B73" s="82"/>
      <c r="C73" s="149"/>
      <c r="F73" s="202"/>
    </row>
    <row r="74" spans="2:6" ht="17.25">
      <c r="B74" s="82"/>
      <c r="C74" s="149"/>
      <c r="F74" s="202"/>
    </row>
    <row r="75" spans="2:6" ht="17.25">
      <c r="B75" s="82"/>
      <c r="C75" s="149"/>
      <c r="F75" s="202"/>
    </row>
    <row r="76" spans="2:6" ht="17.25">
      <c r="B76" s="82"/>
      <c r="C76" s="149"/>
      <c r="F76" s="202"/>
    </row>
    <row r="77" spans="2:7" ht="17.25">
      <c r="B77" s="82"/>
      <c r="C77" s="149"/>
      <c r="G77" s="495"/>
    </row>
    <row r="78" spans="2:7" ht="17.25">
      <c r="B78" s="82"/>
      <c r="C78" s="149"/>
      <c r="G78" s="495"/>
    </row>
    <row r="79" spans="2:7" ht="17.25">
      <c r="B79" s="82"/>
      <c r="C79" s="149"/>
      <c r="G79" s="495"/>
    </row>
    <row r="80" spans="2:7" ht="17.25">
      <c r="B80" s="82"/>
      <c r="C80" s="149"/>
      <c r="G80" s="495"/>
    </row>
    <row r="81" spans="2:7" ht="17.25">
      <c r="B81" s="82"/>
      <c r="C81" s="149"/>
      <c r="G81" s="495"/>
    </row>
    <row r="82" spans="2:7" ht="17.25">
      <c r="B82" s="82"/>
      <c r="C82" s="149"/>
      <c r="G82" s="495"/>
    </row>
    <row r="83" spans="2:7" ht="17.25">
      <c r="B83" s="82"/>
      <c r="C83" s="149"/>
      <c r="G83" s="495"/>
    </row>
    <row r="84" spans="2:7" ht="17.25">
      <c r="B84" s="82"/>
      <c r="C84" s="149"/>
      <c r="G84" s="495"/>
    </row>
    <row r="85" spans="2:7" ht="18.75" customHeight="1">
      <c r="B85" s="82"/>
      <c r="C85" s="149"/>
      <c r="G85" s="495"/>
    </row>
    <row r="86" spans="2:7" ht="18" customHeight="1">
      <c r="B86" s="82"/>
      <c r="C86" s="149"/>
      <c r="G86" s="495"/>
    </row>
    <row r="87" spans="2:7" ht="18" customHeight="1">
      <c r="B87" s="82"/>
      <c r="C87" s="149"/>
      <c r="G87" s="495"/>
    </row>
    <row r="88" spans="2:7" ht="18.75" customHeight="1">
      <c r="B88" s="82"/>
      <c r="C88" s="149"/>
      <c r="G88" s="495"/>
    </row>
    <row r="89" spans="2:7" ht="18.75" customHeight="1">
      <c r="B89" s="82"/>
      <c r="C89" s="149"/>
      <c r="G89" s="495"/>
    </row>
    <row r="90" spans="2:7" ht="17.25" customHeight="1">
      <c r="B90" s="82"/>
      <c r="C90" s="149"/>
      <c r="G90" s="495"/>
    </row>
    <row r="91" spans="2:7" ht="19.5" customHeight="1">
      <c r="B91" s="82"/>
      <c r="C91" s="149"/>
      <c r="G91" s="495"/>
    </row>
    <row r="92" spans="2:7" ht="19.5" customHeight="1">
      <c r="B92" s="82"/>
      <c r="C92" s="149"/>
      <c r="G92" s="495"/>
    </row>
    <row r="93" spans="2:7" ht="17.25">
      <c r="B93" s="82"/>
      <c r="C93" s="149"/>
      <c r="G93" s="495"/>
    </row>
    <row r="94" spans="2:7" ht="18.75" customHeight="1">
      <c r="B94" s="82"/>
      <c r="C94" s="149"/>
      <c r="G94" s="495"/>
    </row>
    <row r="95" spans="2:7" ht="18.75" customHeight="1">
      <c r="B95" s="82"/>
      <c r="C95" s="149"/>
      <c r="G95" s="495"/>
    </row>
    <row r="96" spans="2:7" ht="18.75" customHeight="1">
      <c r="B96" s="82"/>
      <c r="C96" s="149"/>
      <c r="G96" s="495"/>
    </row>
    <row r="97" spans="2:7" ht="18.75" customHeight="1">
      <c r="B97" s="82"/>
      <c r="C97" s="149"/>
      <c r="G97" s="495"/>
    </row>
    <row r="98" spans="2:7" ht="19.5" customHeight="1">
      <c r="B98" s="82"/>
      <c r="C98" s="149"/>
      <c r="G98" s="495"/>
    </row>
    <row r="99" spans="2:7" ht="17.25">
      <c r="B99" s="82"/>
      <c r="C99" s="149"/>
      <c r="G99" s="495"/>
    </row>
    <row r="100" spans="2:7" ht="17.25">
      <c r="B100" s="82"/>
      <c r="C100" s="149"/>
      <c r="G100" s="495"/>
    </row>
    <row r="101" spans="2:7" ht="17.25">
      <c r="B101" s="82"/>
      <c r="C101" s="149"/>
      <c r="G101" s="495"/>
    </row>
    <row r="102" spans="2:7" ht="17.25">
      <c r="B102" s="82"/>
      <c r="C102" s="149"/>
      <c r="G102" s="495"/>
    </row>
    <row r="103" spans="2:7" ht="17.25">
      <c r="B103" s="82"/>
      <c r="C103" s="149"/>
      <c r="G103" s="495"/>
    </row>
    <row r="104" spans="2:7" ht="17.25">
      <c r="B104" s="82"/>
      <c r="C104" s="149"/>
      <c r="G104" s="495"/>
    </row>
    <row r="105" spans="2:7" ht="17.25">
      <c r="B105" s="82"/>
      <c r="C105" s="149"/>
      <c r="G105" s="495"/>
    </row>
    <row r="106" spans="2:7" ht="17.25">
      <c r="B106" s="82"/>
      <c r="C106" s="149"/>
      <c r="G106" s="495"/>
    </row>
    <row r="107" spans="2:7" ht="17.25">
      <c r="B107" s="82"/>
      <c r="C107" s="149"/>
      <c r="G107" s="495"/>
    </row>
    <row r="108" spans="2:7" ht="17.25">
      <c r="B108" s="82"/>
      <c r="C108" s="149"/>
      <c r="G108" s="495"/>
    </row>
    <row r="109" spans="2:7" ht="17.25">
      <c r="B109" s="82"/>
      <c r="C109" s="149"/>
      <c r="G109" s="495"/>
    </row>
    <row r="110" spans="2:7" ht="17.25">
      <c r="B110" s="82"/>
      <c r="C110" s="149"/>
      <c r="G110" s="495"/>
    </row>
    <row r="111" spans="2:7" ht="17.25">
      <c r="B111" s="82"/>
      <c r="C111" s="149"/>
      <c r="G111" s="495"/>
    </row>
    <row r="112" spans="2:7" ht="17.25">
      <c r="B112" s="82"/>
      <c r="C112" s="149"/>
      <c r="G112" s="495"/>
    </row>
    <row r="113" spans="2:7" ht="17.25">
      <c r="B113" s="82"/>
      <c r="C113" s="149"/>
      <c r="G113" s="495"/>
    </row>
    <row r="114" spans="2:7" ht="17.25">
      <c r="B114" s="82"/>
      <c r="C114" s="149"/>
      <c r="G114" s="495"/>
    </row>
    <row r="115" spans="2:7" ht="17.25">
      <c r="B115" s="82"/>
      <c r="C115" s="149"/>
      <c r="G115" s="495"/>
    </row>
    <row r="116" spans="1:14" s="25" customFormat="1" ht="18.75">
      <c r="A116"/>
      <c r="B116" s="82"/>
      <c r="C116" s="149"/>
      <c r="D116"/>
      <c r="E116"/>
      <c r="F116"/>
      <c r="G116" s="495"/>
      <c r="H116"/>
      <c r="I116"/>
      <c r="J116"/>
      <c r="K116"/>
      <c r="L116"/>
      <c r="M116"/>
      <c r="N116"/>
    </row>
    <row r="117" spans="1:14" s="25" customFormat="1" ht="18.75">
      <c r="A117"/>
      <c r="B117" s="82"/>
      <c r="C117" s="149"/>
      <c r="D117"/>
      <c r="E117"/>
      <c r="F117"/>
      <c r="G117" s="495"/>
      <c r="H117"/>
      <c r="I117"/>
      <c r="J117"/>
      <c r="K117"/>
      <c r="L117"/>
      <c r="M117"/>
      <c r="N117"/>
    </row>
    <row r="118" spans="1:14" s="25" customFormat="1" ht="18.75">
      <c r="A118"/>
      <c r="B118" s="82"/>
      <c r="C118" s="149"/>
      <c r="D118"/>
      <c r="E118"/>
      <c r="F118"/>
      <c r="G118" s="495"/>
      <c r="H118"/>
      <c r="I118"/>
      <c r="J118"/>
      <c r="K118"/>
      <c r="L118"/>
      <c r="M118"/>
      <c r="N118"/>
    </row>
    <row r="119" spans="1:14" s="25" customFormat="1" ht="18.75">
      <c r="A119"/>
      <c r="B119" s="82"/>
      <c r="C119" s="149"/>
      <c r="D119"/>
      <c r="E119"/>
      <c r="F119"/>
      <c r="G119" s="495"/>
      <c r="H119"/>
      <c r="I119"/>
      <c r="J119"/>
      <c r="K119"/>
      <c r="L119"/>
      <c r="M119"/>
      <c r="N119"/>
    </row>
    <row r="120" spans="1:14" s="25" customFormat="1" ht="18.75">
      <c r="A120"/>
      <c r="B120" s="82"/>
      <c r="C120" s="149"/>
      <c r="D120"/>
      <c r="E120"/>
      <c r="F120"/>
      <c r="G120" s="495"/>
      <c r="H120"/>
      <c r="I120"/>
      <c r="J120"/>
      <c r="K120"/>
      <c r="L120"/>
      <c r="M120"/>
      <c r="N120"/>
    </row>
    <row r="121" spans="1:14" s="25" customFormat="1" ht="18.75">
      <c r="A121"/>
      <c r="B121" s="82"/>
      <c r="C121" s="149"/>
      <c r="D121"/>
      <c r="E121"/>
      <c r="F121"/>
      <c r="G121" s="495"/>
      <c r="H121"/>
      <c r="I121"/>
      <c r="J121"/>
      <c r="K121"/>
      <c r="L121"/>
      <c r="M121"/>
      <c r="N121"/>
    </row>
    <row r="122" spans="1:14" s="25" customFormat="1" ht="18.75">
      <c r="A122"/>
      <c r="B122" s="82"/>
      <c r="C122" s="149"/>
      <c r="D122"/>
      <c r="E122"/>
      <c r="F122"/>
      <c r="G122" s="495"/>
      <c r="H122"/>
      <c r="I122"/>
      <c r="J122"/>
      <c r="K122"/>
      <c r="L122"/>
      <c r="M122"/>
      <c r="N122"/>
    </row>
    <row r="123" spans="1:14" s="25" customFormat="1" ht="18.75">
      <c r="A123"/>
      <c r="B123" s="82"/>
      <c r="C123" s="149"/>
      <c r="D123"/>
      <c r="E123"/>
      <c r="F123"/>
      <c r="G123" s="495"/>
      <c r="H123"/>
      <c r="I123"/>
      <c r="J123"/>
      <c r="K123"/>
      <c r="L123"/>
      <c r="M123"/>
      <c r="N123"/>
    </row>
    <row r="124" spans="1:14" s="25" customFormat="1" ht="18.75">
      <c r="A124"/>
      <c r="B124" s="82"/>
      <c r="C124" s="149"/>
      <c r="D124"/>
      <c r="E124"/>
      <c r="F124"/>
      <c r="G124" s="495"/>
      <c r="H124"/>
      <c r="I124"/>
      <c r="J124"/>
      <c r="K124"/>
      <c r="L124"/>
      <c r="M124"/>
      <c r="N124"/>
    </row>
    <row r="125" spans="1:14" s="25" customFormat="1" ht="18.75">
      <c r="A125"/>
      <c r="B125" s="82"/>
      <c r="C125" s="149"/>
      <c r="D125"/>
      <c r="E125"/>
      <c r="F125"/>
      <c r="G125" s="495"/>
      <c r="H125"/>
      <c r="I125"/>
      <c r="J125"/>
      <c r="K125"/>
      <c r="L125"/>
      <c r="M125"/>
      <c r="N125"/>
    </row>
    <row r="126" spans="1:14" s="25" customFormat="1" ht="18.75">
      <c r="A126"/>
      <c r="B126" s="82"/>
      <c r="C126" s="149"/>
      <c r="D126"/>
      <c r="E126"/>
      <c r="F126"/>
      <c r="G126" s="495"/>
      <c r="H126"/>
      <c r="I126"/>
      <c r="J126"/>
      <c r="K126"/>
      <c r="L126"/>
      <c r="M126"/>
      <c r="N126"/>
    </row>
    <row r="127" spans="1:14" s="25" customFormat="1" ht="18.75">
      <c r="A127"/>
      <c r="B127" s="82"/>
      <c r="C127" s="149"/>
      <c r="D127"/>
      <c r="E127"/>
      <c r="F127"/>
      <c r="G127" s="495"/>
      <c r="H127"/>
      <c r="I127"/>
      <c r="J127"/>
      <c r="K127"/>
      <c r="L127"/>
      <c r="M127"/>
      <c r="N127"/>
    </row>
    <row r="128" spans="1:14" s="25" customFormat="1" ht="18.75">
      <c r="A128"/>
      <c r="B128" s="82"/>
      <c r="C128" s="149"/>
      <c r="D128"/>
      <c r="E128"/>
      <c r="F128"/>
      <c r="G128" s="495"/>
      <c r="H128"/>
      <c r="I128"/>
      <c r="J128"/>
      <c r="K128"/>
      <c r="L128"/>
      <c r="M128"/>
      <c r="N128"/>
    </row>
    <row r="129" spans="1:14" s="25" customFormat="1" ht="18.75">
      <c r="A129"/>
      <c r="B129" s="82"/>
      <c r="C129" s="149"/>
      <c r="D129"/>
      <c r="E129"/>
      <c r="F129"/>
      <c r="G129" s="495"/>
      <c r="H129"/>
      <c r="I129"/>
      <c r="J129"/>
      <c r="K129"/>
      <c r="L129"/>
      <c r="M129"/>
      <c r="N129"/>
    </row>
    <row r="130" spans="1:14" s="25" customFormat="1" ht="18.75">
      <c r="A130"/>
      <c r="B130" s="82"/>
      <c r="C130" s="149"/>
      <c r="D130"/>
      <c r="E130"/>
      <c r="F130"/>
      <c r="G130" s="495"/>
      <c r="H130"/>
      <c r="I130"/>
      <c r="J130"/>
      <c r="K130"/>
      <c r="L130"/>
      <c r="M130"/>
      <c r="N130"/>
    </row>
    <row r="131" spans="1:14" s="25" customFormat="1" ht="18.75">
      <c r="A131"/>
      <c r="B131" s="82"/>
      <c r="C131" s="149"/>
      <c r="D131"/>
      <c r="E131"/>
      <c r="F131"/>
      <c r="G131" s="495"/>
      <c r="H131"/>
      <c r="I131"/>
      <c r="J131"/>
      <c r="K131"/>
      <c r="L131"/>
      <c r="M131"/>
      <c r="N131"/>
    </row>
    <row r="132" spans="1:14" s="25" customFormat="1" ht="18.75">
      <c r="A132"/>
      <c r="B132" s="82"/>
      <c r="C132" s="149"/>
      <c r="D132"/>
      <c r="E132"/>
      <c r="F132"/>
      <c r="G132" s="495"/>
      <c r="H132"/>
      <c r="I132"/>
      <c r="J132"/>
      <c r="K132"/>
      <c r="L132"/>
      <c r="M132"/>
      <c r="N132"/>
    </row>
    <row r="133" spans="1:14" s="25" customFormat="1" ht="18.75">
      <c r="A133"/>
      <c r="B133" s="82"/>
      <c r="C133" s="149"/>
      <c r="D133"/>
      <c r="E133"/>
      <c r="F133"/>
      <c r="G133" s="495"/>
      <c r="H133"/>
      <c r="I133"/>
      <c r="J133"/>
      <c r="K133"/>
      <c r="L133"/>
      <c r="M133"/>
      <c r="N133"/>
    </row>
    <row r="134" spans="1:14" s="25" customFormat="1" ht="18.75">
      <c r="A134"/>
      <c r="B134" s="82"/>
      <c r="C134" s="149"/>
      <c r="D134"/>
      <c r="E134"/>
      <c r="F134"/>
      <c r="G134" s="495"/>
      <c r="H134"/>
      <c r="I134"/>
      <c r="J134"/>
      <c r="K134"/>
      <c r="L134"/>
      <c r="M134"/>
      <c r="N134"/>
    </row>
    <row r="135" spans="1:8" s="25" customFormat="1" ht="21">
      <c r="A135" s="24"/>
      <c r="B135" s="162"/>
      <c r="C135" s="150"/>
      <c r="D135" s="98"/>
      <c r="E135" s="24"/>
      <c r="G135" s="24"/>
      <c r="H135"/>
    </row>
    <row r="136" spans="1:8" s="25" customFormat="1" ht="21">
      <c r="A136" s="24"/>
      <c r="B136" s="162"/>
      <c r="C136" s="150"/>
      <c r="D136" s="98"/>
      <c r="E136" s="24"/>
      <c r="G136" s="24"/>
      <c r="H136"/>
    </row>
    <row r="137" spans="1:8" s="25" customFormat="1" ht="21">
      <c r="A137" s="24"/>
      <c r="B137" s="162"/>
      <c r="C137" s="150"/>
      <c r="D137" s="98"/>
      <c r="E137" s="24"/>
      <c r="G137" s="24"/>
      <c r="H137"/>
    </row>
    <row r="138" spans="1:8" s="25" customFormat="1" ht="21">
      <c r="A138" s="24"/>
      <c r="B138" s="162"/>
      <c r="C138" s="150"/>
      <c r="D138" s="98"/>
      <c r="E138" s="24"/>
      <c r="G138" s="24"/>
      <c r="H138"/>
    </row>
    <row r="139" spans="1:8" s="25" customFormat="1" ht="21">
      <c r="A139" s="24"/>
      <c r="B139" s="162"/>
      <c r="C139" s="150"/>
      <c r="D139" s="98"/>
      <c r="E139" s="24"/>
      <c r="G139" s="24"/>
      <c r="H139"/>
    </row>
    <row r="140" spans="1:8" s="25" customFormat="1" ht="21">
      <c r="A140" s="24"/>
      <c r="B140" s="162"/>
      <c r="C140" s="150"/>
      <c r="D140" s="98"/>
      <c r="E140" s="24"/>
      <c r="G140" s="24"/>
      <c r="H140"/>
    </row>
    <row r="141" spans="1:8" s="25" customFormat="1" ht="21">
      <c r="A141" s="24"/>
      <c r="B141" s="162"/>
      <c r="C141" s="150"/>
      <c r="D141" s="98"/>
      <c r="E141" s="24"/>
      <c r="G141" s="24"/>
      <c r="H141"/>
    </row>
    <row r="142" spans="1:8" s="25" customFormat="1" ht="21">
      <c r="A142" s="24"/>
      <c r="B142" s="162"/>
      <c r="C142" s="150"/>
      <c r="D142" s="98"/>
      <c r="E142" s="24"/>
      <c r="G142" s="24"/>
      <c r="H142"/>
    </row>
    <row r="143" spans="1:8" s="25" customFormat="1" ht="21">
      <c r="A143" s="24"/>
      <c r="B143" s="162"/>
      <c r="C143" s="150"/>
      <c r="D143" s="98"/>
      <c r="E143" s="24"/>
      <c r="G143" s="24"/>
      <c r="H143"/>
    </row>
    <row r="144" spans="1:8" s="25" customFormat="1" ht="21">
      <c r="A144" s="24"/>
      <c r="B144" s="162"/>
      <c r="C144" s="150"/>
      <c r="D144" s="98"/>
      <c r="E144" s="24"/>
      <c r="G144" s="24"/>
      <c r="H144"/>
    </row>
    <row r="145" spans="1:8" s="25" customFormat="1" ht="21">
      <c r="A145" s="24"/>
      <c r="B145" s="162"/>
      <c r="C145" s="150"/>
      <c r="D145" s="98"/>
      <c r="E145" s="24"/>
      <c r="G145" s="24"/>
      <c r="H145"/>
    </row>
    <row r="146" spans="1:8" s="25" customFormat="1" ht="21">
      <c r="A146" s="24"/>
      <c r="B146" s="162"/>
      <c r="C146" s="150"/>
      <c r="D146" s="98"/>
      <c r="E146" s="24"/>
      <c r="G146" s="24"/>
      <c r="H146"/>
    </row>
    <row r="147" spans="1:8" s="25" customFormat="1" ht="21">
      <c r="A147" s="24"/>
      <c r="B147" s="162"/>
      <c r="C147" s="150"/>
      <c r="D147" s="98"/>
      <c r="E147" s="24"/>
      <c r="G147" s="24"/>
      <c r="H147"/>
    </row>
    <row r="148" spans="1:8" s="25" customFormat="1" ht="21">
      <c r="A148" s="24"/>
      <c r="B148" s="162"/>
      <c r="C148" s="150"/>
      <c r="D148" s="98"/>
      <c r="E148" s="24"/>
      <c r="G148" s="24"/>
      <c r="H148"/>
    </row>
    <row r="149" spans="1:8" s="25" customFormat="1" ht="21">
      <c r="A149" s="24"/>
      <c r="B149" s="162"/>
      <c r="C149" s="150"/>
      <c r="D149" s="98"/>
      <c r="E149" s="24"/>
      <c r="G149" s="24"/>
      <c r="H149"/>
    </row>
    <row r="150" spans="1:8" s="25" customFormat="1" ht="21">
      <c r="A150" s="24"/>
      <c r="B150" s="162"/>
      <c r="C150" s="150"/>
      <c r="D150" s="98"/>
      <c r="E150" s="24"/>
      <c r="G150" s="24"/>
      <c r="H150"/>
    </row>
    <row r="151" spans="1:8" s="25" customFormat="1" ht="21">
      <c r="A151" s="24"/>
      <c r="B151" s="162"/>
      <c r="C151" s="150"/>
      <c r="D151" s="98"/>
      <c r="E151" s="24"/>
      <c r="G151" s="24"/>
      <c r="H151"/>
    </row>
    <row r="152" spans="1:8" s="25" customFormat="1" ht="21">
      <c r="A152" s="24"/>
      <c r="B152" s="162"/>
      <c r="C152" s="150"/>
      <c r="D152" s="98"/>
      <c r="E152" s="24"/>
      <c r="G152" s="24"/>
      <c r="H152"/>
    </row>
    <row r="153" spans="1:8" s="25" customFormat="1" ht="21">
      <c r="A153" s="24"/>
      <c r="B153" s="162"/>
      <c r="C153" s="150"/>
      <c r="D153" s="98"/>
      <c r="E153" s="24"/>
      <c r="G153" s="24"/>
      <c r="H153"/>
    </row>
    <row r="154" spans="1:8" s="25" customFormat="1" ht="21">
      <c r="A154" s="24"/>
      <c r="B154" s="162"/>
      <c r="C154" s="150"/>
      <c r="D154" s="98"/>
      <c r="E154" s="24"/>
      <c r="G154" s="24"/>
      <c r="H154"/>
    </row>
    <row r="155" spans="1:8" s="25" customFormat="1" ht="21">
      <c r="A155" s="24"/>
      <c r="B155" s="162"/>
      <c r="C155" s="150"/>
      <c r="D155" s="98"/>
      <c r="E155" s="24"/>
      <c r="G155" s="24"/>
      <c r="H155"/>
    </row>
    <row r="156" spans="1:8" s="25" customFormat="1" ht="21">
      <c r="A156" s="24"/>
      <c r="B156" s="162"/>
      <c r="C156" s="150"/>
      <c r="D156" s="98"/>
      <c r="E156" s="24"/>
      <c r="G156" s="24"/>
      <c r="H156"/>
    </row>
    <row r="157" spans="1:8" s="25" customFormat="1" ht="21">
      <c r="A157" s="24"/>
      <c r="B157" s="162"/>
      <c r="C157" s="150"/>
      <c r="D157" s="98"/>
      <c r="E157" s="24"/>
      <c r="G157" s="24"/>
      <c r="H157"/>
    </row>
    <row r="158" spans="1:8" s="25" customFormat="1" ht="21">
      <c r="A158" s="24"/>
      <c r="B158" s="162"/>
      <c r="C158" s="150"/>
      <c r="D158" s="98"/>
      <c r="E158" s="24"/>
      <c r="G158" s="24"/>
      <c r="H158"/>
    </row>
    <row r="159" spans="1:8" s="25" customFormat="1" ht="21">
      <c r="A159" s="24"/>
      <c r="B159" s="162"/>
      <c r="C159" s="150"/>
      <c r="D159" s="98"/>
      <c r="E159" s="24"/>
      <c r="G159" s="24"/>
      <c r="H159"/>
    </row>
    <row r="160" spans="1:8" s="25" customFormat="1" ht="21">
      <c r="A160" s="24"/>
      <c r="B160" s="162"/>
      <c r="C160" s="150"/>
      <c r="D160" s="98"/>
      <c r="E160" s="24"/>
      <c r="G160" s="24"/>
      <c r="H160"/>
    </row>
    <row r="161" spans="1:8" s="25" customFormat="1" ht="21">
      <c r="A161" s="24"/>
      <c r="B161" s="162"/>
      <c r="C161" s="150"/>
      <c r="D161" s="98"/>
      <c r="E161" s="24"/>
      <c r="G161" s="24"/>
      <c r="H161"/>
    </row>
    <row r="162" spans="1:8" s="25" customFormat="1" ht="21">
      <c r="A162" s="24"/>
      <c r="B162" s="162"/>
      <c r="C162" s="150"/>
      <c r="D162" s="98"/>
      <c r="E162" s="24"/>
      <c r="G162" s="24"/>
      <c r="H162"/>
    </row>
    <row r="163" spans="1:8" s="25" customFormat="1" ht="21">
      <c r="A163" s="24"/>
      <c r="B163" s="162"/>
      <c r="C163" s="150"/>
      <c r="D163" s="98"/>
      <c r="E163" s="24"/>
      <c r="G163" s="24"/>
      <c r="H163"/>
    </row>
    <row r="164" spans="1:8" s="25" customFormat="1" ht="21">
      <c r="A164" s="24"/>
      <c r="B164" s="162"/>
      <c r="C164" s="150"/>
      <c r="D164" s="98"/>
      <c r="E164" s="24"/>
      <c r="G164" s="24"/>
      <c r="H164"/>
    </row>
    <row r="165" spans="1:8" s="25" customFormat="1" ht="21">
      <c r="A165" s="24"/>
      <c r="B165" s="162"/>
      <c r="C165" s="150"/>
      <c r="D165" s="98"/>
      <c r="E165" s="24"/>
      <c r="G165" s="24"/>
      <c r="H165"/>
    </row>
    <row r="166" spans="1:8" s="25" customFormat="1" ht="21">
      <c r="A166" s="24"/>
      <c r="B166" s="162"/>
      <c r="C166" s="150"/>
      <c r="D166" s="98"/>
      <c r="E166" s="24"/>
      <c r="G166" s="24"/>
      <c r="H166"/>
    </row>
    <row r="167" spans="1:8" s="25" customFormat="1" ht="21">
      <c r="A167" s="24"/>
      <c r="B167" s="162"/>
      <c r="C167" s="150"/>
      <c r="D167" s="98"/>
      <c r="E167" s="24"/>
      <c r="G167" s="24"/>
      <c r="H167"/>
    </row>
    <row r="168" spans="1:8" s="25" customFormat="1" ht="21">
      <c r="A168" s="24"/>
      <c r="B168" s="162"/>
      <c r="C168" s="150"/>
      <c r="D168" s="98"/>
      <c r="E168" s="24"/>
      <c r="G168" s="24"/>
      <c r="H168"/>
    </row>
    <row r="169" spans="1:8" s="25" customFormat="1" ht="21">
      <c r="A169" s="24"/>
      <c r="B169" s="162"/>
      <c r="C169" s="150"/>
      <c r="D169" s="98"/>
      <c r="E169" s="24"/>
      <c r="G169" s="24"/>
      <c r="H169"/>
    </row>
    <row r="170" spans="1:8" s="25" customFormat="1" ht="21">
      <c r="A170" s="24"/>
      <c r="B170" s="162"/>
      <c r="C170" s="150"/>
      <c r="D170" s="98"/>
      <c r="E170" s="24"/>
      <c r="G170" s="24"/>
      <c r="H170"/>
    </row>
    <row r="171" spans="1:8" s="25" customFormat="1" ht="21">
      <c r="A171" s="24"/>
      <c r="B171" s="162"/>
      <c r="C171" s="150"/>
      <c r="D171" s="98"/>
      <c r="E171" s="24"/>
      <c r="G171" s="24"/>
      <c r="H171"/>
    </row>
    <row r="172" spans="1:8" s="25" customFormat="1" ht="21">
      <c r="A172" s="24"/>
      <c r="B172" s="162"/>
      <c r="C172" s="150"/>
      <c r="D172" s="98"/>
      <c r="E172" s="24"/>
      <c r="G172" s="24"/>
      <c r="H172"/>
    </row>
    <row r="173" spans="1:8" s="25" customFormat="1" ht="21">
      <c r="A173" s="24"/>
      <c r="B173" s="162"/>
      <c r="C173" s="150"/>
      <c r="D173" s="98"/>
      <c r="E173" s="24"/>
      <c r="G173" s="24"/>
      <c r="H173"/>
    </row>
    <row r="174" spans="1:8" s="25" customFormat="1" ht="21">
      <c r="A174" s="24"/>
      <c r="B174" s="162"/>
      <c r="C174" s="150"/>
      <c r="D174" s="98"/>
      <c r="E174" s="24"/>
      <c r="G174" s="24"/>
      <c r="H174"/>
    </row>
    <row r="175" spans="1:8" s="25" customFormat="1" ht="21">
      <c r="A175" s="24"/>
      <c r="B175" s="162"/>
      <c r="C175" s="150"/>
      <c r="D175" s="98"/>
      <c r="E175" s="24"/>
      <c r="G175" s="24"/>
      <c r="H175"/>
    </row>
    <row r="176" spans="1:8" s="25" customFormat="1" ht="21">
      <c r="A176" s="24"/>
      <c r="B176" s="162"/>
      <c r="C176" s="150"/>
      <c r="D176" s="98"/>
      <c r="E176" s="24"/>
      <c r="G176" s="24"/>
      <c r="H176"/>
    </row>
    <row r="177" spans="1:8" s="25" customFormat="1" ht="21">
      <c r="A177" s="24"/>
      <c r="B177" s="162"/>
      <c r="C177" s="150"/>
      <c r="D177" s="98"/>
      <c r="E177" s="24"/>
      <c r="G177" s="24"/>
      <c r="H177"/>
    </row>
    <row r="178" spans="1:8" s="25" customFormat="1" ht="21">
      <c r="A178" s="24"/>
      <c r="B178" s="162"/>
      <c r="C178" s="150"/>
      <c r="D178" s="98"/>
      <c r="E178" s="24"/>
      <c r="G178" s="24"/>
      <c r="H178"/>
    </row>
    <row r="179" spans="1:8" s="25" customFormat="1" ht="21">
      <c r="A179" s="24"/>
      <c r="B179" s="162"/>
      <c r="C179" s="150"/>
      <c r="D179" s="98"/>
      <c r="E179" s="24"/>
      <c r="G179" s="24"/>
      <c r="H179"/>
    </row>
    <row r="180" spans="1:8" s="25" customFormat="1" ht="21">
      <c r="A180" s="24"/>
      <c r="B180" s="162"/>
      <c r="C180" s="150"/>
      <c r="D180" s="98"/>
      <c r="E180" s="24"/>
      <c r="G180" s="24"/>
      <c r="H180"/>
    </row>
    <row r="181" spans="1:8" s="25" customFormat="1" ht="21">
      <c r="A181" s="24"/>
      <c r="B181" s="162"/>
      <c r="C181" s="150"/>
      <c r="D181" s="98"/>
      <c r="E181" s="24"/>
      <c r="G181" s="24"/>
      <c r="H181"/>
    </row>
    <row r="182" spans="1:8" s="25" customFormat="1" ht="21">
      <c r="A182" s="24"/>
      <c r="B182" s="162"/>
      <c r="C182" s="150"/>
      <c r="D182" s="98"/>
      <c r="E182" s="24"/>
      <c r="G182" s="24"/>
      <c r="H182"/>
    </row>
    <row r="183" spans="1:8" s="25" customFormat="1" ht="21">
      <c r="A183" s="24"/>
      <c r="B183" s="162"/>
      <c r="C183" s="150"/>
      <c r="D183" s="98"/>
      <c r="E183" s="24"/>
      <c r="G183" s="24"/>
      <c r="H183"/>
    </row>
    <row r="184" spans="1:8" s="25" customFormat="1" ht="21">
      <c r="A184" s="24"/>
      <c r="B184" s="162"/>
      <c r="C184" s="150"/>
      <c r="D184" s="98"/>
      <c r="E184" s="24"/>
      <c r="G184" s="24"/>
      <c r="H184"/>
    </row>
    <row r="185" spans="1:8" s="25" customFormat="1" ht="21">
      <c r="A185" s="24"/>
      <c r="B185" s="162"/>
      <c r="C185" s="150"/>
      <c r="D185" s="98"/>
      <c r="E185" s="24"/>
      <c r="G185" s="24"/>
      <c r="H185"/>
    </row>
    <row r="186" spans="1:8" s="25" customFormat="1" ht="21">
      <c r="A186" s="24"/>
      <c r="B186" s="162"/>
      <c r="C186" s="150"/>
      <c r="D186" s="98"/>
      <c r="E186" s="24"/>
      <c r="G186" s="24"/>
      <c r="H186"/>
    </row>
    <row r="187" spans="1:8" s="25" customFormat="1" ht="21">
      <c r="A187" s="24"/>
      <c r="B187" s="162"/>
      <c r="C187" s="150"/>
      <c r="D187" s="98"/>
      <c r="E187" s="24"/>
      <c r="G187" s="24"/>
      <c r="H187"/>
    </row>
    <row r="188" spans="1:8" s="25" customFormat="1" ht="21">
      <c r="A188" s="24"/>
      <c r="B188" s="162"/>
      <c r="C188" s="150"/>
      <c r="D188" s="98"/>
      <c r="E188" s="24"/>
      <c r="G188" s="24"/>
      <c r="H188"/>
    </row>
    <row r="189" spans="1:8" s="25" customFormat="1" ht="21">
      <c r="A189" s="24"/>
      <c r="B189" s="162"/>
      <c r="C189" s="150"/>
      <c r="D189" s="98"/>
      <c r="E189" s="24"/>
      <c r="G189" s="24"/>
      <c r="H189"/>
    </row>
    <row r="190" spans="1:8" s="25" customFormat="1" ht="21">
      <c r="A190" s="24"/>
      <c r="B190" s="162"/>
      <c r="C190" s="150"/>
      <c r="D190" s="98"/>
      <c r="E190" s="24"/>
      <c r="G190" s="24"/>
      <c r="H190"/>
    </row>
    <row r="191" spans="1:8" s="25" customFormat="1" ht="21">
      <c r="A191" s="24"/>
      <c r="B191" s="162"/>
      <c r="C191" s="150"/>
      <c r="D191" s="98"/>
      <c r="E191" s="24"/>
      <c r="G191" s="24"/>
      <c r="H191"/>
    </row>
    <row r="192" spans="1:8" s="25" customFormat="1" ht="21">
      <c r="A192" s="24"/>
      <c r="B192" s="162"/>
      <c r="C192" s="150"/>
      <c r="D192" s="98"/>
      <c r="E192" s="24"/>
      <c r="G192" s="24"/>
      <c r="H192"/>
    </row>
    <row r="193" spans="1:8" s="25" customFormat="1" ht="21">
      <c r="A193" s="24"/>
      <c r="B193" s="162"/>
      <c r="C193" s="150"/>
      <c r="D193" s="98"/>
      <c r="E193" s="24"/>
      <c r="G193" s="24"/>
      <c r="H193"/>
    </row>
    <row r="194" spans="1:8" s="25" customFormat="1" ht="21">
      <c r="A194" s="24"/>
      <c r="B194" s="162"/>
      <c r="C194" s="150"/>
      <c r="D194" s="98"/>
      <c r="E194" s="24"/>
      <c r="G194" s="24"/>
      <c r="H194"/>
    </row>
    <row r="195" spans="1:8" s="25" customFormat="1" ht="21">
      <c r="A195" s="24"/>
      <c r="B195" s="162"/>
      <c r="C195" s="150"/>
      <c r="D195" s="98"/>
      <c r="E195" s="24"/>
      <c r="G195" s="24"/>
      <c r="H195"/>
    </row>
    <row r="196" spans="1:8" s="25" customFormat="1" ht="21">
      <c r="A196" s="24"/>
      <c r="B196" s="162"/>
      <c r="C196" s="150"/>
      <c r="D196" s="98"/>
      <c r="E196" s="24"/>
      <c r="G196" s="24"/>
      <c r="H196"/>
    </row>
    <row r="197" spans="1:8" s="25" customFormat="1" ht="21">
      <c r="A197" s="24"/>
      <c r="B197" s="162"/>
      <c r="C197" s="150"/>
      <c r="D197" s="98"/>
      <c r="E197" s="24"/>
      <c r="G197" s="24"/>
      <c r="H197"/>
    </row>
    <row r="198" spans="1:8" s="25" customFormat="1" ht="21">
      <c r="A198" s="24"/>
      <c r="B198" s="162"/>
      <c r="C198" s="150"/>
      <c r="D198" s="98"/>
      <c r="E198" s="24"/>
      <c r="G198" s="24"/>
      <c r="H198"/>
    </row>
    <row r="199" spans="1:8" s="25" customFormat="1" ht="21">
      <c r="A199" s="24"/>
      <c r="B199" s="162"/>
      <c r="C199" s="150"/>
      <c r="D199" s="98"/>
      <c r="E199" s="24"/>
      <c r="G199" s="24"/>
      <c r="H199"/>
    </row>
    <row r="200" spans="1:8" s="25" customFormat="1" ht="21">
      <c r="A200" s="24"/>
      <c r="B200" s="162"/>
      <c r="C200" s="150"/>
      <c r="D200" s="98"/>
      <c r="E200" s="24"/>
      <c r="G200" s="24"/>
      <c r="H200"/>
    </row>
    <row r="201" spans="1:8" s="25" customFormat="1" ht="21">
      <c r="A201" s="24"/>
      <c r="B201" s="162"/>
      <c r="C201" s="150"/>
      <c r="D201" s="98"/>
      <c r="E201" s="24"/>
      <c r="G201" s="24"/>
      <c r="H201"/>
    </row>
    <row r="202" spans="1:8" s="25" customFormat="1" ht="21">
      <c r="A202" s="24"/>
      <c r="B202" s="162"/>
      <c r="C202" s="150"/>
      <c r="D202" s="98"/>
      <c r="E202" s="24"/>
      <c r="G202" s="24"/>
      <c r="H202"/>
    </row>
    <row r="203" spans="1:8" s="25" customFormat="1" ht="21">
      <c r="A203" s="24"/>
      <c r="B203" s="162"/>
      <c r="C203" s="150"/>
      <c r="D203" s="98"/>
      <c r="E203" s="24"/>
      <c r="G203" s="24"/>
      <c r="H203"/>
    </row>
    <row r="204" spans="1:8" s="25" customFormat="1" ht="21">
      <c r="A204" s="24"/>
      <c r="B204" s="162"/>
      <c r="C204" s="150"/>
      <c r="D204" s="98"/>
      <c r="E204" s="24"/>
      <c r="G204" s="24"/>
      <c r="H204"/>
    </row>
    <row r="205" spans="1:8" s="25" customFormat="1" ht="21">
      <c r="A205" s="24"/>
      <c r="B205" s="162"/>
      <c r="C205" s="150"/>
      <c r="D205" s="98"/>
      <c r="E205" s="24"/>
      <c r="G205" s="24"/>
      <c r="H205"/>
    </row>
    <row r="206" spans="1:8" s="25" customFormat="1" ht="21">
      <c r="A206" s="24"/>
      <c r="B206" s="162"/>
      <c r="C206" s="150"/>
      <c r="D206" s="98"/>
      <c r="E206" s="24"/>
      <c r="G206" s="24"/>
      <c r="H206"/>
    </row>
    <row r="207" spans="1:8" s="25" customFormat="1" ht="21">
      <c r="A207" s="24"/>
      <c r="B207" s="162"/>
      <c r="C207" s="150"/>
      <c r="D207" s="98"/>
      <c r="E207" s="24"/>
      <c r="G207" s="24"/>
      <c r="H207"/>
    </row>
    <row r="208" spans="1:8" s="25" customFormat="1" ht="21">
      <c r="A208" s="24"/>
      <c r="B208" s="162"/>
      <c r="C208" s="150"/>
      <c r="D208" s="98"/>
      <c r="E208" s="24"/>
      <c r="G208" s="24"/>
      <c r="H208"/>
    </row>
    <row r="209" spans="1:8" s="25" customFormat="1" ht="21.75">
      <c r="A209" s="99"/>
      <c r="B209" s="163"/>
      <c r="C209" s="151"/>
      <c r="D209" s="100"/>
      <c r="E209" s="99"/>
      <c r="F209" s="6"/>
      <c r="G209" s="24"/>
      <c r="H209"/>
    </row>
    <row r="210" spans="1:8" s="25" customFormat="1" ht="21.75">
      <c r="A210" s="99"/>
      <c r="B210" s="163"/>
      <c r="C210" s="151"/>
      <c r="D210" s="100"/>
      <c r="E210" s="99"/>
      <c r="F210" s="6"/>
      <c r="G210" s="24"/>
      <c r="H210"/>
    </row>
    <row r="211" spans="1:8" s="25" customFormat="1" ht="21.75">
      <c r="A211" s="99"/>
      <c r="B211" s="163"/>
      <c r="C211" s="151"/>
      <c r="D211" s="100"/>
      <c r="E211" s="99"/>
      <c r="F211" s="6"/>
      <c r="G211" s="24"/>
      <c r="H211"/>
    </row>
    <row r="212" spans="1:8" s="25" customFormat="1" ht="21.75">
      <c r="A212" s="99"/>
      <c r="B212" s="163"/>
      <c r="C212" s="151"/>
      <c r="D212" s="100"/>
      <c r="E212" s="99"/>
      <c r="F212" s="6"/>
      <c r="G212" s="24"/>
      <c r="H212"/>
    </row>
    <row r="213" spans="1:8" s="25" customFormat="1" ht="21.75">
      <c r="A213" s="99"/>
      <c r="B213" s="163"/>
      <c r="C213" s="151"/>
      <c r="D213" s="100"/>
      <c r="E213" s="99"/>
      <c r="F213" s="6"/>
      <c r="G213" s="24"/>
      <c r="H213"/>
    </row>
    <row r="214" spans="1:8" s="25" customFormat="1" ht="21.75">
      <c r="A214" s="99"/>
      <c r="B214" s="163"/>
      <c r="C214" s="151"/>
      <c r="D214" s="100"/>
      <c r="E214" s="99"/>
      <c r="F214" s="6"/>
      <c r="G214" s="24"/>
      <c r="H214"/>
    </row>
    <row r="215" spans="1:8" s="25" customFormat="1" ht="21.75">
      <c r="A215" s="99"/>
      <c r="B215" s="163"/>
      <c r="C215" s="151"/>
      <c r="D215" s="100"/>
      <c r="E215" s="99"/>
      <c r="F215" s="6"/>
      <c r="G215" s="24"/>
      <c r="H215"/>
    </row>
    <row r="216" spans="1:8" s="25" customFormat="1" ht="21.75">
      <c r="A216" s="99"/>
      <c r="B216" s="163"/>
      <c r="C216" s="151"/>
      <c r="D216" s="100"/>
      <c r="E216" s="99"/>
      <c r="F216" s="6"/>
      <c r="G216" s="24"/>
      <c r="H216"/>
    </row>
    <row r="217" spans="1:8" s="25" customFormat="1" ht="21.75">
      <c r="A217" s="99"/>
      <c r="B217" s="163"/>
      <c r="C217" s="151"/>
      <c r="D217" s="100"/>
      <c r="E217" s="99"/>
      <c r="F217" s="6"/>
      <c r="G217" s="24"/>
      <c r="H217"/>
    </row>
    <row r="218" spans="1:8" s="25" customFormat="1" ht="21.75">
      <c r="A218" s="99"/>
      <c r="B218" s="163"/>
      <c r="C218" s="151"/>
      <c r="D218" s="100"/>
      <c r="E218" s="99"/>
      <c r="F218" s="6"/>
      <c r="G218" s="24"/>
      <c r="H218"/>
    </row>
    <row r="219" spans="1:8" s="25" customFormat="1" ht="21.75">
      <c r="A219" s="99"/>
      <c r="B219" s="163"/>
      <c r="C219" s="151"/>
      <c r="D219" s="100"/>
      <c r="E219" s="99"/>
      <c r="F219" s="6"/>
      <c r="G219" s="24"/>
      <c r="H219"/>
    </row>
    <row r="220" spans="1:8" s="25" customFormat="1" ht="21.75">
      <c r="A220" s="99"/>
      <c r="B220" s="163"/>
      <c r="C220" s="151"/>
      <c r="D220" s="100"/>
      <c r="E220" s="99"/>
      <c r="F220" s="6"/>
      <c r="G220" s="24"/>
      <c r="H220"/>
    </row>
    <row r="221" spans="1:8" s="25" customFormat="1" ht="21.75">
      <c r="A221" s="99"/>
      <c r="B221" s="163"/>
      <c r="C221" s="151"/>
      <c r="D221" s="100"/>
      <c r="E221" s="99"/>
      <c r="F221" s="6"/>
      <c r="G221" s="24"/>
      <c r="H221"/>
    </row>
    <row r="222" spans="1:8" s="25" customFormat="1" ht="21.75">
      <c r="A222" s="99"/>
      <c r="B222" s="163"/>
      <c r="C222" s="151"/>
      <c r="D222" s="100"/>
      <c r="E222" s="99"/>
      <c r="F222" s="6"/>
      <c r="G222" s="24"/>
      <c r="H222"/>
    </row>
    <row r="223" spans="1:8" s="25" customFormat="1" ht="21.75">
      <c r="A223" s="99"/>
      <c r="B223" s="163"/>
      <c r="C223" s="151"/>
      <c r="D223" s="100"/>
      <c r="E223" s="99"/>
      <c r="F223" s="6"/>
      <c r="G223" s="24"/>
      <c r="H223"/>
    </row>
    <row r="224" spans="1:8" s="25" customFormat="1" ht="21.75">
      <c r="A224" s="99"/>
      <c r="B224" s="163"/>
      <c r="C224" s="151"/>
      <c r="D224" s="100"/>
      <c r="E224" s="99"/>
      <c r="F224" s="6"/>
      <c r="G224" s="24"/>
      <c r="H224"/>
    </row>
    <row r="225" spans="1:8" s="25" customFormat="1" ht="21.75">
      <c r="A225" s="99"/>
      <c r="B225" s="163"/>
      <c r="C225" s="151"/>
      <c r="D225" s="100"/>
      <c r="E225" s="99"/>
      <c r="F225" s="6"/>
      <c r="G225" s="24"/>
      <c r="H225"/>
    </row>
    <row r="226" spans="1:8" s="25" customFormat="1" ht="21.75">
      <c r="A226" s="99"/>
      <c r="B226" s="163"/>
      <c r="C226" s="151"/>
      <c r="D226" s="100"/>
      <c r="E226" s="99"/>
      <c r="F226" s="6"/>
      <c r="G226" s="24"/>
      <c r="H226"/>
    </row>
    <row r="227" spans="1:8" s="25" customFormat="1" ht="21.75">
      <c r="A227" s="99"/>
      <c r="B227" s="163"/>
      <c r="C227" s="151"/>
      <c r="D227" s="100"/>
      <c r="E227" s="99"/>
      <c r="F227" s="6"/>
      <c r="G227" s="24"/>
      <c r="H227"/>
    </row>
    <row r="228" spans="1:8" s="25" customFormat="1" ht="21.75">
      <c r="A228" s="99"/>
      <c r="B228" s="163"/>
      <c r="C228" s="151"/>
      <c r="D228" s="100"/>
      <c r="E228" s="99"/>
      <c r="F228" s="6"/>
      <c r="G228" s="24"/>
      <c r="H228"/>
    </row>
    <row r="229" spans="1:8" s="25" customFormat="1" ht="21.75">
      <c r="A229" s="99"/>
      <c r="B229" s="163"/>
      <c r="C229" s="151"/>
      <c r="D229" s="100"/>
      <c r="E229" s="99"/>
      <c r="F229" s="6"/>
      <c r="G229" s="24"/>
      <c r="H229"/>
    </row>
    <row r="230" spans="1:8" s="25" customFormat="1" ht="21.75">
      <c r="A230" s="99"/>
      <c r="B230" s="163"/>
      <c r="C230" s="151"/>
      <c r="D230" s="100"/>
      <c r="E230" s="99"/>
      <c r="F230" s="6"/>
      <c r="G230" s="24"/>
      <c r="H230"/>
    </row>
    <row r="231" spans="1:8" s="25" customFormat="1" ht="21.75">
      <c r="A231" s="99"/>
      <c r="B231" s="163"/>
      <c r="C231" s="151"/>
      <c r="D231" s="100"/>
      <c r="E231" s="99"/>
      <c r="F231" s="6"/>
      <c r="G231" s="24"/>
      <c r="H231"/>
    </row>
    <row r="232" spans="1:8" s="25" customFormat="1" ht="21.75">
      <c r="A232" s="99"/>
      <c r="B232" s="163"/>
      <c r="C232" s="151"/>
      <c r="D232" s="100"/>
      <c r="E232" s="99"/>
      <c r="F232" s="6"/>
      <c r="G232" s="24"/>
      <c r="H232"/>
    </row>
    <row r="233" spans="1:8" s="25" customFormat="1" ht="21.75">
      <c r="A233" s="99"/>
      <c r="B233" s="163"/>
      <c r="C233" s="151"/>
      <c r="D233" s="100"/>
      <c r="E233" s="99"/>
      <c r="F233" s="6"/>
      <c r="G233" s="24"/>
      <c r="H233"/>
    </row>
    <row r="234" spans="1:8" s="25" customFormat="1" ht="21.75">
      <c r="A234" s="99"/>
      <c r="B234" s="163"/>
      <c r="C234" s="151"/>
      <c r="D234" s="100"/>
      <c r="E234" s="99"/>
      <c r="F234" s="6"/>
      <c r="G234" s="24"/>
      <c r="H234"/>
    </row>
    <row r="235" spans="1:8" s="25" customFormat="1" ht="21.75">
      <c r="A235" s="99"/>
      <c r="B235" s="163"/>
      <c r="C235" s="151"/>
      <c r="D235" s="100"/>
      <c r="E235" s="99"/>
      <c r="F235" s="6"/>
      <c r="G235" s="24"/>
      <c r="H235"/>
    </row>
    <row r="236" spans="1:8" s="25" customFormat="1" ht="21.75">
      <c r="A236" s="99"/>
      <c r="B236" s="163"/>
      <c r="C236" s="151"/>
      <c r="D236" s="100"/>
      <c r="E236" s="99"/>
      <c r="F236" s="6"/>
      <c r="G236" s="24"/>
      <c r="H236"/>
    </row>
    <row r="237" spans="1:8" s="25" customFormat="1" ht="21.75">
      <c r="A237" s="99"/>
      <c r="B237" s="163"/>
      <c r="C237" s="151"/>
      <c r="D237" s="100"/>
      <c r="E237" s="99"/>
      <c r="F237" s="6"/>
      <c r="G237" s="24"/>
      <c r="H237"/>
    </row>
    <row r="238" spans="1:8" s="25" customFormat="1" ht="21.75">
      <c r="A238" s="99"/>
      <c r="B238" s="163"/>
      <c r="C238" s="151"/>
      <c r="D238" s="100"/>
      <c r="E238" s="99"/>
      <c r="F238" s="6"/>
      <c r="G238" s="24"/>
      <c r="H238"/>
    </row>
    <row r="239" spans="1:8" s="25" customFormat="1" ht="21.75">
      <c r="A239" s="99"/>
      <c r="B239" s="163"/>
      <c r="C239" s="151"/>
      <c r="D239" s="100"/>
      <c r="E239" s="99"/>
      <c r="F239" s="6"/>
      <c r="G239" s="24"/>
      <c r="H239"/>
    </row>
    <row r="240" spans="1:8" s="25" customFormat="1" ht="21.75">
      <c r="A240" s="99"/>
      <c r="B240" s="163"/>
      <c r="C240" s="151"/>
      <c r="D240" s="100"/>
      <c r="E240" s="99"/>
      <c r="F240" s="6"/>
      <c r="G240" s="24"/>
      <c r="H240"/>
    </row>
    <row r="241" spans="1:8" s="25" customFormat="1" ht="21.75">
      <c r="A241" s="99"/>
      <c r="B241" s="163"/>
      <c r="C241" s="151"/>
      <c r="D241" s="100"/>
      <c r="E241" s="99"/>
      <c r="F241" s="6"/>
      <c r="G241" s="24"/>
      <c r="H241"/>
    </row>
    <row r="242" spans="1:8" s="25" customFormat="1" ht="21.75">
      <c r="A242" s="99"/>
      <c r="B242" s="163"/>
      <c r="C242" s="151"/>
      <c r="D242" s="100"/>
      <c r="E242" s="99"/>
      <c r="F242" s="6"/>
      <c r="G242" s="24"/>
      <c r="H242"/>
    </row>
    <row r="243" spans="1:8" s="25" customFormat="1" ht="21.75">
      <c r="A243" s="99"/>
      <c r="B243" s="163"/>
      <c r="C243" s="151"/>
      <c r="D243" s="100"/>
      <c r="E243" s="99"/>
      <c r="F243" s="6"/>
      <c r="G243" s="24"/>
      <c r="H243"/>
    </row>
    <row r="244" spans="1:8" s="25" customFormat="1" ht="21.75">
      <c r="A244" s="99"/>
      <c r="B244" s="163"/>
      <c r="C244" s="151"/>
      <c r="D244" s="100"/>
      <c r="E244" s="99"/>
      <c r="F244" s="6"/>
      <c r="G244" s="24"/>
      <c r="H244"/>
    </row>
    <row r="245" spans="1:8" s="25" customFormat="1" ht="21.75">
      <c r="A245" s="99"/>
      <c r="B245" s="163"/>
      <c r="C245" s="151"/>
      <c r="D245" s="100"/>
      <c r="E245" s="99"/>
      <c r="F245" s="6"/>
      <c r="G245" s="24"/>
      <c r="H245"/>
    </row>
    <row r="246" spans="1:8" s="25" customFormat="1" ht="21.75">
      <c r="A246" s="99"/>
      <c r="B246" s="163"/>
      <c r="C246" s="151"/>
      <c r="D246" s="100"/>
      <c r="E246" s="99"/>
      <c r="F246" s="6"/>
      <c r="G246" s="24"/>
      <c r="H246"/>
    </row>
    <row r="247" spans="7:14" ht="21.75">
      <c r="G247" s="24"/>
      <c r="I247" s="25"/>
      <c r="J247" s="25"/>
      <c r="K247" s="25"/>
      <c r="L247" s="25"/>
      <c r="M247" s="25"/>
      <c r="N247" s="25"/>
    </row>
    <row r="248" spans="7:14" ht="21.75">
      <c r="G248" s="24"/>
      <c r="I248" s="25"/>
      <c r="J248" s="25"/>
      <c r="K248" s="25"/>
      <c r="L248" s="25"/>
      <c r="M248" s="25"/>
      <c r="N248" s="25"/>
    </row>
    <row r="249" spans="7:14" ht="21.75">
      <c r="G249" s="24"/>
      <c r="I249" s="25"/>
      <c r="J249" s="25"/>
      <c r="K249" s="25"/>
      <c r="L249" s="25"/>
      <c r="M249" s="25"/>
      <c r="N249" s="25"/>
    </row>
    <row r="250" spans="7:14" ht="21.75">
      <c r="G250" s="24"/>
      <c r="I250" s="25"/>
      <c r="J250" s="25"/>
      <c r="K250" s="25"/>
      <c r="L250" s="25"/>
      <c r="M250" s="25"/>
      <c r="N250" s="25"/>
    </row>
    <row r="251" spans="7:14" ht="21.75">
      <c r="G251" s="24"/>
      <c r="I251" s="25"/>
      <c r="J251" s="25"/>
      <c r="K251" s="25"/>
      <c r="L251" s="25"/>
      <c r="M251" s="25"/>
      <c r="N251" s="25"/>
    </row>
    <row r="252" spans="7:14" ht="21.75">
      <c r="G252" s="24"/>
      <c r="I252" s="25"/>
      <c r="J252" s="25"/>
      <c r="K252" s="25"/>
      <c r="L252" s="25"/>
      <c r="M252" s="25"/>
      <c r="N252" s="25"/>
    </row>
    <row r="253" spans="7:14" ht="21.75">
      <c r="G253" s="24"/>
      <c r="I253" s="25"/>
      <c r="J253" s="25"/>
      <c r="K253" s="25"/>
      <c r="L253" s="25"/>
      <c r="M253" s="25"/>
      <c r="N253" s="25"/>
    </row>
    <row r="254" spans="7:14" ht="21.75">
      <c r="G254" s="24"/>
      <c r="I254" s="25"/>
      <c r="J254" s="25"/>
      <c r="K254" s="25"/>
      <c r="L254" s="25"/>
      <c r="M254" s="25"/>
      <c r="N254" s="25"/>
    </row>
    <row r="255" spans="7:14" ht="21.75">
      <c r="G255" s="24"/>
      <c r="I255" s="25"/>
      <c r="J255" s="25"/>
      <c r="K255" s="25"/>
      <c r="L255" s="25"/>
      <c r="M255" s="25"/>
      <c r="N255" s="25"/>
    </row>
    <row r="256" spans="7:14" ht="21.75">
      <c r="G256" s="24"/>
      <c r="I256" s="25"/>
      <c r="J256" s="25"/>
      <c r="K256" s="25"/>
      <c r="L256" s="25"/>
      <c r="M256" s="25"/>
      <c r="N256" s="25"/>
    </row>
    <row r="257" spans="7:14" ht="21.75">
      <c r="G257" s="24"/>
      <c r="I257" s="25"/>
      <c r="J257" s="25"/>
      <c r="K257" s="25"/>
      <c r="L257" s="25"/>
      <c r="M257" s="25"/>
      <c r="N257" s="25"/>
    </row>
    <row r="258" spans="7:14" ht="21.75">
      <c r="G258" s="24"/>
      <c r="I258" s="25"/>
      <c r="J258" s="25"/>
      <c r="K258" s="25"/>
      <c r="L258" s="25"/>
      <c r="M258" s="25"/>
      <c r="N258" s="25"/>
    </row>
    <row r="259" spans="7:14" ht="21.75">
      <c r="G259" s="24"/>
      <c r="I259" s="25"/>
      <c r="J259" s="25"/>
      <c r="K259" s="25"/>
      <c r="L259" s="25"/>
      <c r="M259" s="25"/>
      <c r="N259" s="25"/>
    </row>
    <row r="260" spans="7:14" ht="21.75">
      <c r="G260" s="24"/>
      <c r="I260" s="25"/>
      <c r="J260" s="25"/>
      <c r="K260" s="25"/>
      <c r="L260" s="25"/>
      <c r="M260" s="25"/>
      <c r="N260" s="25"/>
    </row>
    <row r="261" spans="7:14" ht="21.75">
      <c r="G261" s="24"/>
      <c r="I261" s="25"/>
      <c r="J261" s="25"/>
      <c r="K261" s="25"/>
      <c r="L261" s="25"/>
      <c r="M261" s="25"/>
      <c r="N261" s="25"/>
    </row>
    <row r="262" spans="7:14" ht="21.75">
      <c r="G262" s="24"/>
      <c r="I262" s="25"/>
      <c r="J262" s="25"/>
      <c r="K262" s="25"/>
      <c r="L262" s="25"/>
      <c r="M262" s="25"/>
      <c r="N262" s="25"/>
    </row>
    <row r="263" spans="7:14" ht="21.75">
      <c r="G263" s="24"/>
      <c r="I263" s="25"/>
      <c r="J263" s="25"/>
      <c r="K263" s="25"/>
      <c r="L263" s="25"/>
      <c r="M263" s="25"/>
      <c r="N263" s="25"/>
    </row>
    <row r="264" spans="7:14" ht="21.75">
      <c r="G264" s="24"/>
      <c r="I264" s="25"/>
      <c r="J264" s="25"/>
      <c r="K264" s="25"/>
      <c r="L264" s="25"/>
      <c r="M264" s="25"/>
      <c r="N264" s="25"/>
    </row>
    <row r="265" spans="7:14" ht="21.75">
      <c r="G265" s="24"/>
      <c r="I265" s="25"/>
      <c r="J265" s="25"/>
      <c r="K265" s="25"/>
      <c r="L265" s="25"/>
      <c r="M265" s="25"/>
      <c r="N265" s="25"/>
    </row>
    <row r="266" ht="21.75">
      <c r="G266" s="99"/>
    </row>
  </sheetData>
  <sheetProtection/>
  <mergeCells count="6">
    <mergeCell ref="M2:N2"/>
    <mergeCell ref="K2:K3"/>
    <mergeCell ref="L2:L3"/>
    <mergeCell ref="E2:F2"/>
    <mergeCell ref="G2:H2"/>
    <mergeCell ref="I2:J2"/>
  </mergeCells>
  <printOptions/>
  <pageMargins left="0" right="0" top="0.2362204724409449" bottom="0.2362204724409449" header="0.5118110236220472" footer="0.1968503937007874"/>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AP922"/>
  <sheetViews>
    <sheetView zoomScalePageLayoutView="0" workbookViewId="0" topLeftCell="A1">
      <selection activeCell="K18" sqref="K18"/>
    </sheetView>
  </sheetViews>
  <sheetFormatPr defaultColWidth="9.140625" defaultRowHeight="12.75"/>
  <cols>
    <col min="1" max="1" width="13.7109375" style="60" customWidth="1"/>
    <col min="2" max="2" width="4.421875" style="65" customWidth="1"/>
    <col min="3" max="3" width="9.28125" style="250" bestFit="1" customWidth="1"/>
    <col min="4" max="4" width="5.7109375" style="52" bestFit="1" customWidth="1"/>
    <col min="5" max="5" width="6.57421875" style="232" customWidth="1"/>
    <col min="6" max="6" width="4.7109375" style="111" bestFit="1" customWidth="1"/>
    <col min="7" max="7" width="6.7109375" style="232" bestFit="1" customWidth="1"/>
    <col min="8" max="8" width="4.8515625" style="111" customWidth="1"/>
    <col min="9" max="9" width="6.57421875" style="232" customWidth="1"/>
    <col min="10" max="10" width="5.7109375" style="257" customWidth="1"/>
    <col min="11" max="11" width="9.28125" style="232" customWidth="1"/>
    <col min="12" max="12" width="5.00390625" style="111" customWidth="1"/>
    <col min="13" max="13" width="6.28125" style="232" customWidth="1"/>
    <col min="14" max="14" width="4.7109375" style="257" customWidth="1"/>
    <col min="15" max="15" width="7.28125" style="1148" customWidth="1"/>
    <col min="16" max="16" width="5.421875" style="60" customWidth="1"/>
    <col min="17" max="17" width="8.28125" style="484" bestFit="1" customWidth="1"/>
    <col min="18" max="18" width="5.57421875" style="60" customWidth="1"/>
    <col min="19" max="19" width="6.7109375" style="251" customWidth="1"/>
    <col min="20" max="20" width="4.421875" style="60" customWidth="1"/>
    <col min="21" max="21" width="7.00390625" style="251" customWidth="1"/>
    <col min="22" max="22" width="5.00390625" style="112" customWidth="1"/>
    <col min="23" max="23" width="8.00390625" style="642" customWidth="1"/>
    <col min="24" max="24" width="5.7109375" style="60" customWidth="1"/>
    <col min="25" max="25" width="8.8515625" style="60" customWidth="1"/>
    <col min="26" max="26" width="4.421875" style="112" customWidth="1"/>
    <col min="27" max="27" width="9.140625" style="111" customWidth="1"/>
    <col min="28" max="28" width="4.7109375" style="111" customWidth="1"/>
    <col min="29" max="29" width="8.421875" style="111" customWidth="1"/>
    <col min="30" max="30" width="4.140625" style="112" customWidth="1"/>
    <col min="31" max="31" width="7.421875" style="60" customWidth="1"/>
    <col min="32" max="32" width="4.00390625" style="60" customWidth="1"/>
    <col min="33" max="33" width="6.57421875" style="60" customWidth="1"/>
    <col min="34" max="34" width="4.140625" style="112" customWidth="1"/>
    <col min="35" max="35" width="6.8515625" style="60" customWidth="1"/>
    <col min="36" max="36" width="5.8515625" style="112" customWidth="1"/>
    <col min="37" max="37" width="8.421875" style="60" customWidth="1"/>
    <col min="38" max="38" width="5.28125" style="60" customWidth="1"/>
    <col min="39" max="39" width="9.7109375" style="77" customWidth="1"/>
    <col min="40" max="40" width="11.00390625" style="0" customWidth="1"/>
    <col min="41" max="41" width="10.8515625" style="112" customWidth="1"/>
    <col min="42" max="42" width="10.28125" style="60" customWidth="1"/>
    <col min="43" max="16384" width="9.140625" style="60" customWidth="1"/>
  </cols>
  <sheetData>
    <row r="1" spans="1:42" s="53" customFormat="1" ht="23.25" customHeight="1">
      <c r="A1" s="136" t="s">
        <v>483</v>
      </c>
      <c r="B1" s="154"/>
      <c r="C1" s="245"/>
      <c r="D1" s="52"/>
      <c r="E1" s="232"/>
      <c r="F1" s="111"/>
      <c r="G1" s="232"/>
      <c r="H1" s="111"/>
      <c r="I1" s="232"/>
      <c r="J1" s="257"/>
      <c r="K1" s="232"/>
      <c r="L1" s="111"/>
      <c r="M1" s="232"/>
      <c r="N1" s="257"/>
      <c r="O1" s="1144"/>
      <c r="P1" s="111"/>
      <c r="Q1" s="484"/>
      <c r="R1" s="111"/>
      <c r="S1" s="232"/>
      <c r="T1" s="111"/>
      <c r="U1" s="232"/>
      <c r="V1" s="112"/>
      <c r="W1" s="642"/>
      <c r="X1" s="111"/>
      <c r="Y1" s="111"/>
      <c r="AD1" s="112"/>
      <c r="AF1" s="66"/>
      <c r="AG1" s="66" t="s">
        <v>118</v>
      </c>
      <c r="AJ1" s="112"/>
      <c r="AK1" s="60"/>
      <c r="AL1" s="60"/>
      <c r="AM1" s="64"/>
      <c r="AO1" s="112"/>
      <c r="AP1" s="60"/>
    </row>
    <row r="2" spans="1:42" s="53" customFormat="1" ht="27" customHeight="1" thickBot="1">
      <c r="A2" s="178"/>
      <c r="B2" s="155"/>
      <c r="C2" s="246"/>
      <c r="D2"/>
      <c r="E2" s="213"/>
      <c r="F2"/>
      <c r="G2" s="213"/>
      <c r="H2"/>
      <c r="I2" s="213"/>
      <c r="J2" s="1151"/>
      <c r="K2" s="213"/>
      <c r="L2"/>
      <c r="M2" s="213"/>
      <c r="N2" s="1151"/>
      <c r="O2" s="1145"/>
      <c r="P2"/>
      <c r="Q2" s="638"/>
      <c r="R2"/>
      <c r="S2" s="213"/>
      <c r="T2"/>
      <c r="U2" s="213"/>
      <c r="V2"/>
      <c r="W2" s="643" t="s">
        <v>89</v>
      </c>
      <c r="X2"/>
      <c r="Y2"/>
      <c r="Z2"/>
      <c r="AA2"/>
      <c r="AB2"/>
      <c r="AC2"/>
      <c r="AD2"/>
      <c r="AE2"/>
      <c r="AF2"/>
      <c r="AG2"/>
      <c r="AH2"/>
      <c r="AI2"/>
      <c r="AJ2"/>
      <c r="AK2"/>
      <c r="AL2" s="60"/>
      <c r="AM2" s="64"/>
      <c r="AO2" s="112"/>
      <c r="AP2" s="60"/>
    </row>
    <row r="3" spans="1:29" s="53" customFormat="1" ht="71.25" customHeight="1">
      <c r="A3" s="1379" t="s">
        <v>1</v>
      </c>
      <c r="B3" s="1417" t="s">
        <v>62</v>
      </c>
      <c r="C3" s="1417"/>
      <c r="D3" s="1417" t="s">
        <v>135</v>
      </c>
      <c r="E3" s="1417"/>
      <c r="F3" s="1417" t="s">
        <v>63</v>
      </c>
      <c r="G3" s="1417"/>
      <c r="H3" s="1417" t="s">
        <v>74</v>
      </c>
      <c r="I3" s="1417"/>
      <c r="J3" s="1417" t="s">
        <v>66</v>
      </c>
      <c r="K3" s="1417"/>
      <c r="L3" s="1416" t="s">
        <v>67</v>
      </c>
      <c r="M3" s="1416"/>
      <c r="N3" s="1419" t="s">
        <v>68</v>
      </c>
      <c r="O3" s="1419"/>
      <c r="P3" s="1417" t="s">
        <v>69</v>
      </c>
      <c r="Q3" s="1417"/>
      <c r="R3" s="1416" t="s">
        <v>71</v>
      </c>
      <c r="S3" s="1416"/>
      <c r="T3" s="1416" t="s">
        <v>81</v>
      </c>
      <c r="U3" s="1416"/>
      <c r="V3" s="1418" t="s">
        <v>57</v>
      </c>
      <c r="W3" s="1418"/>
      <c r="X3" s="60"/>
      <c r="Y3" s="64"/>
      <c r="Z3"/>
      <c r="AA3"/>
      <c r="AB3"/>
      <c r="AC3"/>
    </row>
    <row r="4" spans="1:29" s="166" customFormat="1" ht="19.5" customHeight="1" thickBot="1">
      <c r="A4" s="1380"/>
      <c r="B4" s="164" t="s">
        <v>10</v>
      </c>
      <c r="C4" s="247" t="s">
        <v>9</v>
      </c>
      <c r="D4" s="164" t="s">
        <v>10</v>
      </c>
      <c r="E4" s="247" t="s">
        <v>9</v>
      </c>
      <c r="F4" s="164" t="s">
        <v>10</v>
      </c>
      <c r="G4" s="247" t="s">
        <v>9</v>
      </c>
      <c r="H4" s="164" t="s">
        <v>10</v>
      </c>
      <c r="I4" s="247" t="s">
        <v>9</v>
      </c>
      <c r="J4" s="1156" t="s">
        <v>10</v>
      </c>
      <c r="K4" s="247" t="s">
        <v>9</v>
      </c>
      <c r="L4" s="165" t="s">
        <v>10</v>
      </c>
      <c r="M4" s="247" t="s">
        <v>9</v>
      </c>
      <c r="N4" s="1150" t="s">
        <v>10</v>
      </c>
      <c r="O4" s="1146" t="s">
        <v>9</v>
      </c>
      <c r="P4" s="165" t="s">
        <v>10</v>
      </c>
      <c r="Q4" s="639" t="s">
        <v>9</v>
      </c>
      <c r="R4" s="165" t="s">
        <v>10</v>
      </c>
      <c r="S4" s="247" t="s">
        <v>9</v>
      </c>
      <c r="T4" s="165" t="s">
        <v>10</v>
      </c>
      <c r="U4" s="247" t="s">
        <v>9</v>
      </c>
      <c r="V4" s="165" t="s">
        <v>10</v>
      </c>
      <c r="W4" s="644" t="s">
        <v>9</v>
      </c>
      <c r="Y4" s="167"/>
      <c r="Z4"/>
      <c r="AA4"/>
      <c r="AB4"/>
      <c r="AC4"/>
    </row>
    <row r="5" spans="1:29" s="53" customFormat="1" ht="22.5" customHeight="1">
      <c r="A5" s="971" t="s">
        <v>75</v>
      </c>
      <c r="B5" s="972"/>
      <c r="C5" s="973"/>
      <c r="D5" s="974"/>
      <c r="E5" s="975"/>
      <c r="F5" s="976"/>
      <c r="G5" s="975"/>
      <c r="H5" s="976"/>
      <c r="I5" s="975"/>
      <c r="J5" s="1152"/>
      <c r="K5" s="975"/>
      <c r="L5" s="977"/>
      <c r="M5" s="975"/>
      <c r="N5" s="1152"/>
      <c r="O5" s="925"/>
      <c r="P5" s="977"/>
      <c r="Q5" s="978"/>
      <c r="R5" s="976"/>
      <c r="S5" s="975"/>
      <c r="T5" s="977"/>
      <c r="U5" s="975"/>
      <c r="V5" s="977"/>
      <c r="W5" s="1022"/>
      <c r="X5" s="60"/>
      <c r="Y5" s="64"/>
      <c r="Z5"/>
      <c r="AA5"/>
      <c r="AB5"/>
      <c r="AC5"/>
    </row>
    <row r="6" spans="1:29" s="53" customFormat="1" ht="22.5" customHeight="1">
      <c r="A6" s="89" t="s">
        <v>76</v>
      </c>
      <c r="B6" s="54"/>
      <c r="C6" s="248"/>
      <c r="D6" s="891"/>
      <c r="E6" s="733"/>
      <c r="F6" s="56"/>
      <c r="G6" s="228"/>
      <c r="H6" s="732"/>
      <c r="I6" s="733"/>
      <c r="J6" s="1153">
        <v>4</v>
      </c>
      <c r="K6" s="450">
        <v>379.8</v>
      </c>
      <c r="L6" s="452"/>
      <c r="M6" s="450"/>
      <c r="N6" s="1153">
        <v>2</v>
      </c>
      <c r="O6" s="1195">
        <v>405.4</v>
      </c>
      <c r="P6" s="452">
        <v>2</v>
      </c>
      <c r="Q6" s="649">
        <v>316.8</v>
      </c>
      <c r="R6" s="451"/>
      <c r="S6" s="450"/>
      <c r="T6" s="452"/>
      <c r="U6" s="450"/>
      <c r="V6" s="734">
        <f aca="true" t="shared" si="0" ref="V6:W9">B6+D6+F6+H6+J6+L6+N6+P6+R6+T6</f>
        <v>8</v>
      </c>
      <c r="W6" s="682">
        <f t="shared" si="0"/>
        <v>1102</v>
      </c>
      <c r="X6" s="60"/>
      <c r="Y6" s="64"/>
      <c r="Z6"/>
      <c r="AA6"/>
      <c r="AB6"/>
      <c r="AC6"/>
    </row>
    <row r="7" spans="1:29" s="113" customFormat="1" ht="21" customHeight="1">
      <c r="A7" s="89" t="s">
        <v>77</v>
      </c>
      <c r="B7" s="681"/>
      <c r="C7" s="735"/>
      <c r="D7" s="891"/>
      <c r="E7" s="736"/>
      <c r="F7" s="737"/>
      <c r="G7" s="736"/>
      <c r="H7" s="738"/>
      <c r="I7" s="736"/>
      <c r="J7" s="1153">
        <v>4</v>
      </c>
      <c r="K7" s="736">
        <v>379.8</v>
      </c>
      <c r="L7" s="738"/>
      <c r="M7" s="736"/>
      <c r="N7" s="1153">
        <v>3</v>
      </c>
      <c r="O7" s="736">
        <v>126.5</v>
      </c>
      <c r="P7" s="738"/>
      <c r="Q7" s="735"/>
      <c r="R7" s="737"/>
      <c r="S7" s="736"/>
      <c r="T7" s="738"/>
      <c r="U7" s="736"/>
      <c r="V7" s="734">
        <f t="shared" si="0"/>
        <v>7</v>
      </c>
      <c r="W7" s="682">
        <f t="shared" si="0"/>
        <v>506.3</v>
      </c>
      <c r="Z7"/>
      <c r="AA7"/>
      <c r="AB7"/>
      <c r="AC7"/>
    </row>
    <row r="8" spans="1:29" s="113" customFormat="1" ht="21" customHeight="1">
      <c r="A8" s="89" t="s">
        <v>78</v>
      </c>
      <c r="B8" s="681"/>
      <c r="C8" s="637"/>
      <c r="D8" s="738"/>
      <c r="E8" s="736"/>
      <c r="F8" s="631"/>
      <c r="G8" s="632"/>
      <c r="H8" s="737"/>
      <c r="I8" s="736"/>
      <c r="J8" s="1153">
        <v>4</v>
      </c>
      <c r="K8" s="736">
        <v>379.8</v>
      </c>
      <c r="L8" s="738"/>
      <c r="M8" s="736"/>
      <c r="N8" s="1153">
        <v>4</v>
      </c>
      <c r="O8" s="736">
        <v>86.6</v>
      </c>
      <c r="P8" s="738"/>
      <c r="Q8" s="735"/>
      <c r="R8" s="738"/>
      <c r="S8" s="736"/>
      <c r="T8" s="738"/>
      <c r="U8" s="736">
        <v>976.6</v>
      </c>
      <c r="V8" s="734">
        <f t="shared" si="0"/>
        <v>8</v>
      </c>
      <c r="W8" s="682">
        <f t="shared" si="0"/>
        <v>1443</v>
      </c>
      <c r="Z8"/>
      <c r="AA8"/>
      <c r="AB8"/>
      <c r="AC8"/>
    </row>
    <row r="9" spans="1:29" s="113" customFormat="1" ht="21" customHeight="1">
      <c r="A9" s="89" t="s">
        <v>79</v>
      </c>
      <c r="B9" s="681"/>
      <c r="C9" s="637"/>
      <c r="D9" s="631"/>
      <c r="E9" s="632"/>
      <c r="F9" s="631"/>
      <c r="G9" s="632"/>
      <c r="H9" s="737"/>
      <c r="I9" s="736"/>
      <c r="J9" s="1153">
        <v>4</v>
      </c>
      <c r="K9" s="736">
        <v>379.8</v>
      </c>
      <c r="L9" s="738"/>
      <c r="M9" s="736"/>
      <c r="N9" s="1153">
        <v>4</v>
      </c>
      <c r="O9" s="736">
        <v>97.8</v>
      </c>
      <c r="P9" s="738"/>
      <c r="Q9" s="735"/>
      <c r="R9" s="738"/>
      <c r="S9" s="736"/>
      <c r="T9" s="738"/>
      <c r="U9" s="736"/>
      <c r="V9" s="734">
        <f t="shared" si="0"/>
        <v>8</v>
      </c>
      <c r="W9" s="682">
        <f t="shared" si="0"/>
        <v>477.6</v>
      </c>
      <c r="Z9"/>
      <c r="AA9"/>
      <c r="AB9"/>
      <c r="AC9"/>
    </row>
    <row r="10" spans="1:23" ht="21.75">
      <c r="A10" s="919" t="s">
        <v>15</v>
      </c>
      <c r="B10" s="979"/>
      <c r="C10" s="980"/>
      <c r="D10" s="979"/>
      <c r="E10" s="980"/>
      <c r="F10" s="979"/>
      <c r="G10" s="980"/>
      <c r="H10" s="979"/>
      <c r="I10" s="980"/>
      <c r="J10" s="1196"/>
      <c r="K10" s="1197"/>
      <c r="L10" s="927"/>
      <c r="M10" s="1197"/>
      <c r="N10" s="1196"/>
      <c r="O10" s="1198"/>
      <c r="P10" s="983"/>
      <c r="Q10" s="984"/>
      <c r="R10" s="927"/>
      <c r="S10" s="1197"/>
      <c r="T10" s="927"/>
      <c r="U10" s="1197"/>
      <c r="V10" s="985"/>
      <c r="W10" s="986"/>
    </row>
    <row r="11" spans="1:23" ht="21.75">
      <c r="A11" s="67" t="s">
        <v>84</v>
      </c>
      <c r="B11" s="633"/>
      <c r="C11" s="634"/>
      <c r="D11" s="633"/>
      <c r="E11" s="60"/>
      <c r="F11" s="894"/>
      <c r="G11" s="738"/>
      <c r="H11" s="449"/>
      <c r="I11" s="892"/>
      <c r="J11" s="1153"/>
      <c r="K11" s="736"/>
      <c r="L11" s="449"/>
      <c r="M11" s="892"/>
      <c r="N11" s="1153">
        <v>3</v>
      </c>
      <c r="O11" s="736">
        <v>90.9</v>
      </c>
      <c r="P11" s="738"/>
      <c r="Q11" s="735"/>
      <c r="R11" s="449"/>
      <c r="S11" s="892"/>
      <c r="T11" s="449"/>
      <c r="U11" s="892"/>
      <c r="V11" s="292">
        <f>B11+D11+F11+H11+J11+L11+N11+P11+R11+T11</f>
        <v>3</v>
      </c>
      <c r="W11" s="683">
        <f>C11+E11+G11+I11+K11+M11+O11+Q11+S11+U11</f>
        <v>90.9</v>
      </c>
    </row>
    <row r="12" spans="1:23" ht="21.75">
      <c r="A12" s="893" t="s">
        <v>442</v>
      </c>
      <c r="B12" s="635"/>
      <c r="C12" s="636"/>
      <c r="D12" s="635"/>
      <c r="E12" s="902"/>
      <c r="F12" s="903"/>
      <c r="G12" s="748"/>
      <c r="H12" s="635"/>
      <c r="I12" s="636"/>
      <c r="J12" s="1157"/>
      <c r="K12" s="904"/>
      <c r="L12" s="869"/>
      <c r="M12" s="1199"/>
      <c r="N12" s="1157">
        <v>3</v>
      </c>
      <c r="O12" s="904">
        <v>89.3</v>
      </c>
      <c r="P12" s="748"/>
      <c r="Q12" s="749"/>
      <c r="R12" s="869"/>
      <c r="S12" s="1199"/>
      <c r="T12" s="869"/>
      <c r="U12" s="1199"/>
      <c r="V12" s="741">
        <f>B12+D12+F12+H12+J12+L12+N12+P12+R12+T12</f>
        <v>3</v>
      </c>
      <c r="W12" s="742">
        <f>C12+E12+G12+I12+K12+M12+O12+Q12+S12+U12</f>
        <v>89.3</v>
      </c>
    </row>
    <row r="13" spans="1:23" ht="21.75">
      <c r="A13" s="919" t="s">
        <v>198</v>
      </c>
      <c r="B13" s="979"/>
      <c r="C13" s="980"/>
      <c r="D13" s="979"/>
      <c r="E13" s="980"/>
      <c r="F13" s="979"/>
      <c r="G13" s="980"/>
      <c r="H13" s="979"/>
      <c r="I13" s="980"/>
      <c r="J13" s="1196"/>
      <c r="K13" s="1197"/>
      <c r="L13" s="927"/>
      <c r="M13" s="1197"/>
      <c r="N13" s="1196"/>
      <c r="O13" s="1198"/>
      <c r="P13" s="983"/>
      <c r="Q13" s="984"/>
      <c r="R13" s="927"/>
      <c r="S13" s="1197"/>
      <c r="T13" s="927"/>
      <c r="U13" s="1197"/>
      <c r="V13" s="981"/>
      <c r="W13" s="982"/>
    </row>
    <row r="14" spans="1:29" s="53" customFormat="1" ht="22.5" customHeight="1">
      <c r="A14" s="67" t="s">
        <v>82</v>
      </c>
      <c r="B14" s="633"/>
      <c r="C14" s="634"/>
      <c r="D14" s="633"/>
      <c r="E14" s="60"/>
      <c r="F14" s="894"/>
      <c r="G14" s="738"/>
      <c r="H14" s="449"/>
      <c r="I14" s="892"/>
      <c r="J14" s="1153"/>
      <c r="K14" s="736"/>
      <c r="L14" s="449"/>
      <c r="M14" s="892"/>
      <c r="N14" s="1153">
        <v>1</v>
      </c>
      <c r="O14" s="736">
        <v>6</v>
      </c>
      <c r="P14" s="738"/>
      <c r="Q14" s="735"/>
      <c r="R14" s="449"/>
      <c r="S14" s="892"/>
      <c r="T14" s="449"/>
      <c r="U14" s="892"/>
      <c r="V14" s="292">
        <f>B14+D14+F14+H14+J14+L14+N14+P14+R14+T14</f>
        <v>1</v>
      </c>
      <c r="W14" s="683">
        <f>C14+E14+G14+I14+K14+M14+O14+Q14+S14+U14</f>
        <v>6</v>
      </c>
      <c r="X14" s="60"/>
      <c r="Y14" s="64"/>
      <c r="Z14"/>
      <c r="AA14"/>
      <c r="AB14"/>
      <c r="AC14"/>
    </row>
    <row r="15" spans="1:29" s="53" customFormat="1" ht="22.5" customHeight="1" thickBot="1">
      <c r="A15" s="1023" t="s">
        <v>687</v>
      </c>
      <c r="B15" s="1024"/>
      <c r="C15" s="1025"/>
      <c r="D15" s="1024"/>
      <c r="E15" s="1026"/>
      <c r="F15" s="1024"/>
      <c r="G15" s="1025"/>
      <c r="H15" s="988"/>
      <c r="I15" s="987"/>
      <c r="J15" s="1194">
        <v>4</v>
      </c>
      <c r="K15" s="987">
        <v>379.7</v>
      </c>
      <c r="L15" s="988"/>
      <c r="M15" s="987"/>
      <c r="N15" s="1194">
        <v>5</v>
      </c>
      <c r="O15" s="987">
        <v>41.4</v>
      </c>
      <c r="P15" s="988"/>
      <c r="Q15" s="1027"/>
      <c r="R15" s="988"/>
      <c r="S15" s="987"/>
      <c r="T15" s="988"/>
      <c r="U15" s="987"/>
      <c r="V15" s="1028">
        <f>B15+D15+F15+H15+J15+L15+N15+P15+R15+T15</f>
        <v>9</v>
      </c>
      <c r="W15" s="1029">
        <f>C15+E15+G15+I15+K15+M15+O15+Q15+S15+U15</f>
        <v>421.09999999999997</v>
      </c>
      <c r="X15" s="60"/>
      <c r="Y15" s="64"/>
      <c r="Z15"/>
      <c r="AA15"/>
      <c r="AB15"/>
      <c r="AC15"/>
    </row>
    <row r="16" spans="1:29" s="53" customFormat="1" ht="23.25" customHeight="1" thickBot="1">
      <c r="A16" s="80" t="s">
        <v>57</v>
      </c>
      <c r="B16" s="680">
        <f aca="true" t="shared" si="1" ref="B16:M16">SUM(B7:B15)</f>
        <v>0</v>
      </c>
      <c r="C16" s="640">
        <f t="shared" si="1"/>
        <v>0</v>
      </c>
      <c r="D16" s="680">
        <f t="shared" si="1"/>
        <v>0</v>
      </c>
      <c r="E16" s="640">
        <f t="shared" si="1"/>
        <v>0</v>
      </c>
      <c r="F16" s="680">
        <f t="shared" si="1"/>
        <v>0</v>
      </c>
      <c r="G16" s="640">
        <f t="shared" si="1"/>
        <v>0</v>
      </c>
      <c r="H16" s="680">
        <f t="shared" si="1"/>
        <v>0</v>
      </c>
      <c r="I16" s="640">
        <f t="shared" si="1"/>
        <v>0</v>
      </c>
      <c r="J16" s="1154">
        <f>SUM(J6:J15)</f>
        <v>20</v>
      </c>
      <c r="K16" s="1200">
        <f>SUM(K6:K15)</f>
        <v>1898.9</v>
      </c>
      <c r="L16" s="680">
        <f t="shared" si="1"/>
        <v>0</v>
      </c>
      <c r="M16" s="640">
        <f t="shared" si="1"/>
        <v>0</v>
      </c>
      <c r="N16" s="1154">
        <f>SUM(N6:N15)</f>
        <v>25</v>
      </c>
      <c r="O16" s="1200">
        <f>SUM(O6:O15)</f>
        <v>943.8999999999999</v>
      </c>
      <c r="P16" s="740">
        <f>SUM(P6:P15)</f>
        <v>2</v>
      </c>
      <c r="Q16" s="739">
        <f>SUM(Q6:Q15)</f>
        <v>316.8</v>
      </c>
      <c r="R16" s="122"/>
      <c r="S16" s="249"/>
      <c r="T16" s="740">
        <f>SUM(T6:T15)</f>
        <v>0</v>
      </c>
      <c r="U16" s="640">
        <f>SUM(U6:U15)</f>
        <v>976.6</v>
      </c>
      <c r="V16" s="740">
        <f>SUM(V6:V15)</f>
        <v>47</v>
      </c>
      <c r="W16" s="645">
        <f>SUM(W6:W15)</f>
        <v>4136.200000000001</v>
      </c>
      <c r="X16" s="60"/>
      <c r="Y16" s="64"/>
      <c r="Z16"/>
      <c r="AA16"/>
      <c r="AB16"/>
      <c r="AC16"/>
    </row>
    <row r="17" spans="1:29" s="53" customFormat="1" ht="15.75" customHeight="1">
      <c r="A17" s="78"/>
      <c r="B17" s="899"/>
      <c r="C17" s="641"/>
      <c r="D17" s="900"/>
      <c r="E17" s="458"/>
      <c r="F17" s="899"/>
      <c r="G17" s="458"/>
      <c r="H17" s="900"/>
      <c r="I17" s="458"/>
      <c r="J17" s="1158"/>
      <c r="K17" s="458"/>
      <c r="L17" s="900"/>
      <c r="M17" s="458"/>
      <c r="N17" s="1155"/>
      <c r="O17" s="1147"/>
      <c r="P17" s="900"/>
      <c r="Q17" s="901"/>
      <c r="R17" s="89"/>
      <c r="S17" s="458"/>
      <c r="T17" s="900"/>
      <c r="U17" s="641"/>
      <c r="V17" s="900"/>
      <c r="W17" s="306"/>
      <c r="X17" s="60"/>
      <c r="Y17" s="64"/>
      <c r="Z17"/>
      <c r="AA17"/>
      <c r="AB17"/>
      <c r="AC17"/>
    </row>
    <row r="800" ht="21.75">
      <c r="O800" s="1148" t="s">
        <v>181</v>
      </c>
    </row>
    <row r="825" ht="21.75">
      <c r="O825" s="1148" t="s">
        <v>182</v>
      </c>
    </row>
    <row r="860" ht="21.75">
      <c r="O860" s="1149" t="s">
        <v>183</v>
      </c>
    </row>
    <row r="921" ht="21.75">
      <c r="O921" s="1148" t="s">
        <v>184</v>
      </c>
    </row>
    <row r="922" ht="21.75">
      <c r="O922" s="1148" t="s">
        <v>185</v>
      </c>
    </row>
  </sheetData>
  <sheetProtection/>
  <mergeCells count="12">
    <mergeCell ref="V3:W3"/>
    <mergeCell ref="N3:O3"/>
    <mergeCell ref="P3:Q3"/>
    <mergeCell ref="T3:U3"/>
    <mergeCell ref="L3:M3"/>
    <mergeCell ref="H3:I3"/>
    <mergeCell ref="R3:S3"/>
    <mergeCell ref="J3:K3"/>
    <mergeCell ref="A3:A4"/>
    <mergeCell ref="D3:E3"/>
    <mergeCell ref="F3:G3"/>
    <mergeCell ref="B3:C3"/>
  </mergeCells>
  <printOptions horizontalCentered="1"/>
  <pageMargins left="0" right="0" top="0.5511811023622047" bottom="0.1968503937007874" header="0.15748031496062992" footer="0.275590551181102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
    </sheetView>
  </sheetViews>
  <sheetFormatPr defaultColWidth="9.140625" defaultRowHeight="12.75"/>
  <cols>
    <col min="1" max="1" width="3.00390625" style="419" bestFit="1" customWidth="1"/>
    <col min="2" max="2" width="43.7109375" style="428" customWidth="1"/>
    <col min="3" max="3" width="62.57421875" style="421" customWidth="1"/>
    <col min="4" max="4" width="5.8515625" style="419" customWidth="1"/>
    <col min="5" max="5" width="9.57421875" style="421" customWidth="1"/>
    <col min="6" max="6" width="9.140625" style="77" customWidth="1"/>
    <col min="7" max="7" width="11.7109375" style="77" customWidth="1"/>
    <col min="8" max="16384" width="9.140625" style="421" customWidth="1"/>
  </cols>
  <sheetData>
    <row r="1" spans="2:5" ht="24.75" customHeight="1" thickBot="1">
      <c r="B1" s="726" t="s">
        <v>282</v>
      </c>
      <c r="C1" s="420"/>
      <c r="D1" s="445"/>
      <c r="E1" s="18" t="s">
        <v>0</v>
      </c>
    </row>
    <row r="2" spans="1:7" s="413" customFormat="1" ht="34.5" customHeight="1" thickBot="1">
      <c r="A2" s="435"/>
      <c r="B2" s="436" t="s">
        <v>110</v>
      </c>
      <c r="C2" s="434" t="s">
        <v>112</v>
      </c>
      <c r="D2" s="434" t="s">
        <v>10</v>
      </c>
      <c r="E2" s="437" t="s">
        <v>9</v>
      </c>
      <c r="G2" s="414"/>
    </row>
    <row r="3" spans="1:7" s="143" customFormat="1" ht="63">
      <c r="A3" s="173">
        <v>1</v>
      </c>
      <c r="B3" s="438" t="s">
        <v>285</v>
      </c>
      <c r="C3" s="592" t="s">
        <v>275</v>
      </c>
      <c r="D3" s="439">
        <v>12</v>
      </c>
      <c r="E3" s="440">
        <f>154.8+162.9+67.9+150.9+99.4+161.9+86.4+107.8+173.4+82.7+163+144.4</f>
        <v>1555.5</v>
      </c>
      <c r="G3" s="142"/>
    </row>
    <row r="4" spans="1:5" ht="42">
      <c r="A4" s="173">
        <v>2</v>
      </c>
      <c r="B4" s="438" t="s">
        <v>276</v>
      </c>
      <c r="C4" s="592" t="s">
        <v>277</v>
      </c>
      <c r="D4" s="439">
        <v>16</v>
      </c>
      <c r="E4" s="440">
        <f>174.6+191.2+139+160.4+161.9+210.5+117.4+181.3+82.3+191.4+191.4</f>
        <v>1801.4</v>
      </c>
    </row>
    <row r="5" spans="1:5" ht="42">
      <c r="A5" s="173">
        <v>3</v>
      </c>
      <c r="B5" s="438" t="s">
        <v>283</v>
      </c>
      <c r="C5" s="592" t="s">
        <v>284</v>
      </c>
      <c r="D5" s="439">
        <v>12</v>
      </c>
      <c r="E5" s="440">
        <v>1807</v>
      </c>
    </row>
    <row r="6" spans="1:5" ht="63">
      <c r="A6" s="173">
        <v>4</v>
      </c>
      <c r="B6" s="438" t="s">
        <v>278</v>
      </c>
      <c r="C6" s="593" t="s">
        <v>279</v>
      </c>
      <c r="D6" s="439">
        <v>13</v>
      </c>
      <c r="E6" s="440">
        <f>202.9+162.2+225.8+208.8+25.4+206.5+129.5+55.8+143.6+55.4+25.4+309.7+198.9</f>
        <v>1949.9</v>
      </c>
    </row>
    <row r="7" spans="1:7" s="7" customFormat="1" ht="84">
      <c r="A7" s="173">
        <v>5</v>
      </c>
      <c r="B7" s="438" t="s">
        <v>280</v>
      </c>
      <c r="C7" s="593" t="s">
        <v>281</v>
      </c>
      <c r="D7" s="441">
        <v>22</v>
      </c>
      <c r="E7" s="440">
        <f>66.1+112.3+50.8+31.9+143.9+222.2+71.9+52.1+166.1+82.8+82+95.6+87.4+57.3+130.4+50.8+66.1+79.2+138.3+48.9+41.1+91.6+85.8</f>
        <v>2054.6</v>
      </c>
      <c r="G7" s="77"/>
    </row>
    <row r="8" spans="1:7" s="413" customFormat="1" ht="21" customHeight="1">
      <c r="A8" s="415"/>
      <c r="B8" s="182" t="s">
        <v>143</v>
      </c>
      <c r="C8" s="416"/>
      <c r="D8" s="182">
        <f>SUM(D3:D7)</f>
        <v>75</v>
      </c>
      <c r="E8" s="182">
        <f>SUM(E3:E7)</f>
        <v>9168.4</v>
      </c>
      <c r="G8" s="414"/>
    </row>
    <row r="9" spans="1:7" s="7" customFormat="1" ht="18.75" customHeight="1">
      <c r="A9" s="426"/>
      <c r="B9" s="146"/>
      <c r="C9" s="118"/>
      <c r="D9" s="119"/>
      <c r="E9" s="425"/>
      <c r="G9" s="77"/>
    </row>
    <row r="10" spans="1:7" s="7" customFormat="1" ht="18.75" customHeight="1">
      <c r="A10" s="426"/>
      <c r="B10" s="146"/>
      <c r="C10" s="169"/>
      <c r="D10" s="170"/>
      <c r="E10" s="427"/>
      <c r="G10" s="77"/>
    </row>
    <row r="11" spans="1:7" s="7" customFormat="1" ht="18.75" customHeight="1">
      <c r="A11" s="426"/>
      <c r="B11" s="146"/>
      <c r="C11" s="118"/>
      <c r="D11" s="170"/>
      <c r="E11" s="425"/>
      <c r="G11" s="77"/>
    </row>
    <row r="12" spans="1:7" s="7" customFormat="1" ht="18.75" customHeight="1">
      <c r="A12" s="426"/>
      <c r="B12" s="146"/>
      <c r="C12" s="118"/>
      <c r="D12" s="119"/>
      <c r="E12" s="425"/>
      <c r="G12" s="77"/>
    </row>
    <row r="13" spans="1:7" s="7" customFormat="1" ht="18.75" customHeight="1">
      <c r="A13" s="426"/>
      <c r="B13" s="146"/>
      <c r="C13" s="118"/>
      <c r="D13" s="119"/>
      <c r="E13" s="425"/>
      <c r="G13" s="77"/>
    </row>
    <row r="14" spans="1:7" s="7" customFormat="1" ht="18.75" customHeight="1">
      <c r="A14" s="426"/>
      <c r="B14" s="145"/>
      <c r="C14" s="118"/>
      <c r="D14" s="119"/>
      <c r="E14" s="425"/>
      <c r="G14" s="77"/>
    </row>
    <row r="15" spans="1:7" s="101" customFormat="1" ht="19.5" customHeight="1">
      <c r="A15" s="426"/>
      <c r="B15" s="145"/>
      <c r="C15" s="118"/>
      <c r="D15" s="119"/>
      <c r="E15" s="425"/>
      <c r="G15" s="77"/>
    </row>
    <row r="16" spans="1:7" s="101" customFormat="1" ht="19.5" customHeight="1">
      <c r="A16" s="419"/>
      <c r="B16" s="428"/>
      <c r="C16" s="421"/>
      <c r="D16" s="419"/>
      <c r="E16" s="421"/>
      <c r="G16" s="77"/>
    </row>
    <row r="18" spans="1:5" ht="18.75">
      <c r="A18" s="121"/>
      <c r="B18" s="120"/>
      <c r="C18" s="120"/>
      <c r="D18" s="121"/>
      <c r="E18" s="429"/>
    </row>
    <row r="19" spans="1:7" s="120" customFormat="1" ht="21.75" customHeight="1">
      <c r="A19" s="121"/>
      <c r="B19" s="430"/>
      <c r="D19" s="121"/>
      <c r="E19" s="85"/>
      <c r="G19" s="144"/>
    </row>
    <row r="20" spans="1:7" s="101" customFormat="1" ht="18" customHeight="1">
      <c r="A20" s="77"/>
      <c r="B20" s="431"/>
      <c r="C20" s="77"/>
      <c r="D20" s="447"/>
      <c r="E20" s="77"/>
      <c r="G20" s="77"/>
    </row>
    <row r="21" spans="2:4" s="77" customFormat="1" ht="19.5" customHeight="1">
      <c r="B21" s="431"/>
      <c r="D21" s="447"/>
    </row>
    <row r="22" spans="2:4" s="77" customFormat="1" ht="15">
      <c r="B22" s="431"/>
      <c r="D22" s="447"/>
    </row>
    <row r="23" spans="2:4" s="77" customFormat="1" ht="15">
      <c r="B23" s="431"/>
      <c r="D23" s="447"/>
    </row>
    <row r="24" spans="2:4" s="77" customFormat="1" ht="15">
      <c r="B24" s="431"/>
      <c r="D24" s="447"/>
    </row>
    <row r="25" spans="2:4" s="77" customFormat="1" ht="15">
      <c r="B25" s="431"/>
      <c r="D25" s="447"/>
    </row>
    <row r="26" spans="2:4" s="77" customFormat="1" ht="15">
      <c r="B26" s="431"/>
      <c r="D26" s="447"/>
    </row>
    <row r="27" spans="2:4" s="77" customFormat="1" ht="15">
      <c r="B27" s="431"/>
      <c r="D27" s="447"/>
    </row>
    <row r="28" spans="2:4" s="77" customFormat="1" ht="15">
      <c r="B28" s="431"/>
      <c r="D28" s="447"/>
    </row>
    <row r="29" spans="2:4" s="77" customFormat="1" ht="15">
      <c r="B29" s="431"/>
      <c r="D29" s="447"/>
    </row>
    <row r="30" spans="2:4" s="77" customFormat="1" ht="15">
      <c r="B30" s="431"/>
      <c r="D30" s="447"/>
    </row>
    <row r="31" spans="2:4" s="77" customFormat="1" ht="15">
      <c r="B31" s="431"/>
      <c r="D31" s="447"/>
    </row>
    <row r="32" spans="2:4" s="77" customFormat="1" ht="15">
      <c r="B32" s="431"/>
      <c r="D32" s="447"/>
    </row>
    <row r="33" spans="2:4" s="77" customFormat="1" ht="15">
      <c r="B33" s="431"/>
      <c r="D33" s="447"/>
    </row>
    <row r="34" spans="2:4" s="77" customFormat="1" ht="15">
      <c r="B34" s="431"/>
      <c r="D34" s="447"/>
    </row>
    <row r="35" spans="2:4" s="77" customFormat="1" ht="15">
      <c r="B35" s="431"/>
      <c r="D35" s="447"/>
    </row>
    <row r="36" spans="2:4" s="77" customFormat="1" ht="15">
      <c r="B36" s="431"/>
      <c r="D36" s="447"/>
    </row>
    <row r="37" spans="2:4" s="77" customFormat="1" ht="15">
      <c r="B37" s="431"/>
      <c r="D37" s="447"/>
    </row>
    <row r="38" spans="2:4" s="77" customFormat="1" ht="15">
      <c r="B38" s="431"/>
      <c r="D38" s="447"/>
    </row>
    <row r="39" spans="2:4" s="77" customFormat="1" ht="15">
      <c r="B39" s="431"/>
      <c r="D39" s="447"/>
    </row>
    <row r="40" spans="2:4" s="77" customFormat="1" ht="15">
      <c r="B40" s="431"/>
      <c r="D40" s="447"/>
    </row>
    <row r="41" spans="2:4" s="77" customFormat="1" ht="15">
      <c r="B41" s="431"/>
      <c r="D41" s="447"/>
    </row>
    <row r="42" spans="2:4" s="77" customFormat="1" ht="15">
      <c r="B42" s="431"/>
      <c r="D42" s="447"/>
    </row>
    <row r="43" spans="2:4" s="77" customFormat="1" ht="15">
      <c r="B43" s="431"/>
      <c r="D43" s="447"/>
    </row>
    <row r="44" spans="2:4" s="77" customFormat="1" ht="15">
      <c r="B44" s="431"/>
      <c r="D44" s="447"/>
    </row>
    <row r="45" spans="2:4" s="77" customFormat="1" ht="15">
      <c r="B45" s="431"/>
      <c r="D45" s="447"/>
    </row>
    <row r="46" spans="2:4" s="77" customFormat="1" ht="15">
      <c r="B46" s="431"/>
      <c r="D46" s="447"/>
    </row>
    <row r="47" spans="2:4" s="77" customFormat="1" ht="15">
      <c r="B47" s="431"/>
      <c r="D47" s="447"/>
    </row>
    <row r="48" spans="2:4" s="77" customFormat="1" ht="15">
      <c r="B48" s="431"/>
      <c r="D48" s="447"/>
    </row>
    <row r="49" spans="2:4" s="77" customFormat="1" ht="15">
      <c r="B49" s="431"/>
      <c r="D49" s="447"/>
    </row>
    <row r="50" spans="2:4" s="77" customFormat="1" ht="15">
      <c r="B50" s="431"/>
      <c r="D50" s="447"/>
    </row>
    <row r="51" spans="2:4" s="77" customFormat="1" ht="15">
      <c r="B51" s="431"/>
      <c r="D51" s="447"/>
    </row>
    <row r="52" spans="2:4" s="77" customFormat="1" ht="15">
      <c r="B52" s="431"/>
      <c r="D52" s="447"/>
    </row>
    <row r="53" spans="2:4" s="77" customFormat="1" ht="15">
      <c r="B53" s="431"/>
      <c r="D53" s="447"/>
    </row>
    <row r="54" spans="2:4" s="77" customFormat="1" ht="15">
      <c r="B54" s="431"/>
      <c r="D54" s="447"/>
    </row>
    <row r="55" spans="2:4" s="77" customFormat="1" ht="15">
      <c r="B55" s="431"/>
      <c r="D55" s="447"/>
    </row>
    <row r="56" spans="2:4" s="77" customFormat="1" ht="15">
      <c r="B56" s="431"/>
      <c r="D56" s="447"/>
    </row>
    <row r="57" spans="2:4" s="77" customFormat="1" ht="15">
      <c r="B57" s="431"/>
      <c r="D57" s="447"/>
    </row>
    <row r="58" spans="2:4" s="77" customFormat="1" ht="15">
      <c r="B58" s="431"/>
      <c r="D58" s="447"/>
    </row>
    <row r="59" spans="2:4" s="77" customFormat="1" ht="15">
      <c r="B59" s="431"/>
      <c r="D59" s="447"/>
    </row>
    <row r="60" spans="2:4" s="77" customFormat="1" ht="15">
      <c r="B60" s="431"/>
      <c r="D60" s="447"/>
    </row>
    <row r="61" spans="2:4" s="77" customFormat="1" ht="15">
      <c r="B61" s="431"/>
      <c r="D61" s="447"/>
    </row>
    <row r="62" spans="2:4" s="77" customFormat="1" ht="15">
      <c r="B62" s="431"/>
      <c r="D62" s="447"/>
    </row>
    <row r="63" spans="2:4" s="77" customFormat="1" ht="15">
      <c r="B63" s="431"/>
      <c r="D63" s="447"/>
    </row>
    <row r="64" spans="2:4" s="77" customFormat="1" ht="18.75" customHeight="1">
      <c r="B64" s="431"/>
      <c r="D64" s="447"/>
    </row>
    <row r="65" spans="2:4" s="77" customFormat="1" ht="18" customHeight="1">
      <c r="B65" s="431"/>
      <c r="D65" s="447"/>
    </row>
    <row r="66" spans="2:4" s="77" customFormat="1" ht="18" customHeight="1">
      <c r="B66" s="431"/>
      <c r="D66" s="447"/>
    </row>
    <row r="67" spans="2:4" s="77" customFormat="1" ht="18.75" customHeight="1">
      <c r="B67" s="431"/>
      <c r="D67" s="447"/>
    </row>
    <row r="68" spans="2:4" s="77" customFormat="1" ht="18.75" customHeight="1">
      <c r="B68" s="431"/>
      <c r="D68" s="447"/>
    </row>
    <row r="69" spans="2:4" s="77" customFormat="1" ht="17.25" customHeight="1">
      <c r="B69" s="431"/>
      <c r="D69" s="447"/>
    </row>
    <row r="70" spans="2:4" s="77" customFormat="1" ht="19.5" customHeight="1">
      <c r="B70" s="431"/>
      <c r="D70" s="447"/>
    </row>
    <row r="71" spans="2:4" s="77" customFormat="1" ht="19.5" customHeight="1">
      <c r="B71" s="431"/>
      <c r="D71" s="447"/>
    </row>
    <row r="72" spans="2:4" s="77" customFormat="1" ht="15">
      <c r="B72" s="431"/>
      <c r="D72" s="447"/>
    </row>
    <row r="73" spans="2:4" s="77" customFormat="1" ht="18.75" customHeight="1">
      <c r="B73" s="431"/>
      <c r="D73" s="447"/>
    </row>
    <row r="74" spans="2:4" s="77" customFormat="1" ht="18.75" customHeight="1">
      <c r="B74" s="431"/>
      <c r="D74" s="447"/>
    </row>
    <row r="75" spans="2:4" s="77" customFormat="1" ht="18.75" customHeight="1">
      <c r="B75" s="431"/>
      <c r="D75" s="447"/>
    </row>
    <row r="76" spans="2:4" s="77" customFormat="1" ht="18.75" customHeight="1">
      <c r="B76" s="431"/>
      <c r="D76" s="447"/>
    </row>
    <row r="77" spans="2:4" s="77" customFormat="1" ht="19.5" customHeight="1">
      <c r="B77" s="431"/>
      <c r="D77" s="447"/>
    </row>
    <row r="78" spans="2:4" s="77" customFormat="1" ht="15">
      <c r="B78" s="431"/>
      <c r="D78" s="447"/>
    </row>
    <row r="79" spans="2:4" s="77" customFormat="1" ht="15">
      <c r="B79" s="431"/>
      <c r="D79" s="447"/>
    </row>
    <row r="80" spans="2:4" s="77" customFormat="1" ht="15">
      <c r="B80" s="431"/>
      <c r="D80" s="447"/>
    </row>
    <row r="81" spans="2:4" s="77" customFormat="1" ht="15">
      <c r="B81" s="431"/>
      <c r="D81" s="447"/>
    </row>
    <row r="82" spans="2:4" s="77" customFormat="1" ht="15">
      <c r="B82" s="431"/>
      <c r="D82" s="447"/>
    </row>
    <row r="83" spans="2:4" s="77" customFormat="1" ht="15">
      <c r="B83" s="431"/>
      <c r="D83" s="447"/>
    </row>
    <row r="84" spans="2:4" s="77" customFormat="1" ht="15">
      <c r="B84" s="431"/>
      <c r="D84" s="447"/>
    </row>
    <row r="85" spans="2:4" s="77" customFormat="1" ht="15">
      <c r="B85" s="431"/>
      <c r="D85" s="447"/>
    </row>
    <row r="86" spans="2:4" s="77" customFormat="1" ht="15">
      <c r="B86" s="431"/>
      <c r="D86" s="447"/>
    </row>
    <row r="87" spans="2:4" s="77" customFormat="1" ht="15">
      <c r="B87" s="431"/>
      <c r="D87" s="447"/>
    </row>
    <row r="88" spans="2:4" s="77" customFormat="1" ht="15">
      <c r="B88" s="431"/>
      <c r="D88" s="447"/>
    </row>
    <row r="89" spans="2:4" s="77" customFormat="1" ht="15">
      <c r="B89" s="431"/>
      <c r="D89" s="447"/>
    </row>
    <row r="90" spans="2:4" s="77" customFormat="1" ht="15">
      <c r="B90" s="431"/>
      <c r="D90" s="447"/>
    </row>
    <row r="91" spans="2:4" s="77" customFormat="1" ht="15">
      <c r="B91" s="431"/>
      <c r="D91" s="447"/>
    </row>
    <row r="92" spans="2:4" s="77" customFormat="1" ht="15">
      <c r="B92" s="431"/>
      <c r="D92" s="447"/>
    </row>
    <row r="93" spans="2:4" s="77" customFormat="1" ht="15">
      <c r="B93" s="431"/>
      <c r="D93" s="447"/>
    </row>
    <row r="94" spans="1:5" s="77" customFormat="1" ht="18.75">
      <c r="A94" s="432"/>
      <c r="B94" s="433"/>
      <c r="C94" s="7"/>
      <c r="D94" s="432"/>
      <c r="E94" s="7"/>
    </row>
    <row r="95" spans="1:7" s="7" customFormat="1" ht="18.75">
      <c r="A95" s="432"/>
      <c r="B95" s="433"/>
      <c r="D95" s="432"/>
      <c r="G95" s="77"/>
    </row>
    <row r="96" spans="1:7" s="7" customFormat="1" ht="18.75">
      <c r="A96" s="432"/>
      <c r="B96" s="433"/>
      <c r="D96" s="432"/>
      <c r="G96" s="77"/>
    </row>
    <row r="97" spans="1:7" s="7" customFormat="1" ht="18.75">
      <c r="A97" s="432"/>
      <c r="B97" s="433"/>
      <c r="D97" s="432"/>
      <c r="G97" s="77"/>
    </row>
    <row r="98" spans="1:7" s="7" customFormat="1" ht="18.75">
      <c r="A98" s="432"/>
      <c r="B98" s="433"/>
      <c r="D98" s="432"/>
      <c r="G98" s="77"/>
    </row>
    <row r="99" spans="1:7" s="7" customFormat="1" ht="18.75">
      <c r="A99" s="432"/>
      <c r="B99" s="433"/>
      <c r="D99" s="432"/>
      <c r="G99" s="77"/>
    </row>
    <row r="100" spans="1:7" s="7" customFormat="1" ht="18.75">
      <c r="A100" s="432"/>
      <c r="B100" s="433"/>
      <c r="D100" s="432"/>
      <c r="G100" s="77"/>
    </row>
    <row r="101" spans="1:7" s="7" customFormat="1" ht="18.75">
      <c r="A101" s="432"/>
      <c r="B101" s="433"/>
      <c r="D101" s="432"/>
      <c r="G101" s="77"/>
    </row>
    <row r="102" spans="1:7" s="7" customFormat="1" ht="18.75">
      <c r="A102" s="432"/>
      <c r="B102" s="433"/>
      <c r="D102" s="432"/>
      <c r="G102" s="77"/>
    </row>
    <row r="103" spans="1:7" s="7" customFormat="1" ht="18.75">
      <c r="A103" s="432"/>
      <c r="B103" s="433"/>
      <c r="D103" s="432"/>
      <c r="G103" s="77"/>
    </row>
    <row r="104" spans="1:7" s="7" customFormat="1" ht="18.75">
      <c r="A104" s="432"/>
      <c r="B104" s="433"/>
      <c r="D104" s="432"/>
      <c r="G104" s="77"/>
    </row>
    <row r="105" spans="1:7" s="7" customFormat="1" ht="18.75">
      <c r="A105" s="432"/>
      <c r="B105" s="433"/>
      <c r="D105" s="432"/>
      <c r="G105" s="77"/>
    </row>
    <row r="106" spans="1:7" s="7" customFormat="1" ht="18.75">
      <c r="A106" s="432"/>
      <c r="B106" s="433"/>
      <c r="D106" s="432"/>
      <c r="G106" s="77"/>
    </row>
    <row r="107" spans="1:7" s="7" customFormat="1" ht="18.75">
      <c r="A107" s="432"/>
      <c r="B107" s="433"/>
      <c r="D107" s="432"/>
      <c r="G107" s="77"/>
    </row>
    <row r="108" spans="1:7" s="7" customFormat="1" ht="18.75">
      <c r="A108" s="432"/>
      <c r="B108" s="433"/>
      <c r="D108" s="432"/>
      <c r="G108" s="77"/>
    </row>
    <row r="109" spans="1:7" s="7" customFormat="1" ht="18.75">
      <c r="A109" s="432"/>
      <c r="B109" s="433"/>
      <c r="D109" s="432"/>
      <c r="G109" s="77"/>
    </row>
    <row r="110" spans="1:7" s="7" customFormat="1" ht="18.75">
      <c r="A110" s="432"/>
      <c r="B110" s="433"/>
      <c r="D110" s="432"/>
      <c r="G110" s="77"/>
    </row>
    <row r="111" spans="1:7" s="7" customFormat="1" ht="18.75">
      <c r="A111" s="432"/>
      <c r="B111" s="433"/>
      <c r="D111" s="432"/>
      <c r="G111" s="77"/>
    </row>
    <row r="112" spans="1:7" s="7" customFormat="1" ht="18.75">
      <c r="A112" s="432"/>
      <c r="B112" s="433"/>
      <c r="D112" s="432"/>
      <c r="G112" s="77"/>
    </row>
    <row r="113" spans="1:7" s="7" customFormat="1" ht="18.75">
      <c r="A113" s="432"/>
      <c r="B113" s="433"/>
      <c r="D113" s="432"/>
      <c r="G113" s="77"/>
    </row>
    <row r="114" spans="1:7" s="7" customFormat="1" ht="18.75">
      <c r="A114" s="432"/>
      <c r="B114" s="433"/>
      <c r="D114" s="432"/>
      <c r="G114" s="77"/>
    </row>
    <row r="115" spans="1:7" s="7" customFormat="1" ht="18.75">
      <c r="A115" s="432"/>
      <c r="B115" s="433"/>
      <c r="D115" s="432"/>
      <c r="G115" s="77"/>
    </row>
    <row r="116" spans="1:7" s="7" customFormat="1" ht="18.75">
      <c r="A116" s="432"/>
      <c r="B116" s="433"/>
      <c r="D116" s="432"/>
      <c r="G116" s="77"/>
    </row>
    <row r="117" spans="1:7" s="7" customFormat="1" ht="18.75">
      <c r="A117" s="432"/>
      <c r="B117" s="433"/>
      <c r="D117" s="432"/>
      <c r="G117" s="77"/>
    </row>
    <row r="118" spans="1:7" s="7" customFormat="1" ht="18.75">
      <c r="A118" s="432"/>
      <c r="B118" s="433"/>
      <c r="D118" s="432"/>
      <c r="G118" s="77"/>
    </row>
    <row r="119" spans="1:7" s="7" customFormat="1" ht="18.75">
      <c r="A119" s="432"/>
      <c r="B119" s="433"/>
      <c r="D119" s="432"/>
      <c r="G119" s="77"/>
    </row>
    <row r="120" spans="1:7" s="7" customFormat="1" ht="18.75">
      <c r="A120" s="432"/>
      <c r="B120" s="433"/>
      <c r="D120" s="432"/>
      <c r="G120" s="77"/>
    </row>
    <row r="121" spans="1:7" s="7" customFormat="1" ht="18.75">
      <c r="A121" s="432"/>
      <c r="B121" s="433"/>
      <c r="D121" s="432"/>
      <c r="G121" s="77"/>
    </row>
    <row r="122" spans="1:7" s="7" customFormat="1" ht="18.75">
      <c r="A122" s="432"/>
      <c r="B122" s="433"/>
      <c r="D122" s="432"/>
      <c r="G122" s="77"/>
    </row>
    <row r="123" spans="1:7" s="7" customFormat="1" ht="18.75">
      <c r="A123" s="432"/>
      <c r="B123" s="433"/>
      <c r="D123" s="432"/>
      <c r="G123" s="77"/>
    </row>
    <row r="124" spans="1:7" s="7" customFormat="1" ht="18.75">
      <c r="A124" s="432"/>
      <c r="B124" s="433"/>
      <c r="D124" s="432"/>
      <c r="G124" s="77"/>
    </row>
    <row r="125" spans="1:7" s="7" customFormat="1" ht="18.75">
      <c r="A125" s="432"/>
      <c r="B125" s="433"/>
      <c r="D125" s="432"/>
      <c r="G125" s="77"/>
    </row>
    <row r="126" spans="1:7" s="7" customFormat="1" ht="18.75">
      <c r="A126" s="432"/>
      <c r="B126" s="433"/>
      <c r="D126" s="432"/>
      <c r="G126" s="77"/>
    </row>
    <row r="127" spans="1:7" s="7" customFormat="1" ht="18.75">
      <c r="A127" s="432"/>
      <c r="B127" s="433"/>
      <c r="D127" s="432"/>
      <c r="G127" s="77"/>
    </row>
    <row r="128" spans="1:7" s="7" customFormat="1" ht="18.75">
      <c r="A128" s="432"/>
      <c r="B128" s="433"/>
      <c r="D128" s="432"/>
      <c r="G128" s="77"/>
    </row>
    <row r="129" spans="1:7" s="7" customFormat="1" ht="18.75">
      <c r="A129" s="432"/>
      <c r="B129" s="433"/>
      <c r="D129" s="432"/>
      <c r="G129" s="77"/>
    </row>
    <row r="130" spans="1:7" s="7" customFormat="1" ht="18.75">
      <c r="A130" s="432"/>
      <c r="B130" s="433"/>
      <c r="D130" s="432"/>
      <c r="G130" s="77"/>
    </row>
    <row r="131" spans="1:7" s="7" customFormat="1" ht="18.75">
      <c r="A131" s="432"/>
      <c r="B131" s="433"/>
      <c r="D131" s="432"/>
      <c r="G131" s="77"/>
    </row>
    <row r="132" spans="1:7" s="7" customFormat="1" ht="18.75">
      <c r="A132" s="432"/>
      <c r="B132" s="433"/>
      <c r="D132" s="432"/>
      <c r="G132" s="77"/>
    </row>
    <row r="133" spans="1:7" s="7" customFormat="1" ht="18.75">
      <c r="A133" s="432"/>
      <c r="B133" s="433"/>
      <c r="D133" s="432"/>
      <c r="G133" s="77"/>
    </row>
    <row r="134" spans="1:7" s="7" customFormat="1" ht="18.75">
      <c r="A134" s="432"/>
      <c r="B134" s="433"/>
      <c r="D134" s="432"/>
      <c r="G134" s="77"/>
    </row>
    <row r="135" spans="1:7" s="7" customFormat="1" ht="18.75">
      <c r="A135" s="432"/>
      <c r="B135" s="433"/>
      <c r="D135" s="432"/>
      <c r="G135" s="77"/>
    </row>
    <row r="136" spans="1:7" s="7" customFormat="1" ht="18.75">
      <c r="A136" s="432"/>
      <c r="B136" s="433"/>
      <c r="D136" s="432"/>
      <c r="G136" s="77"/>
    </row>
    <row r="137" spans="1:7" s="7" customFormat="1" ht="18.75">
      <c r="A137" s="432"/>
      <c r="B137" s="433"/>
      <c r="D137" s="432"/>
      <c r="G137" s="77"/>
    </row>
    <row r="138" spans="1:7" s="7" customFormat="1" ht="18.75">
      <c r="A138" s="432"/>
      <c r="B138" s="433"/>
      <c r="D138" s="432"/>
      <c r="G138" s="77"/>
    </row>
    <row r="139" spans="1:7" s="7" customFormat="1" ht="18.75">
      <c r="A139" s="432"/>
      <c r="B139" s="433"/>
      <c r="D139" s="432"/>
      <c r="G139" s="77"/>
    </row>
    <row r="140" spans="1:7" s="7" customFormat="1" ht="18.75">
      <c r="A140" s="432"/>
      <c r="B140" s="433"/>
      <c r="D140" s="432"/>
      <c r="G140" s="77"/>
    </row>
    <row r="141" spans="1:7" s="7" customFormat="1" ht="18.75">
      <c r="A141" s="432"/>
      <c r="B141" s="433"/>
      <c r="D141" s="432"/>
      <c r="G141" s="77"/>
    </row>
    <row r="142" spans="1:7" s="7" customFormat="1" ht="18.75">
      <c r="A142" s="432"/>
      <c r="B142" s="433"/>
      <c r="D142" s="432"/>
      <c r="G142" s="77"/>
    </row>
    <row r="143" spans="1:7" s="7" customFormat="1" ht="18.75">
      <c r="A143" s="432"/>
      <c r="B143" s="433"/>
      <c r="D143" s="432"/>
      <c r="G143" s="77"/>
    </row>
    <row r="144" spans="1:7" s="7" customFormat="1" ht="18.75">
      <c r="A144" s="432"/>
      <c r="B144" s="433"/>
      <c r="D144" s="432"/>
      <c r="G144" s="77"/>
    </row>
    <row r="145" spans="1:7" s="7" customFormat="1" ht="18.75">
      <c r="A145" s="432"/>
      <c r="B145" s="433"/>
      <c r="D145" s="432"/>
      <c r="G145" s="77"/>
    </row>
    <row r="146" spans="1:7" s="7" customFormat="1" ht="18.75">
      <c r="A146" s="432"/>
      <c r="B146" s="433"/>
      <c r="D146" s="432"/>
      <c r="G146" s="77"/>
    </row>
    <row r="147" spans="1:7" s="7" customFormat="1" ht="18.75">
      <c r="A147" s="432"/>
      <c r="B147" s="433"/>
      <c r="D147" s="432"/>
      <c r="G147" s="77"/>
    </row>
    <row r="148" spans="1:7" s="7" customFormat="1" ht="18.75">
      <c r="A148" s="432"/>
      <c r="B148" s="433"/>
      <c r="D148" s="432"/>
      <c r="G148" s="77"/>
    </row>
    <row r="149" spans="1:7" s="7" customFormat="1" ht="18.75">
      <c r="A149" s="432"/>
      <c r="B149" s="433"/>
      <c r="D149" s="432"/>
      <c r="G149" s="77"/>
    </row>
    <row r="150" spans="1:7" s="7" customFormat="1" ht="18.75">
      <c r="A150" s="432"/>
      <c r="B150" s="433"/>
      <c r="D150" s="432"/>
      <c r="G150" s="77"/>
    </row>
    <row r="151" spans="1:7" s="7" customFormat="1" ht="18.75">
      <c r="A151" s="432"/>
      <c r="B151" s="433"/>
      <c r="D151" s="432"/>
      <c r="G151" s="77"/>
    </row>
    <row r="152" spans="1:7" s="7" customFormat="1" ht="18.75">
      <c r="A152" s="432"/>
      <c r="B152" s="433"/>
      <c r="D152" s="432"/>
      <c r="G152" s="77"/>
    </row>
    <row r="153" spans="1:7" s="7" customFormat="1" ht="18.75">
      <c r="A153" s="432"/>
      <c r="B153" s="433"/>
      <c r="D153" s="432"/>
      <c r="G153" s="77"/>
    </row>
    <row r="154" spans="1:7" s="7" customFormat="1" ht="18.75">
      <c r="A154" s="432"/>
      <c r="B154" s="433"/>
      <c r="D154" s="432"/>
      <c r="G154" s="77"/>
    </row>
    <row r="155" spans="1:7" s="7" customFormat="1" ht="18.75">
      <c r="A155" s="432"/>
      <c r="B155" s="433"/>
      <c r="D155" s="432"/>
      <c r="G155" s="77"/>
    </row>
    <row r="156" spans="1:7" s="7" customFormat="1" ht="18.75">
      <c r="A156" s="432"/>
      <c r="B156" s="433"/>
      <c r="D156" s="432"/>
      <c r="G156" s="77"/>
    </row>
    <row r="157" spans="1:7" s="7" customFormat="1" ht="18.75">
      <c r="A157" s="432"/>
      <c r="B157" s="433"/>
      <c r="D157" s="432"/>
      <c r="G157" s="77"/>
    </row>
    <row r="158" spans="1:7" s="7" customFormat="1" ht="18.75">
      <c r="A158" s="432"/>
      <c r="B158" s="433"/>
      <c r="D158" s="432"/>
      <c r="G158" s="77"/>
    </row>
    <row r="159" spans="1:7" s="7" customFormat="1" ht="18.75">
      <c r="A159" s="432"/>
      <c r="B159" s="433"/>
      <c r="D159" s="432"/>
      <c r="G159" s="77"/>
    </row>
    <row r="160" spans="1:7" s="7" customFormat="1" ht="18.75">
      <c r="A160" s="432"/>
      <c r="B160" s="433"/>
      <c r="D160" s="432"/>
      <c r="G160" s="77"/>
    </row>
    <row r="161" spans="1:7" s="7" customFormat="1" ht="18.75">
      <c r="A161" s="432"/>
      <c r="B161" s="433"/>
      <c r="D161" s="432"/>
      <c r="G161" s="77"/>
    </row>
    <row r="162" spans="1:7" s="7" customFormat="1" ht="18.75">
      <c r="A162" s="432"/>
      <c r="B162" s="433"/>
      <c r="D162" s="432"/>
      <c r="G162" s="77"/>
    </row>
    <row r="163" spans="1:7" s="7" customFormat="1" ht="18.75">
      <c r="A163" s="432"/>
      <c r="B163" s="433"/>
      <c r="D163" s="432"/>
      <c r="G163" s="77"/>
    </row>
    <row r="164" spans="1:7" s="7" customFormat="1" ht="18.75">
      <c r="A164" s="432"/>
      <c r="B164" s="433"/>
      <c r="D164" s="432"/>
      <c r="G164" s="77"/>
    </row>
    <row r="165" spans="1:7" s="7" customFormat="1" ht="18.75">
      <c r="A165" s="432"/>
      <c r="B165" s="433"/>
      <c r="D165" s="432"/>
      <c r="G165" s="77"/>
    </row>
    <row r="166" spans="1:7" s="7" customFormat="1" ht="18.75">
      <c r="A166" s="432"/>
      <c r="B166" s="433"/>
      <c r="D166" s="432"/>
      <c r="G166" s="77"/>
    </row>
    <row r="167" spans="1:7" s="7" customFormat="1" ht="18.75">
      <c r="A167" s="432"/>
      <c r="B167" s="433"/>
      <c r="D167" s="432"/>
      <c r="G167" s="77"/>
    </row>
    <row r="168" spans="1:7" s="7" customFormat="1" ht="18.75">
      <c r="A168" s="419"/>
      <c r="B168" s="428"/>
      <c r="C168" s="421"/>
      <c r="D168" s="419"/>
      <c r="E168" s="421"/>
      <c r="G168" s="77"/>
    </row>
    <row r="169" spans="1:7" s="7" customFormat="1" ht="18.75">
      <c r="A169" s="419"/>
      <c r="B169" s="428"/>
      <c r="C169" s="421"/>
      <c r="D169" s="419"/>
      <c r="E169" s="421"/>
      <c r="G169" s="77"/>
    </row>
    <row r="170" spans="1:7" s="7" customFormat="1" ht="18.75">
      <c r="A170" s="419"/>
      <c r="B170" s="428"/>
      <c r="C170" s="421"/>
      <c r="D170" s="419"/>
      <c r="E170" s="421"/>
      <c r="G170" s="77"/>
    </row>
    <row r="171" spans="1:7" s="7" customFormat="1" ht="18.75">
      <c r="A171" s="419"/>
      <c r="B171" s="428"/>
      <c r="C171" s="421"/>
      <c r="D171" s="419"/>
      <c r="E171" s="421"/>
      <c r="G171" s="77"/>
    </row>
    <row r="172" spans="1:7" s="7" customFormat="1" ht="18.75">
      <c r="A172" s="419"/>
      <c r="B172" s="428"/>
      <c r="C172" s="421"/>
      <c r="D172" s="419"/>
      <c r="E172" s="421"/>
      <c r="G172" s="77"/>
    </row>
    <row r="173" spans="1:7" s="7" customFormat="1" ht="18.75">
      <c r="A173" s="419"/>
      <c r="B173" s="428"/>
      <c r="C173" s="421"/>
      <c r="D173" s="419"/>
      <c r="E173" s="421"/>
      <c r="G173" s="77"/>
    </row>
    <row r="174" spans="1:7" s="7" customFormat="1" ht="18.75">
      <c r="A174" s="419"/>
      <c r="B174" s="428"/>
      <c r="C174" s="421"/>
      <c r="D174" s="419"/>
      <c r="E174" s="421"/>
      <c r="G174" s="77"/>
    </row>
    <row r="175" spans="1:7" s="7" customFormat="1" ht="18.75">
      <c r="A175" s="419"/>
      <c r="B175" s="428"/>
      <c r="C175" s="421"/>
      <c r="D175" s="419"/>
      <c r="E175" s="421"/>
      <c r="G175" s="77"/>
    </row>
    <row r="176" spans="1:7" s="7" customFormat="1" ht="18.75">
      <c r="A176" s="419"/>
      <c r="B176" s="428"/>
      <c r="C176" s="421"/>
      <c r="D176" s="419"/>
      <c r="E176" s="421"/>
      <c r="G176" s="77"/>
    </row>
    <row r="177" spans="1:7" s="7" customFormat="1" ht="18.75">
      <c r="A177" s="419"/>
      <c r="B177" s="428"/>
      <c r="C177" s="421"/>
      <c r="D177" s="419"/>
      <c r="E177" s="421"/>
      <c r="G177" s="77"/>
    </row>
    <row r="178" spans="1:7" s="7" customFormat="1" ht="18.75">
      <c r="A178" s="419"/>
      <c r="B178" s="428"/>
      <c r="C178" s="421"/>
      <c r="D178" s="419"/>
      <c r="E178" s="421"/>
      <c r="G178" s="77"/>
    </row>
    <row r="179" spans="1:7" s="7" customFormat="1" ht="18.75">
      <c r="A179" s="419"/>
      <c r="B179" s="428"/>
      <c r="C179" s="421"/>
      <c r="D179" s="419"/>
      <c r="E179" s="421"/>
      <c r="G179" s="77"/>
    </row>
    <row r="180" spans="1:7" s="7" customFormat="1" ht="18.75">
      <c r="A180" s="419"/>
      <c r="B180" s="428"/>
      <c r="C180" s="421"/>
      <c r="D180" s="419"/>
      <c r="E180" s="421"/>
      <c r="G180" s="77"/>
    </row>
    <row r="181" spans="1:7" s="7" customFormat="1" ht="18.75">
      <c r="A181" s="419"/>
      <c r="B181" s="428"/>
      <c r="C181" s="421"/>
      <c r="D181" s="419"/>
      <c r="E181" s="421"/>
      <c r="G181" s="77"/>
    </row>
    <row r="182" spans="1:7" s="7" customFormat="1" ht="18.75">
      <c r="A182" s="419"/>
      <c r="B182" s="428"/>
      <c r="C182" s="421"/>
      <c r="D182" s="419"/>
      <c r="E182" s="421"/>
      <c r="G182" s="77"/>
    </row>
    <row r="183" spans="1:7" s="7" customFormat="1" ht="18.75">
      <c r="A183" s="419"/>
      <c r="B183" s="428"/>
      <c r="C183" s="421"/>
      <c r="D183" s="419"/>
      <c r="E183" s="421"/>
      <c r="G183" s="77"/>
    </row>
    <row r="184" spans="1:7" s="7" customFormat="1" ht="18.75">
      <c r="A184" s="419"/>
      <c r="B184" s="428"/>
      <c r="C184" s="421"/>
      <c r="D184" s="419"/>
      <c r="E184" s="421"/>
      <c r="G184" s="77"/>
    </row>
    <row r="185" spans="1:7" s="7" customFormat="1" ht="18.75">
      <c r="A185" s="419"/>
      <c r="B185" s="428"/>
      <c r="C185" s="421"/>
      <c r="D185" s="419"/>
      <c r="E185" s="421"/>
      <c r="G185" s="77"/>
    </row>
    <row r="186" spans="1:7" s="7" customFormat="1" ht="18.75">
      <c r="A186" s="419"/>
      <c r="B186" s="428"/>
      <c r="C186" s="421"/>
      <c r="D186" s="419"/>
      <c r="E186" s="421"/>
      <c r="G186" s="77"/>
    </row>
    <row r="187" spans="1:7" s="7" customFormat="1" ht="18.75">
      <c r="A187" s="419"/>
      <c r="B187" s="428"/>
      <c r="C187" s="421"/>
      <c r="D187" s="419"/>
      <c r="E187" s="421"/>
      <c r="G187" s="77"/>
    </row>
    <row r="188" spans="1:7" s="7" customFormat="1" ht="18.75">
      <c r="A188" s="419"/>
      <c r="B188" s="428"/>
      <c r="C188" s="421"/>
      <c r="D188" s="419"/>
      <c r="E188" s="421"/>
      <c r="G188" s="77"/>
    </row>
    <row r="189" spans="1:7" s="7" customFormat="1" ht="18.75">
      <c r="A189" s="419"/>
      <c r="B189" s="428"/>
      <c r="C189" s="421"/>
      <c r="D189" s="419"/>
      <c r="E189" s="421"/>
      <c r="G189" s="77"/>
    </row>
    <row r="190" spans="1:7" s="7" customFormat="1" ht="18.75">
      <c r="A190" s="419"/>
      <c r="B190" s="428"/>
      <c r="C190" s="421"/>
      <c r="D190" s="419"/>
      <c r="E190" s="421"/>
      <c r="G190" s="77"/>
    </row>
    <row r="191" spans="1:7" s="7" customFormat="1" ht="18.75">
      <c r="A191" s="419"/>
      <c r="B191" s="428"/>
      <c r="C191" s="421"/>
      <c r="D191" s="419"/>
      <c r="E191" s="421"/>
      <c r="G191" s="77"/>
    </row>
    <row r="192" spans="1:7" s="7" customFormat="1" ht="18.75">
      <c r="A192" s="419"/>
      <c r="B192" s="428"/>
      <c r="C192" s="421"/>
      <c r="D192" s="419"/>
      <c r="E192" s="421"/>
      <c r="G192" s="77"/>
    </row>
    <row r="193" spans="1:7" s="7" customFormat="1" ht="18.75">
      <c r="A193" s="419"/>
      <c r="B193" s="428"/>
      <c r="C193" s="421"/>
      <c r="D193" s="419"/>
      <c r="E193" s="421"/>
      <c r="G193" s="77"/>
    </row>
    <row r="194" spans="1:7" s="7" customFormat="1" ht="18.75">
      <c r="A194" s="419"/>
      <c r="B194" s="428"/>
      <c r="C194" s="421"/>
      <c r="D194" s="419"/>
      <c r="E194" s="421"/>
      <c r="G194" s="77"/>
    </row>
    <row r="195" spans="1:7" s="7" customFormat="1" ht="18.75">
      <c r="A195" s="419"/>
      <c r="B195" s="428"/>
      <c r="C195" s="421"/>
      <c r="D195" s="419"/>
      <c r="E195" s="421"/>
      <c r="G195" s="77"/>
    </row>
    <row r="196" spans="1:7" s="7" customFormat="1" ht="18.75">
      <c r="A196" s="419"/>
      <c r="B196" s="428"/>
      <c r="C196" s="421"/>
      <c r="D196" s="419"/>
      <c r="E196" s="421"/>
      <c r="G196" s="77"/>
    </row>
    <row r="197" spans="1:7" s="7" customFormat="1" ht="18.75">
      <c r="A197" s="419"/>
      <c r="B197" s="428"/>
      <c r="C197" s="421"/>
      <c r="D197" s="419"/>
      <c r="E197" s="421"/>
      <c r="G197" s="77"/>
    </row>
    <row r="198" spans="1:7" s="7" customFormat="1" ht="18.75">
      <c r="A198" s="419"/>
      <c r="B198" s="428"/>
      <c r="C198" s="421"/>
      <c r="D198" s="419"/>
      <c r="E198" s="421"/>
      <c r="G198" s="77"/>
    </row>
    <row r="199" spans="1:7" s="7" customFormat="1" ht="18.75">
      <c r="A199" s="419"/>
      <c r="B199" s="428"/>
      <c r="C199" s="421"/>
      <c r="D199" s="419"/>
      <c r="E199" s="421"/>
      <c r="G199" s="77"/>
    </row>
    <row r="200" spans="1:7" s="7" customFormat="1" ht="18.75">
      <c r="A200" s="419"/>
      <c r="B200" s="428"/>
      <c r="C200" s="421"/>
      <c r="D200" s="419"/>
      <c r="E200" s="421"/>
      <c r="G200" s="77"/>
    </row>
    <row r="201" spans="1:7" s="7" customFormat="1" ht="18.75">
      <c r="A201" s="419"/>
      <c r="B201" s="428"/>
      <c r="C201" s="421"/>
      <c r="D201" s="419"/>
      <c r="E201" s="421"/>
      <c r="G201" s="77"/>
    </row>
    <row r="202" spans="1:7" s="7" customFormat="1" ht="18.75">
      <c r="A202" s="419"/>
      <c r="B202" s="428"/>
      <c r="C202" s="421"/>
      <c r="D202" s="419"/>
      <c r="E202" s="421"/>
      <c r="G202" s="77"/>
    </row>
    <row r="203" spans="1:7" s="7" customFormat="1" ht="18.75">
      <c r="A203" s="419"/>
      <c r="B203" s="428"/>
      <c r="C203" s="421"/>
      <c r="D203" s="419"/>
      <c r="E203" s="421"/>
      <c r="G203" s="77"/>
    </row>
    <row r="204" spans="1:7" s="7" customFormat="1" ht="18.75">
      <c r="A204" s="419"/>
      <c r="B204" s="428"/>
      <c r="C204" s="421"/>
      <c r="D204" s="419"/>
      <c r="E204" s="421"/>
      <c r="G204" s="77"/>
    </row>
    <row r="205" spans="1:7" s="7" customFormat="1" ht="18.75">
      <c r="A205" s="419"/>
      <c r="B205" s="428"/>
      <c r="C205" s="421"/>
      <c r="D205" s="419"/>
      <c r="E205" s="421"/>
      <c r="G205" s="77"/>
    </row>
    <row r="206" spans="1:7" s="7" customFormat="1" ht="18.75">
      <c r="A206" s="419"/>
      <c r="B206" s="428"/>
      <c r="C206" s="421"/>
      <c r="D206" s="419"/>
      <c r="E206" s="421"/>
      <c r="G206" s="77"/>
    </row>
    <row r="207" spans="1:7" s="7" customFormat="1" ht="18.75">
      <c r="A207" s="419"/>
      <c r="B207" s="428"/>
      <c r="C207" s="421"/>
      <c r="D207" s="419"/>
      <c r="E207" s="421"/>
      <c r="G207" s="77"/>
    </row>
    <row r="208" spans="1:7" s="7" customFormat="1" ht="18.75">
      <c r="A208" s="419"/>
      <c r="B208" s="428"/>
      <c r="C208" s="421"/>
      <c r="D208" s="419"/>
      <c r="E208" s="421"/>
      <c r="G208" s="77"/>
    </row>
    <row r="209" spans="1:7" s="7" customFormat="1" ht="18.75">
      <c r="A209" s="419"/>
      <c r="B209" s="428"/>
      <c r="C209" s="421"/>
      <c r="D209" s="419"/>
      <c r="E209" s="421"/>
      <c r="G209" s="77"/>
    </row>
    <row r="210" spans="1:7" s="7" customFormat="1" ht="18.75">
      <c r="A210" s="419"/>
      <c r="B210" s="428"/>
      <c r="C210" s="421"/>
      <c r="D210" s="419"/>
      <c r="E210" s="421"/>
      <c r="G210" s="77"/>
    </row>
    <row r="211" spans="1:7" s="7" customFormat="1" ht="18.75">
      <c r="A211" s="419"/>
      <c r="B211" s="428"/>
      <c r="C211" s="421"/>
      <c r="D211" s="419"/>
      <c r="E211" s="421"/>
      <c r="G211" s="77"/>
    </row>
    <row r="212" spans="1:7" s="7" customFormat="1" ht="18.75">
      <c r="A212" s="419"/>
      <c r="B212" s="428"/>
      <c r="C212" s="421"/>
      <c r="D212" s="419"/>
      <c r="E212" s="421"/>
      <c r="G212" s="77"/>
    </row>
    <row r="213" spans="1:7" s="7" customFormat="1" ht="18.75">
      <c r="A213" s="419"/>
      <c r="B213" s="428"/>
      <c r="C213" s="421"/>
      <c r="D213" s="419"/>
      <c r="E213" s="421"/>
      <c r="G213" s="77"/>
    </row>
    <row r="214" spans="1:7" s="7" customFormat="1" ht="18.75">
      <c r="A214" s="419"/>
      <c r="B214" s="428"/>
      <c r="C214" s="421"/>
      <c r="D214" s="419"/>
      <c r="E214" s="421"/>
      <c r="G214" s="77"/>
    </row>
    <row r="215" spans="1:7" s="7" customFormat="1" ht="18.75">
      <c r="A215" s="419"/>
      <c r="B215" s="428"/>
      <c r="C215" s="421"/>
      <c r="D215" s="419"/>
      <c r="E215" s="421"/>
      <c r="G215" s="77"/>
    </row>
    <row r="216" spans="1:7" s="7" customFormat="1" ht="18.75">
      <c r="A216" s="419"/>
      <c r="B216" s="428"/>
      <c r="C216" s="421"/>
      <c r="D216" s="419"/>
      <c r="E216" s="421"/>
      <c r="G216" s="77"/>
    </row>
    <row r="217" spans="1:7" s="7" customFormat="1" ht="18.75">
      <c r="A217" s="419"/>
      <c r="B217" s="428"/>
      <c r="C217" s="421"/>
      <c r="D217" s="419"/>
      <c r="E217" s="421"/>
      <c r="G217" s="77"/>
    </row>
    <row r="218" spans="1:7" s="7" customFormat="1" ht="18.75">
      <c r="A218" s="419"/>
      <c r="B218" s="428"/>
      <c r="C218" s="421"/>
      <c r="D218" s="419"/>
      <c r="E218" s="421"/>
      <c r="G218" s="77"/>
    </row>
    <row r="219" spans="1:7" s="7" customFormat="1" ht="18.75">
      <c r="A219" s="419"/>
      <c r="B219" s="428"/>
      <c r="C219" s="421"/>
      <c r="D219" s="419"/>
      <c r="E219" s="421"/>
      <c r="G219" s="77"/>
    </row>
    <row r="220" spans="1:7" s="7" customFormat="1" ht="18.75">
      <c r="A220" s="419"/>
      <c r="B220" s="428"/>
      <c r="C220" s="421"/>
      <c r="D220" s="419"/>
      <c r="E220" s="421"/>
      <c r="G220" s="77"/>
    </row>
    <row r="221" spans="1:7" s="7" customFormat="1" ht="18.75">
      <c r="A221" s="419"/>
      <c r="B221" s="428"/>
      <c r="C221" s="421"/>
      <c r="D221" s="419"/>
      <c r="E221" s="421"/>
      <c r="G221" s="77"/>
    </row>
    <row r="222" spans="1:7" s="7" customFormat="1" ht="18.75">
      <c r="A222" s="419"/>
      <c r="B222" s="428"/>
      <c r="C222" s="421"/>
      <c r="D222" s="419"/>
      <c r="E222" s="421"/>
      <c r="G222" s="77"/>
    </row>
    <row r="223" spans="1:7" s="7" customFormat="1" ht="18.75">
      <c r="A223" s="419"/>
      <c r="B223" s="428"/>
      <c r="C223" s="421"/>
      <c r="D223" s="419"/>
      <c r="E223" s="421"/>
      <c r="G223" s="77"/>
    </row>
    <row r="224" spans="1:7" s="7" customFormat="1" ht="18.75">
      <c r="A224" s="419"/>
      <c r="B224" s="428"/>
      <c r="C224" s="421"/>
      <c r="D224" s="419"/>
      <c r="E224" s="421"/>
      <c r="G224" s="77"/>
    </row>
    <row r="225" spans="1:7" s="7" customFormat="1" ht="18.75">
      <c r="A225" s="419"/>
      <c r="B225" s="428"/>
      <c r="C225" s="421"/>
      <c r="D225" s="419"/>
      <c r="E225" s="421"/>
      <c r="G225" s="77"/>
    </row>
    <row r="226" ht="18.75">
      <c r="F226" s="421"/>
    </row>
  </sheetData>
  <sheetProtection/>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D103"/>
  <sheetViews>
    <sheetView zoomScalePageLayoutView="0" workbookViewId="0" topLeftCell="A1">
      <selection activeCell="A1" sqref="A1"/>
    </sheetView>
  </sheetViews>
  <sheetFormatPr defaultColWidth="9.140625" defaultRowHeight="12.75"/>
  <cols>
    <col min="1" max="1" width="31.57421875" style="204" customWidth="1"/>
    <col min="2" max="2" width="3.140625" style="206" customWidth="1"/>
    <col min="3" max="3" width="90.28125" style="204" customWidth="1"/>
    <col min="4" max="16384" width="9.140625" style="204" customWidth="1"/>
  </cols>
  <sheetData>
    <row r="1" spans="1:3" ht="23.25" thickBot="1">
      <c r="A1" s="367" t="s">
        <v>316</v>
      </c>
      <c r="B1" s="751"/>
      <c r="C1" s="384"/>
    </row>
    <row r="2" spans="1:3" s="399" customFormat="1" ht="22.5" customHeight="1">
      <c r="A2" s="1363" t="s">
        <v>1</v>
      </c>
      <c r="B2" s="1420"/>
      <c r="C2" s="1363" t="s">
        <v>90</v>
      </c>
    </row>
    <row r="3" spans="1:3" s="399" customFormat="1" ht="27" customHeight="1" thickBot="1">
      <c r="A3" s="1364"/>
      <c r="B3" s="1421"/>
      <c r="C3" s="1367"/>
    </row>
    <row r="4" spans="1:3" s="701" customFormat="1" ht="26.25" customHeight="1">
      <c r="A4" s="781" t="s">
        <v>241</v>
      </c>
      <c r="B4" s="782"/>
      <c r="C4" s="781" t="s">
        <v>93</v>
      </c>
    </row>
    <row r="5" spans="1:3" s="701" customFormat="1" ht="26.25" customHeight="1">
      <c r="A5" s="380" t="s">
        <v>242</v>
      </c>
      <c r="B5" s="659">
        <v>1</v>
      </c>
      <c r="C5" s="674" t="s">
        <v>269</v>
      </c>
    </row>
    <row r="6" spans="1:3" s="701" customFormat="1" ht="26.25" customHeight="1">
      <c r="A6" s="380"/>
      <c r="B6" s="659">
        <v>2</v>
      </c>
      <c r="C6" s="674" t="s">
        <v>270</v>
      </c>
    </row>
    <row r="7" spans="1:3" s="701" customFormat="1" ht="22.5" customHeight="1">
      <c r="A7" s="380"/>
      <c r="B7" s="752">
        <v>3</v>
      </c>
      <c r="C7" s="597" t="s">
        <v>268</v>
      </c>
    </row>
    <row r="8" spans="1:3" s="701" customFormat="1" ht="26.25" customHeight="1">
      <c r="A8" s="361" t="s">
        <v>132</v>
      </c>
      <c r="B8" s="659">
        <v>4</v>
      </c>
      <c r="C8" s="674" t="s">
        <v>272</v>
      </c>
    </row>
    <row r="9" spans="1:3" s="701" customFormat="1" ht="21.75">
      <c r="A9" s="375" t="s">
        <v>252</v>
      </c>
      <c r="B9" s="752"/>
      <c r="C9" s="375" t="s">
        <v>93</v>
      </c>
    </row>
    <row r="10" spans="1:3" s="711" customFormat="1" ht="21">
      <c r="A10" s="783" t="s">
        <v>254</v>
      </c>
      <c r="B10" s="778">
        <v>5</v>
      </c>
      <c r="C10" s="717" t="s">
        <v>271</v>
      </c>
    </row>
    <row r="11" spans="1:3" s="701" customFormat="1" ht="26.25" customHeight="1">
      <c r="A11" s="360" t="s">
        <v>243</v>
      </c>
      <c r="B11" s="754"/>
      <c r="C11" s="360" t="s">
        <v>93</v>
      </c>
    </row>
    <row r="12" spans="1:3" s="701" customFormat="1" ht="21.75">
      <c r="A12" s="361" t="s">
        <v>132</v>
      </c>
      <c r="B12" s="752">
        <v>1</v>
      </c>
      <c r="C12" s="597" t="s">
        <v>244</v>
      </c>
    </row>
    <row r="13" spans="1:3" s="701" customFormat="1" ht="21.75">
      <c r="A13" s="375" t="s">
        <v>245</v>
      </c>
      <c r="B13" s="752"/>
      <c r="C13" s="375" t="s">
        <v>92</v>
      </c>
    </row>
    <row r="14" spans="1:3" s="701" customFormat="1" ht="21.75">
      <c r="A14" s="361" t="s">
        <v>246</v>
      </c>
      <c r="B14" s="752">
        <v>2</v>
      </c>
      <c r="C14" s="599" t="s">
        <v>247</v>
      </c>
    </row>
    <row r="15" spans="1:3" s="701" customFormat="1" ht="21.75">
      <c r="A15" s="375"/>
      <c r="B15" s="752"/>
      <c r="C15" s="375" t="s">
        <v>93</v>
      </c>
    </row>
    <row r="16" spans="1:3" s="701" customFormat="1" ht="25.5" customHeight="1">
      <c r="A16" s="361" t="s">
        <v>248</v>
      </c>
      <c r="B16" s="752">
        <v>3</v>
      </c>
      <c r="C16" s="674" t="s">
        <v>249</v>
      </c>
    </row>
    <row r="17" spans="1:3" s="711" customFormat="1" ht="21">
      <c r="A17" s="361" t="s">
        <v>163</v>
      </c>
      <c r="B17" s="599">
        <v>4</v>
      </c>
      <c r="C17" s="709" t="s">
        <v>250</v>
      </c>
    </row>
    <row r="18" spans="1:3" s="711" customFormat="1" ht="25.5" customHeight="1">
      <c r="A18" s="361" t="s">
        <v>190</v>
      </c>
      <c r="B18" s="599">
        <v>5</v>
      </c>
      <c r="C18" s="709" t="s">
        <v>251</v>
      </c>
    </row>
    <row r="19" spans="1:3" s="711" customFormat="1" ht="21">
      <c r="A19" s="712"/>
      <c r="B19" s="599">
        <v>6</v>
      </c>
      <c r="C19" s="672" t="s">
        <v>267</v>
      </c>
    </row>
    <row r="20" spans="1:3" s="701" customFormat="1" ht="21.75">
      <c r="A20" s="784" t="s">
        <v>253</v>
      </c>
      <c r="B20" s="752"/>
      <c r="C20" s="375" t="s">
        <v>93</v>
      </c>
    </row>
    <row r="21" spans="1:3" s="711" customFormat="1" ht="21">
      <c r="A21" s="783" t="s">
        <v>254</v>
      </c>
      <c r="B21" s="779">
        <v>7</v>
      </c>
      <c r="C21" s="779" t="s">
        <v>255</v>
      </c>
    </row>
    <row r="22" spans="1:4" s="399" customFormat="1" ht="21.75">
      <c r="A22" s="360" t="s">
        <v>91</v>
      </c>
      <c r="B22" s="755"/>
      <c r="C22" s="360" t="s">
        <v>92</v>
      </c>
      <c r="D22" s="763"/>
    </row>
    <row r="23" spans="1:4" s="389" customFormat="1" ht="44.25" customHeight="1">
      <c r="A23" s="362" t="s">
        <v>131</v>
      </c>
      <c r="B23" s="756">
        <v>1</v>
      </c>
      <c r="C23" s="361" t="s">
        <v>192</v>
      </c>
      <c r="D23" s="764"/>
    </row>
    <row r="24" spans="1:4" s="389" customFormat="1" ht="21">
      <c r="A24" s="361" t="s">
        <v>132</v>
      </c>
      <c r="B24" s="389">
        <v>2</v>
      </c>
      <c r="C24" s="389" t="s">
        <v>172</v>
      </c>
      <c r="D24" s="764"/>
    </row>
    <row r="25" spans="1:3" s="207" customFormat="1" ht="21">
      <c r="A25" s="361"/>
      <c r="B25" s="390"/>
      <c r="C25" s="375" t="s">
        <v>93</v>
      </c>
    </row>
    <row r="26" spans="1:3" s="207" customFormat="1" ht="21">
      <c r="A26" s="380" t="s">
        <v>195</v>
      </c>
      <c r="B26" s="390">
        <v>3</v>
      </c>
      <c r="C26" s="599" t="s">
        <v>234</v>
      </c>
    </row>
    <row r="27" spans="1:3" s="207" customFormat="1" ht="21">
      <c r="A27" s="362" t="s">
        <v>174</v>
      </c>
      <c r="B27" s="756">
        <v>4</v>
      </c>
      <c r="C27" s="365" t="s">
        <v>158</v>
      </c>
    </row>
    <row r="28" spans="1:3" s="207" customFormat="1" ht="21">
      <c r="A28" s="390"/>
      <c r="B28" s="756">
        <v>5</v>
      </c>
      <c r="C28" s="599" t="s">
        <v>208</v>
      </c>
    </row>
    <row r="29" spans="1:3" s="207" customFormat="1" ht="21">
      <c r="A29" s="390"/>
      <c r="B29" s="756">
        <v>6</v>
      </c>
      <c r="C29" s="599" t="s">
        <v>233</v>
      </c>
    </row>
    <row r="30" spans="1:3" s="207" customFormat="1" ht="27" customHeight="1">
      <c r="A30" s="361" t="s">
        <v>230</v>
      </c>
      <c r="B30" s="756">
        <v>7</v>
      </c>
      <c r="C30" s="599" t="s">
        <v>231</v>
      </c>
    </row>
    <row r="31" spans="1:3" s="207" customFormat="1" ht="21">
      <c r="A31" s="361" t="s">
        <v>190</v>
      </c>
      <c r="B31" s="756">
        <v>8</v>
      </c>
      <c r="C31" s="599" t="s">
        <v>229</v>
      </c>
    </row>
    <row r="32" spans="1:3" s="207" customFormat="1" ht="21">
      <c r="A32" s="765" t="s">
        <v>308</v>
      </c>
      <c r="B32" s="766">
        <v>9</v>
      </c>
      <c r="C32" s="717" t="s">
        <v>232</v>
      </c>
    </row>
    <row r="33" spans="1:3" s="701" customFormat="1" ht="24" customHeight="1">
      <c r="A33" s="400"/>
      <c r="B33" s="753"/>
      <c r="C33" s="372" t="s">
        <v>94</v>
      </c>
    </row>
    <row r="34" spans="1:3" s="701" customFormat="1" ht="21.75">
      <c r="A34" s="718" t="s">
        <v>266</v>
      </c>
      <c r="B34" s="754"/>
      <c r="C34" s="360" t="s">
        <v>92</v>
      </c>
    </row>
    <row r="35" spans="1:3" s="711" customFormat="1" ht="21">
      <c r="A35" s="380" t="s">
        <v>312</v>
      </c>
      <c r="B35" s="599">
        <v>1</v>
      </c>
      <c r="C35" s="599" t="s">
        <v>311</v>
      </c>
    </row>
    <row r="36" spans="1:3" s="724" customFormat="1" ht="21">
      <c r="A36" s="375" t="s">
        <v>262</v>
      </c>
      <c r="B36" s="776"/>
      <c r="C36" s="375" t="s">
        <v>93</v>
      </c>
    </row>
    <row r="37" spans="1:3" s="711" customFormat="1" ht="21">
      <c r="A37" s="361" t="s">
        <v>131</v>
      </c>
      <c r="B37" s="659">
        <v>2</v>
      </c>
      <c r="C37" s="599" t="s">
        <v>263</v>
      </c>
    </row>
    <row r="38" spans="1:3" s="701" customFormat="1" ht="21.75">
      <c r="A38" s="375" t="s">
        <v>273</v>
      </c>
      <c r="B38" s="752"/>
      <c r="C38" s="375" t="s">
        <v>92</v>
      </c>
    </row>
    <row r="39" spans="1:3" s="701" customFormat="1" ht="21.75">
      <c r="A39" s="361" t="s">
        <v>131</v>
      </c>
      <c r="B39" s="752">
        <v>3</v>
      </c>
      <c r="C39" s="599" t="s">
        <v>274</v>
      </c>
    </row>
    <row r="40" spans="1:3" s="701" customFormat="1" ht="21.75">
      <c r="A40" s="375" t="s">
        <v>259</v>
      </c>
      <c r="B40" s="752"/>
      <c r="C40" s="375" t="s">
        <v>93</v>
      </c>
    </row>
    <row r="41" spans="1:3" s="711" customFormat="1" ht="21">
      <c r="A41" s="777" t="s">
        <v>260</v>
      </c>
      <c r="B41" s="778">
        <v>4</v>
      </c>
      <c r="C41" s="779" t="s">
        <v>261</v>
      </c>
    </row>
    <row r="42" spans="1:3" s="701" customFormat="1" ht="21.75">
      <c r="A42" s="713"/>
      <c r="B42" s="757"/>
      <c r="C42" s="372" t="s">
        <v>94</v>
      </c>
    </row>
    <row r="43" spans="1:3" s="399" customFormat="1" ht="21.75">
      <c r="A43" s="360" t="s">
        <v>95</v>
      </c>
      <c r="B43" s="755"/>
      <c r="C43" s="360" t="s">
        <v>92</v>
      </c>
    </row>
    <row r="44" spans="1:3" s="387" customFormat="1" ht="40.5">
      <c r="A44" s="361" t="s">
        <v>132</v>
      </c>
      <c r="B44" s="365">
        <v>1</v>
      </c>
      <c r="C44" s="361" t="s">
        <v>146</v>
      </c>
    </row>
    <row r="45" spans="2:3" s="399" customFormat="1" ht="21.75">
      <c r="B45" s="758"/>
      <c r="C45" s="375" t="s">
        <v>93</v>
      </c>
    </row>
    <row r="46" spans="1:3" s="387" customFormat="1" ht="21">
      <c r="A46" s="361" t="s">
        <v>133</v>
      </c>
      <c r="B46" s="365">
        <v>2</v>
      </c>
      <c r="C46" s="396" t="s">
        <v>149</v>
      </c>
    </row>
    <row r="47" spans="1:3" s="387" customFormat="1" ht="21">
      <c r="A47" s="363"/>
      <c r="B47" s="365">
        <v>3</v>
      </c>
      <c r="C47" s="396" t="s">
        <v>164</v>
      </c>
    </row>
    <row r="48" spans="1:3" s="387" customFormat="1" ht="21">
      <c r="A48" s="363"/>
      <c r="B48" s="365"/>
      <c r="C48" s="494" t="s">
        <v>165</v>
      </c>
    </row>
    <row r="49" spans="1:3" s="387" customFormat="1" ht="21">
      <c r="A49" s="363"/>
      <c r="B49" s="365">
        <v>4</v>
      </c>
      <c r="C49" s="365" t="s">
        <v>170</v>
      </c>
    </row>
    <row r="50" spans="1:3" s="387" customFormat="1" ht="23.25" customHeight="1">
      <c r="A50" s="361" t="s">
        <v>207</v>
      </c>
      <c r="B50" s="365">
        <v>5</v>
      </c>
      <c r="C50" s="597" t="s">
        <v>214</v>
      </c>
    </row>
    <row r="51" spans="1:3" s="387" customFormat="1" ht="21">
      <c r="A51" s="362" t="s">
        <v>131</v>
      </c>
      <c r="B51" s="365">
        <v>6</v>
      </c>
      <c r="C51" s="365" t="s">
        <v>145</v>
      </c>
    </row>
    <row r="52" spans="1:3" s="387" customFormat="1" ht="22.5" customHeight="1">
      <c r="A52" s="363"/>
      <c r="B52" s="365">
        <v>7</v>
      </c>
      <c r="C52" s="365" t="s">
        <v>150</v>
      </c>
    </row>
    <row r="53" spans="1:3" s="387" customFormat="1" ht="22.5" customHeight="1">
      <c r="A53" s="363"/>
      <c r="B53" s="365">
        <v>8</v>
      </c>
      <c r="C53" s="387" t="s">
        <v>166</v>
      </c>
    </row>
    <row r="54" spans="1:3" s="387" customFormat="1" ht="22.5" customHeight="1">
      <c r="A54" s="363"/>
      <c r="B54" s="365">
        <v>9</v>
      </c>
      <c r="C54" s="387" t="s">
        <v>167</v>
      </c>
    </row>
    <row r="55" spans="1:3" s="387" customFormat="1" ht="22.5" customHeight="1">
      <c r="A55" s="363"/>
      <c r="B55" s="365">
        <v>10</v>
      </c>
      <c r="C55" s="387" t="s">
        <v>168</v>
      </c>
    </row>
    <row r="56" spans="1:3" s="387" customFormat="1" ht="22.5" customHeight="1">
      <c r="A56" s="363"/>
      <c r="B56" s="365">
        <v>11</v>
      </c>
      <c r="C56" s="387" t="s">
        <v>169</v>
      </c>
    </row>
    <row r="57" spans="1:3" s="387" customFormat="1" ht="21">
      <c r="A57" s="363"/>
      <c r="B57" s="365">
        <v>12</v>
      </c>
      <c r="C57" s="672" t="s">
        <v>188</v>
      </c>
    </row>
    <row r="58" spans="1:3" s="387" customFormat="1" ht="22.5" customHeight="1">
      <c r="A58" s="363"/>
      <c r="B58" s="365">
        <v>13</v>
      </c>
      <c r="C58" s="672" t="s">
        <v>201</v>
      </c>
    </row>
    <row r="59" spans="1:3" s="387" customFormat="1" ht="22.5" customHeight="1">
      <c r="A59" s="363"/>
      <c r="B59" s="365">
        <v>14</v>
      </c>
      <c r="C59" s="672" t="s">
        <v>205</v>
      </c>
    </row>
    <row r="60" spans="1:3" s="387" customFormat="1" ht="22.5" customHeight="1">
      <c r="A60" s="363"/>
      <c r="B60" s="365">
        <v>15</v>
      </c>
      <c r="C60" s="672" t="s">
        <v>206</v>
      </c>
    </row>
    <row r="61" spans="1:3" s="387" customFormat="1" ht="22.5" customHeight="1">
      <c r="A61" s="363"/>
      <c r="B61" s="365">
        <v>16</v>
      </c>
      <c r="C61" s="672" t="s">
        <v>228</v>
      </c>
    </row>
    <row r="62" spans="1:3" s="387" customFormat="1" ht="21">
      <c r="A62" s="361" t="s">
        <v>203</v>
      </c>
      <c r="B62" s="365">
        <v>17</v>
      </c>
      <c r="C62" s="597" t="s">
        <v>204</v>
      </c>
    </row>
    <row r="63" spans="1:3" s="387" customFormat="1" ht="21">
      <c r="A63" s="361" t="s">
        <v>163</v>
      </c>
      <c r="B63" s="365">
        <v>18</v>
      </c>
      <c r="C63" s="389" t="s">
        <v>171</v>
      </c>
    </row>
    <row r="64" spans="1:3" s="387" customFormat="1" ht="24" customHeight="1">
      <c r="A64" s="363" t="s">
        <v>132</v>
      </c>
      <c r="B64" s="365">
        <v>19</v>
      </c>
      <c r="C64" s="396" t="s">
        <v>157</v>
      </c>
    </row>
    <row r="65" spans="1:3" s="601" customFormat="1" ht="24" customHeight="1">
      <c r="A65" s="363"/>
      <c r="B65" s="365">
        <v>20</v>
      </c>
      <c r="C65" s="659" t="s">
        <v>226</v>
      </c>
    </row>
    <row r="66" spans="1:3" s="206" customFormat="1" ht="21">
      <c r="A66" s="389"/>
      <c r="B66" s="365">
        <v>21</v>
      </c>
      <c r="C66" s="600" t="s">
        <v>202</v>
      </c>
    </row>
    <row r="67" spans="1:3" s="206" customFormat="1" ht="21">
      <c r="A67" s="389"/>
      <c r="B67" s="365">
        <v>22</v>
      </c>
      <c r="C67" s="600" t="s">
        <v>189</v>
      </c>
    </row>
    <row r="68" spans="1:3" s="206" customFormat="1" ht="21">
      <c r="A68" s="697" t="s">
        <v>151</v>
      </c>
      <c r="B68" s="365">
        <v>23</v>
      </c>
      <c r="C68" s="600" t="s">
        <v>227</v>
      </c>
    </row>
    <row r="69" spans="1:3" s="206" customFormat="1" ht="21">
      <c r="A69" s="767"/>
      <c r="B69" s="768">
        <v>24</v>
      </c>
      <c r="C69" s="769" t="s">
        <v>309</v>
      </c>
    </row>
    <row r="70" spans="1:3" s="399" customFormat="1" ht="21.75">
      <c r="A70" s="400"/>
      <c r="B70" s="759"/>
      <c r="C70" s="372" t="s">
        <v>94</v>
      </c>
    </row>
    <row r="71" spans="1:3" s="724" customFormat="1" ht="21">
      <c r="A71" s="360" t="s">
        <v>256</v>
      </c>
      <c r="B71" s="760"/>
      <c r="C71" s="360" t="s">
        <v>93</v>
      </c>
    </row>
    <row r="72" spans="1:3" s="711" customFormat="1" ht="21">
      <c r="A72" s="771" t="s">
        <v>133</v>
      </c>
      <c r="B72" s="778">
        <v>1</v>
      </c>
      <c r="C72" s="779" t="s">
        <v>257</v>
      </c>
    </row>
    <row r="73" spans="1:3" s="701" customFormat="1" ht="21.75">
      <c r="A73" s="400"/>
      <c r="B73" s="753"/>
      <c r="C73" s="372" t="s">
        <v>94</v>
      </c>
    </row>
    <row r="74" spans="1:3" s="387" customFormat="1" ht="21.75">
      <c r="A74" s="360" t="s">
        <v>194</v>
      </c>
      <c r="B74" s="770"/>
      <c r="C74" s="360" t="s">
        <v>92</v>
      </c>
    </row>
    <row r="75" spans="1:3" s="387" customFormat="1" ht="42" customHeight="1">
      <c r="A75" s="362" t="s">
        <v>97</v>
      </c>
      <c r="B75" s="756">
        <v>1</v>
      </c>
      <c r="C75" s="599" t="s">
        <v>215</v>
      </c>
    </row>
    <row r="76" spans="1:3" s="387" customFormat="1" ht="21.75">
      <c r="A76" s="375"/>
      <c r="B76" s="756"/>
      <c r="C76" s="375" t="s">
        <v>93</v>
      </c>
    </row>
    <row r="77" spans="1:3" s="389" customFormat="1" ht="21">
      <c r="A77" s="361" t="s">
        <v>133</v>
      </c>
      <c r="B77" s="756">
        <v>2</v>
      </c>
      <c r="C77" s="599" t="s">
        <v>209</v>
      </c>
    </row>
    <row r="78" spans="1:3" s="389" customFormat="1" ht="21">
      <c r="A78" s="361"/>
      <c r="B78" s="756">
        <v>3</v>
      </c>
      <c r="C78" s="599" t="s">
        <v>210</v>
      </c>
    </row>
    <row r="79" spans="1:3" s="389" customFormat="1" ht="21">
      <c r="A79" s="361"/>
      <c r="B79" s="756">
        <v>4</v>
      </c>
      <c r="C79" s="599" t="s">
        <v>235</v>
      </c>
    </row>
    <row r="80" spans="1:3" s="387" customFormat="1" ht="21">
      <c r="A80" s="362" t="s">
        <v>310</v>
      </c>
      <c r="B80" s="365">
        <v>5</v>
      </c>
      <c r="C80" s="604" t="s">
        <v>236</v>
      </c>
    </row>
    <row r="81" spans="1:3" s="387" customFormat="1" ht="21">
      <c r="A81" s="362" t="s">
        <v>131</v>
      </c>
      <c r="B81" s="756">
        <v>6</v>
      </c>
      <c r="C81" s="448" t="s">
        <v>147</v>
      </c>
    </row>
    <row r="82" spans="1:3" s="387" customFormat="1" ht="21">
      <c r="A82" s="697" t="s">
        <v>151</v>
      </c>
      <c r="B82" s="365">
        <v>7</v>
      </c>
      <c r="C82" s="604" t="s">
        <v>304</v>
      </c>
    </row>
    <row r="83" spans="1:3" s="387" customFormat="1" ht="21">
      <c r="A83" s="697"/>
      <c r="B83" s="365"/>
      <c r="C83" s="604" t="s">
        <v>305</v>
      </c>
    </row>
    <row r="84" spans="1:3" s="387" customFormat="1" ht="21">
      <c r="A84" s="697"/>
      <c r="B84" s="365">
        <v>8</v>
      </c>
      <c r="C84" s="604" t="s">
        <v>303</v>
      </c>
    </row>
    <row r="85" spans="1:3" s="387" customFormat="1" ht="21">
      <c r="A85" s="361" t="s">
        <v>213</v>
      </c>
      <c r="B85" s="365">
        <v>9</v>
      </c>
      <c r="C85" s="604" t="s">
        <v>237</v>
      </c>
    </row>
    <row r="86" spans="1:3" s="387" customFormat="1" ht="21">
      <c r="A86" s="771"/>
      <c r="B86" s="768">
        <v>10</v>
      </c>
      <c r="C86" s="772" t="s">
        <v>238</v>
      </c>
    </row>
    <row r="87" spans="1:3" s="399" customFormat="1" ht="21.75">
      <c r="A87" s="407"/>
      <c r="B87" s="759"/>
      <c r="C87" s="372" t="s">
        <v>94</v>
      </c>
    </row>
    <row r="88" spans="1:3" s="701" customFormat="1" ht="21.75">
      <c r="A88" s="400"/>
      <c r="B88" s="753"/>
      <c r="C88" s="372" t="s">
        <v>94</v>
      </c>
    </row>
    <row r="89" spans="1:3" s="701" customFormat="1" ht="21.75">
      <c r="A89" s="360" t="s">
        <v>264</v>
      </c>
      <c r="B89" s="754"/>
      <c r="C89" s="725" t="s">
        <v>258</v>
      </c>
    </row>
    <row r="90" spans="1:3" s="711" customFormat="1" ht="21">
      <c r="A90" s="771" t="s">
        <v>190</v>
      </c>
      <c r="B90" s="778">
        <v>1</v>
      </c>
      <c r="C90" s="779" t="s">
        <v>265</v>
      </c>
    </row>
    <row r="91" spans="1:3" s="701" customFormat="1" ht="21.75">
      <c r="A91" s="400"/>
      <c r="B91" s="757"/>
      <c r="C91" s="372"/>
    </row>
    <row r="92" spans="1:3" s="399" customFormat="1" ht="21.75">
      <c r="A92" s="360" t="s">
        <v>96</v>
      </c>
      <c r="B92" s="755"/>
      <c r="C92" s="360" t="s">
        <v>93</v>
      </c>
    </row>
    <row r="93" spans="1:3" s="399" customFormat="1" ht="21.75">
      <c r="A93" s="362" t="s">
        <v>239</v>
      </c>
      <c r="B93" s="761">
        <v>1</v>
      </c>
      <c r="C93" s="674" t="s">
        <v>240</v>
      </c>
    </row>
    <row r="94" spans="1:3" s="389" customFormat="1" ht="21">
      <c r="A94" s="362" t="s">
        <v>97</v>
      </c>
      <c r="B94" s="756">
        <v>2</v>
      </c>
      <c r="C94" s="448" t="s">
        <v>137</v>
      </c>
    </row>
    <row r="95" spans="1:3" s="387" customFormat="1" ht="21">
      <c r="A95" s="363"/>
      <c r="B95" s="756">
        <v>3</v>
      </c>
      <c r="C95" s="673" t="s">
        <v>211</v>
      </c>
    </row>
    <row r="96" spans="1:3" s="387" customFormat="1" ht="21" customHeight="1">
      <c r="A96" s="675"/>
      <c r="B96" s="762"/>
      <c r="C96" s="676" t="s">
        <v>212</v>
      </c>
    </row>
    <row r="97" spans="1:3" s="387" customFormat="1" ht="21">
      <c r="A97" s="773"/>
      <c r="B97" s="774">
        <v>4</v>
      </c>
      <c r="C97" s="775" t="s">
        <v>98</v>
      </c>
    </row>
    <row r="98" spans="1:3" s="399" customFormat="1" ht="21.75">
      <c r="A98" s="400"/>
      <c r="B98" s="759"/>
      <c r="C98" s="372" t="s">
        <v>94</v>
      </c>
    </row>
    <row r="99" spans="1:3" s="701" customFormat="1" ht="21.75">
      <c r="A99" s="360" t="s">
        <v>306</v>
      </c>
      <c r="B99" s="754"/>
      <c r="C99" s="360" t="s">
        <v>92</v>
      </c>
    </row>
    <row r="100" spans="1:3" s="701" customFormat="1" ht="21.75">
      <c r="A100" s="771" t="s">
        <v>131</v>
      </c>
      <c r="B100" s="780">
        <v>1</v>
      </c>
      <c r="C100" s="779" t="s">
        <v>307</v>
      </c>
    </row>
    <row r="101" spans="1:3" s="701" customFormat="1" ht="22.5" thickBot="1">
      <c r="A101" s="400"/>
      <c r="B101" s="753"/>
      <c r="C101" s="372" t="s">
        <v>94</v>
      </c>
    </row>
    <row r="102" spans="1:3" s="399" customFormat="1" ht="20.25" customHeight="1" thickBot="1">
      <c r="A102" s="1357" t="s">
        <v>53</v>
      </c>
      <c r="B102" s="1357"/>
      <c r="C102" s="1357"/>
    </row>
    <row r="103" ht="19.5" customHeight="1">
      <c r="A103" s="727" t="s">
        <v>154</v>
      </c>
    </row>
  </sheetData>
  <sheetProtection/>
  <mergeCells count="4">
    <mergeCell ref="A102:C102"/>
    <mergeCell ref="A2:A3"/>
    <mergeCell ref="B2:B3"/>
    <mergeCell ref="C2:C3"/>
  </mergeCells>
  <printOptions/>
  <pageMargins left="0.7086614173228347" right="0.7086614173228347" top="0.1968503937007874" bottom="0.15748031496062992"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
    </sheetView>
  </sheetViews>
  <sheetFormatPr defaultColWidth="9.140625" defaultRowHeight="12.75"/>
  <cols>
    <col min="1" max="1" width="42.8515625" style="0" customWidth="1"/>
    <col min="2" max="2" width="32.28125" style="0" customWidth="1"/>
    <col min="3" max="3" width="34.421875" style="0" customWidth="1"/>
  </cols>
  <sheetData>
    <row r="1" spans="1:3" ht="21">
      <c r="A1" s="318" t="s">
        <v>15</v>
      </c>
      <c r="B1" s="318" t="s">
        <v>61</v>
      </c>
      <c r="C1" s="318" t="s">
        <v>120</v>
      </c>
    </row>
    <row r="2" spans="1:3" ht="20.25">
      <c r="A2" s="10" t="s">
        <v>294</v>
      </c>
      <c r="B2" s="10" t="s">
        <v>331</v>
      </c>
      <c r="C2" s="10" t="s">
        <v>346</v>
      </c>
    </row>
    <row r="3" spans="1:3" ht="20.25">
      <c r="A3" s="10" t="s">
        <v>16</v>
      </c>
      <c r="B3" s="10" t="s">
        <v>332</v>
      </c>
      <c r="C3" s="10" t="s">
        <v>347</v>
      </c>
    </row>
    <row r="4" spans="1:3" ht="20.25">
      <c r="A4" s="10" t="s">
        <v>17</v>
      </c>
      <c r="B4" s="10" t="s">
        <v>136</v>
      </c>
      <c r="C4" s="10" t="s">
        <v>348</v>
      </c>
    </row>
    <row r="5" spans="1:3" ht="20.25">
      <c r="A5" s="10" t="s">
        <v>18</v>
      </c>
      <c r="B5" s="10" t="s">
        <v>333</v>
      </c>
      <c r="C5" s="10" t="s">
        <v>197</v>
      </c>
    </row>
    <row r="6" spans="1:3" ht="20.25">
      <c r="A6" s="10" t="s">
        <v>319</v>
      </c>
      <c r="B6" s="10" t="s">
        <v>334</v>
      </c>
      <c r="C6" s="10" t="s">
        <v>288</v>
      </c>
    </row>
    <row r="7" spans="1:3" ht="20.25">
      <c r="A7" s="15" t="s">
        <v>19</v>
      </c>
      <c r="B7" s="10" t="s">
        <v>296</v>
      </c>
      <c r="C7" s="10" t="s">
        <v>289</v>
      </c>
    </row>
    <row r="8" spans="1:3" ht="21">
      <c r="A8" s="318" t="s">
        <v>20</v>
      </c>
      <c r="B8" s="10" t="s">
        <v>290</v>
      </c>
      <c r="C8" s="10" t="s">
        <v>349</v>
      </c>
    </row>
    <row r="9" spans="1:3" ht="20.25">
      <c r="A9" s="10" t="s">
        <v>21</v>
      </c>
      <c r="B9" s="10" t="s">
        <v>298</v>
      </c>
      <c r="C9" s="10" t="s">
        <v>300</v>
      </c>
    </row>
    <row r="10" spans="1:3" ht="20.25">
      <c r="A10" s="10" t="s">
        <v>361</v>
      </c>
      <c r="B10" s="10" t="s">
        <v>315</v>
      </c>
      <c r="C10" s="10" t="s">
        <v>33</v>
      </c>
    </row>
    <row r="11" spans="1:3" ht="20.25">
      <c r="A11" s="15" t="s">
        <v>22</v>
      </c>
      <c r="B11" s="10" t="s">
        <v>335</v>
      </c>
      <c r="C11" s="10" t="s">
        <v>350</v>
      </c>
    </row>
    <row r="12" spans="1:3" ht="21">
      <c r="A12" s="321" t="s">
        <v>23</v>
      </c>
      <c r="B12" s="10" t="s">
        <v>35</v>
      </c>
      <c r="C12" s="10" t="s">
        <v>351</v>
      </c>
    </row>
    <row r="13" spans="1:3" ht="20.25">
      <c r="A13" s="10" t="s">
        <v>292</v>
      </c>
      <c r="B13" s="10" t="s">
        <v>178</v>
      </c>
      <c r="C13" s="15" t="s">
        <v>34</v>
      </c>
    </row>
    <row r="14" spans="1:3" ht="21">
      <c r="A14" s="10" t="s">
        <v>320</v>
      </c>
      <c r="B14" s="10" t="s">
        <v>156</v>
      </c>
      <c r="C14" s="318" t="s">
        <v>363</v>
      </c>
    </row>
    <row r="15" spans="1:3" ht="20.25">
      <c r="A15" s="10" t="s">
        <v>24</v>
      </c>
      <c r="B15" s="10" t="s">
        <v>336</v>
      </c>
      <c r="C15" s="10" t="s">
        <v>352</v>
      </c>
    </row>
    <row r="16" spans="1:3" ht="20.25">
      <c r="A16" s="10" t="s">
        <v>25</v>
      </c>
      <c r="B16" s="10" t="s">
        <v>36</v>
      </c>
      <c r="C16" s="10" t="s">
        <v>353</v>
      </c>
    </row>
    <row r="17" spans="1:3" ht="20.25">
      <c r="A17" s="10" t="s">
        <v>26</v>
      </c>
      <c r="B17" s="10" t="s">
        <v>224</v>
      </c>
      <c r="C17" s="10" t="s">
        <v>354</v>
      </c>
    </row>
    <row r="18" spans="1:3" ht="21">
      <c r="A18" s="10" t="s">
        <v>321</v>
      </c>
      <c r="B18" s="10" t="s">
        <v>179</v>
      </c>
      <c r="C18" s="318" t="s">
        <v>121</v>
      </c>
    </row>
    <row r="19" spans="1:3" ht="20.25">
      <c r="A19" s="10" t="s">
        <v>322</v>
      </c>
      <c r="B19" s="10" t="s">
        <v>179</v>
      </c>
      <c r="C19" s="10" t="s">
        <v>138</v>
      </c>
    </row>
    <row r="20" spans="1:3" ht="20.25">
      <c r="A20" s="10" t="s">
        <v>362</v>
      </c>
      <c r="B20" s="10" t="s">
        <v>37</v>
      </c>
      <c r="C20" s="10" t="s">
        <v>220</v>
      </c>
    </row>
    <row r="21" spans="1:3" ht="20.25">
      <c r="A21" s="10" t="s">
        <v>27</v>
      </c>
      <c r="B21" s="10" t="s">
        <v>291</v>
      </c>
      <c r="C21" s="10" t="s">
        <v>355</v>
      </c>
    </row>
    <row r="22" spans="1:3" ht="20.25">
      <c r="A22" s="10" t="s">
        <v>323</v>
      </c>
      <c r="B22" s="10" t="s">
        <v>337</v>
      </c>
      <c r="C22" s="10" t="s">
        <v>356</v>
      </c>
    </row>
    <row r="23" spans="1:3" ht="20.25">
      <c r="A23" s="10" t="s">
        <v>28</v>
      </c>
      <c r="B23" s="10" t="s">
        <v>338</v>
      </c>
      <c r="C23" s="10" t="s">
        <v>357</v>
      </c>
    </row>
    <row r="24" spans="1:3" ht="20.25">
      <c r="A24" s="10" t="s">
        <v>29</v>
      </c>
      <c r="B24" s="10" t="s">
        <v>38</v>
      </c>
      <c r="C24" s="10" t="s">
        <v>49</v>
      </c>
    </row>
    <row r="25" spans="1:3" ht="20.25">
      <c r="A25" s="10" t="s">
        <v>193</v>
      </c>
      <c r="B25" s="10" t="s">
        <v>39</v>
      </c>
      <c r="C25" s="10" t="s">
        <v>50</v>
      </c>
    </row>
    <row r="26" spans="1:3" ht="20.25">
      <c r="A26" s="10" t="s">
        <v>30</v>
      </c>
      <c r="B26" s="10" t="s">
        <v>339</v>
      </c>
      <c r="C26" s="10" t="s">
        <v>148</v>
      </c>
    </row>
    <row r="27" spans="1:3" ht="20.25">
      <c r="A27" s="10" t="s">
        <v>180</v>
      </c>
      <c r="B27" s="10" t="s">
        <v>299</v>
      </c>
      <c r="C27" s="10" t="s">
        <v>186</v>
      </c>
    </row>
    <row r="28" spans="1:3" ht="20.25">
      <c r="A28" s="10" t="s">
        <v>31</v>
      </c>
      <c r="B28" s="10" t="s">
        <v>40</v>
      </c>
      <c r="C28" s="10" t="s">
        <v>358</v>
      </c>
    </row>
    <row r="29" spans="1:3" ht="20.25">
      <c r="A29" s="10" t="s">
        <v>324</v>
      </c>
      <c r="B29" s="10" t="s">
        <v>41</v>
      </c>
      <c r="C29" s="10" t="s">
        <v>359</v>
      </c>
    </row>
    <row r="30" spans="1:3" ht="20.25">
      <c r="A30" s="10" t="s">
        <v>325</v>
      </c>
      <c r="B30" s="10" t="s">
        <v>42</v>
      </c>
      <c r="C30" s="10" t="s">
        <v>152</v>
      </c>
    </row>
    <row r="31" spans="1:3" ht="20.25">
      <c r="A31" s="10" t="s">
        <v>326</v>
      </c>
      <c r="B31" s="10" t="s">
        <v>340</v>
      </c>
      <c r="C31" s="10" t="s">
        <v>360</v>
      </c>
    </row>
    <row r="32" spans="1:3" ht="21">
      <c r="A32" s="318" t="s">
        <v>32</v>
      </c>
      <c r="B32" s="10" t="s">
        <v>341</v>
      </c>
      <c r="C32" s="10" t="s">
        <v>51</v>
      </c>
    </row>
    <row r="33" spans="1:3" ht="20.25">
      <c r="A33" s="10" t="s">
        <v>155</v>
      </c>
      <c r="B33" s="10" t="s">
        <v>43</v>
      </c>
      <c r="C33" s="10" t="s">
        <v>216</v>
      </c>
    </row>
    <row r="34" spans="1:3" ht="20.25">
      <c r="A34" s="10" t="s">
        <v>127</v>
      </c>
      <c r="B34" s="10" t="s">
        <v>342</v>
      </c>
      <c r="C34" s="10" t="s">
        <v>153</v>
      </c>
    </row>
    <row r="35" spans="1:3" ht="20.25">
      <c r="A35" s="10" t="s">
        <v>287</v>
      </c>
      <c r="B35" s="10" t="s">
        <v>44</v>
      </c>
      <c r="C35" s="10" t="s">
        <v>52</v>
      </c>
    </row>
    <row r="36" spans="1:3" ht="20.25">
      <c r="A36" s="10" t="s">
        <v>327</v>
      </c>
      <c r="B36" s="10" t="s">
        <v>161</v>
      </c>
      <c r="C36" s="15" t="s">
        <v>301</v>
      </c>
    </row>
    <row r="37" spans="1:2" ht="20.25">
      <c r="A37" s="10" t="s">
        <v>328</v>
      </c>
      <c r="B37" s="10" t="s">
        <v>343</v>
      </c>
    </row>
    <row r="38" spans="1:2" ht="20.25">
      <c r="A38" s="10" t="s">
        <v>329</v>
      </c>
      <c r="B38" s="10" t="s">
        <v>344</v>
      </c>
    </row>
    <row r="39" spans="1:2" ht="20.25">
      <c r="A39" s="10" t="s">
        <v>293</v>
      </c>
      <c r="B39" s="10" t="s">
        <v>45</v>
      </c>
    </row>
    <row r="40" spans="1:2" ht="20.25">
      <c r="A40" s="10" t="s">
        <v>187</v>
      </c>
      <c r="B40" s="10" t="s">
        <v>134</v>
      </c>
    </row>
    <row r="41" spans="1:2" ht="20.25">
      <c r="A41" s="10" t="s">
        <v>295</v>
      </c>
      <c r="B41" s="10" t="s">
        <v>46</v>
      </c>
    </row>
    <row r="42" spans="1:2" ht="20.25">
      <c r="A42" s="10" t="s">
        <v>286</v>
      </c>
      <c r="B42" s="10" t="s">
        <v>345</v>
      </c>
    </row>
    <row r="43" spans="1:2" ht="20.25">
      <c r="A43" s="10" t="s">
        <v>330</v>
      </c>
      <c r="B43" s="10" t="s">
        <v>297</v>
      </c>
    </row>
    <row r="44" spans="1:2" ht="20.25">
      <c r="A44" s="15" t="s">
        <v>219</v>
      </c>
      <c r="B44" s="10" t="s">
        <v>47</v>
      </c>
    </row>
    <row r="45" ht="20.25">
      <c r="B45" s="10" t="s">
        <v>48</v>
      </c>
    </row>
    <row r="46" ht="20.25">
      <c r="B46" s="15" t="s">
        <v>302</v>
      </c>
    </row>
  </sheetData>
  <sheetProtection/>
  <printOptions/>
  <pageMargins left="0" right="0" top="0.15748031496062992" bottom="0.15748031496062992"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tabColor indexed="14"/>
  </sheetPr>
  <dimension ref="A1:N233"/>
  <sheetViews>
    <sheetView tabSelected="1" zoomScalePageLayoutView="0" workbookViewId="0" topLeftCell="A1">
      <selection activeCell="P7" sqref="P7"/>
    </sheetView>
  </sheetViews>
  <sheetFormatPr defaultColWidth="9.140625" defaultRowHeight="12.75"/>
  <cols>
    <col min="1" max="1" width="10.57421875" style="99" customWidth="1"/>
    <col min="2" max="2" width="3.00390625" style="163" bestFit="1" customWidth="1"/>
    <col min="3" max="3" width="13.00390625" style="163" customWidth="1"/>
    <col min="4" max="4" width="41.7109375" style="151" customWidth="1"/>
    <col min="5" max="5" width="4.8515625" style="99" customWidth="1"/>
    <col min="6" max="6" width="8.28125" style="521" customWidth="1"/>
    <col min="7" max="7" width="5.00390625" style="99" bestFit="1" customWidth="1"/>
    <col min="8" max="8" width="8.28125" style="521" bestFit="1" customWidth="1"/>
    <col min="9" max="9" width="4.8515625" style="99" customWidth="1"/>
    <col min="10" max="10" width="6.57421875" style="497" bestFit="1" customWidth="1"/>
    <col min="11" max="11" width="8.00390625" style="521" customWidth="1"/>
    <col min="12" max="12" width="6.57421875" style="521" customWidth="1"/>
    <col min="13" max="13" width="7.57421875" style="521" bestFit="1" customWidth="1"/>
    <col min="14" max="14" width="8.8515625" style="497" customWidth="1"/>
    <col min="15" max="16384" width="9.140625" style="6" customWidth="1"/>
  </cols>
  <sheetData>
    <row r="1" spans="1:14" ht="24.75" customHeight="1" thickBot="1">
      <c r="A1" s="138" t="s">
        <v>484</v>
      </c>
      <c r="D1" s="115"/>
      <c r="E1" s="93"/>
      <c r="G1" s="93"/>
      <c r="N1" s="18" t="s">
        <v>0</v>
      </c>
    </row>
    <row r="2" spans="1:14" s="114" customFormat="1" ht="34.5" customHeight="1" thickBot="1">
      <c r="A2" s="1424" t="s">
        <v>173</v>
      </c>
      <c r="B2" s="488"/>
      <c r="C2" s="487" t="s">
        <v>111</v>
      </c>
      <c r="D2" s="489" t="s">
        <v>110</v>
      </c>
      <c r="E2" s="1358" t="s">
        <v>103</v>
      </c>
      <c r="F2" s="1358"/>
      <c r="G2" s="1358" t="s">
        <v>58</v>
      </c>
      <c r="H2" s="1358"/>
      <c r="I2" s="1358" t="s">
        <v>59</v>
      </c>
      <c r="J2" s="1358"/>
      <c r="K2" s="1426" t="s">
        <v>55</v>
      </c>
      <c r="L2" s="1422" t="s">
        <v>56</v>
      </c>
      <c r="M2" s="1358" t="s">
        <v>104</v>
      </c>
      <c r="N2" s="1358"/>
    </row>
    <row r="3" spans="1:14" ht="22.5" thickBot="1">
      <c r="A3" s="1425"/>
      <c r="B3" s="490"/>
      <c r="C3" s="492"/>
      <c r="D3" s="491"/>
      <c r="E3" s="368" t="s">
        <v>10</v>
      </c>
      <c r="F3" s="522" t="s">
        <v>9</v>
      </c>
      <c r="G3" s="368" t="s">
        <v>10</v>
      </c>
      <c r="H3" s="522" t="s">
        <v>9</v>
      </c>
      <c r="I3" s="493" t="s">
        <v>10</v>
      </c>
      <c r="J3" s="369" t="s">
        <v>9</v>
      </c>
      <c r="K3" s="1427"/>
      <c r="L3" s="1423"/>
      <c r="M3" s="368" t="s">
        <v>10</v>
      </c>
      <c r="N3" s="522" t="s">
        <v>9</v>
      </c>
    </row>
    <row r="4" spans="1:14" s="205" customFormat="1" ht="78.75" customHeight="1">
      <c r="A4" s="989" t="s">
        <v>141</v>
      </c>
      <c r="B4" s="990">
        <v>1</v>
      </c>
      <c r="C4" s="998" t="s">
        <v>68</v>
      </c>
      <c r="D4" s="991" t="s">
        <v>684</v>
      </c>
      <c r="E4" s="999">
        <v>9</v>
      </c>
      <c r="F4" s="1000">
        <v>54.1</v>
      </c>
      <c r="G4" s="992"/>
      <c r="H4" s="611"/>
      <c r="I4" s="993"/>
      <c r="J4" s="994"/>
      <c r="K4" s="995"/>
      <c r="L4" s="995"/>
      <c r="M4" s="996">
        <f>E4+G4</f>
        <v>9</v>
      </c>
      <c r="N4" s="997">
        <f>F4+J4+K4+L4+H4</f>
        <v>54.1</v>
      </c>
    </row>
    <row r="5" spans="1:14" s="205" customFormat="1" ht="64.5" customHeight="1">
      <c r="A5" s="1001"/>
      <c r="B5" s="1002">
        <v>2</v>
      </c>
      <c r="C5" s="1003" t="s">
        <v>81</v>
      </c>
      <c r="D5" s="1004" t="s">
        <v>686</v>
      </c>
      <c r="E5" s="1005"/>
      <c r="F5" s="1006"/>
      <c r="G5" s="729"/>
      <c r="H5" s="1006">
        <f>719.3+225.6+257.3+89.3</f>
        <v>1291.5</v>
      </c>
      <c r="I5" s="1007"/>
      <c r="J5" s="1008"/>
      <c r="K5" s="1009"/>
      <c r="L5" s="1009"/>
      <c r="M5" s="1010">
        <f>E5+G5</f>
        <v>0</v>
      </c>
      <c r="N5" s="1011">
        <f>F5+J5+K5+L5+H5</f>
        <v>1291.5</v>
      </c>
    </row>
    <row r="6" spans="1:14" s="203" customFormat="1" ht="24" customHeight="1">
      <c r="A6" s="504"/>
      <c r="B6" s="505"/>
      <c r="C6" s="506"/>
      <c r="D6" s="507" t="s">
        <v>94</v>
      </c>
      <c r="E6" s="585">
        <f>SUM(E4:E5)</f>
        <v>9</v>
      </c>
      <c r="F6" s="584">
        <f>SUM(F4:F5)</f>
        <v>54.1</v>
      </c>
      <c r="G6" s="585">
        <f>SUM(G4:G5)</f>
        <v>0</v>
      </c>
      <c r="H6" s="584">
        <f>SUM(H4:H5)</f>
        <v>1291.5</v>
      </c>
      <c r="I6" s="585"/>
      <c r="J6" s="584"/>
      <c r="K6" s="585"/>
      <c r="L6" s="584">
        <f>SUM(L4:L5)</f>
        <v>0</v>
      </c>
      <c r="M6" s="731">
        <f>SUM(M4:M5)</f>
        <v>9</v>
      </c>
      <c r="N6" s="730">
        <f>SUM(N4:N5)</f>
        <v>1345.6</v>
      </c>
    </row>
    <row r="7" spans="1:14" s="203" customFormat="1" ht="81">
      <c r="A7" s="519" t="s">
        <v>658</v>
      </c>
      <c r="B7" s="520">
        <v>3</v>
      </c>
      <c r="C7" s="833" t="s">
        <v>68</v>
      </c>
      <c r="D7" s="518" t="s">
        <v>659</v>
      </c>
      <c r="E7" s="895">
        <v>16</v>
      </c>
      <c r="F7" s="896">
        <v>563.6</v>
      </c>
      <c r="G7" s="515"/>
      <c r="H7" s="523"/>
      <c r="I7" s="516"/>
      <c r="J7" s="517"/>
      <c r="K7" s="532"/>
      <c r="L7" s="532"/>
      <c r="M7" s="532">
        <f>E7+G7</f>
        <v>16</v>
      </c>
      <c r="N7" s="537">
        <f>F7+J7+K7+L7+H7</f>
        <v>563.6</v>
      </c>
    </row>
    <row r="8" spans="1:14" s="203" customFormat="1" ht="24" customHeight="1">
      <c r="A8" s="504"/>
      <c r="B8" s="505"/>
      <c r="C8" s="506"/>
      <c r="D8" s="507" t="s">
        <v>94</v>
      </c>
      <c r="E8" s="585">
        <f>SUM(E7)</f>
        <v>16</v>
      </c>
      <c r="F8" s="584">
        <f>SUM(F7)</f>
        <v>563.6</v>
      </c>
      <c r="G8" s="585">
        <f>SUM(G7)</f>
        <v>0</v>
      </c>
      <c r="H8" s="584">
        <f>SUM(H7)</f>
        <v>0</v>
      </c>
      <c r="I8" s="585"/>
      <c r="J8" s="584"/>
      <c r="K8" s="585"/>
      <c r="L8" s="584">
        <f>SUM(L7)</f>
        <v>0</v>
      </c>
      <c r="M8" s="585">
        <f>SUM(M7)</f>
        <v>16</v>
      </c>
      <c r="N8" s="584">
        <f>SUM(N7)</f>
        <v>563.6</v>
      </c>
    </row>
    <row r="9" spans="1:14" s="205" customFormat="1" ht="78.75" customHeight="1">
      <c r="A9" s="1012" t="s">
        <v>142</v>
      </c>
      <c r="B9" s="552">
        <v>4</v>
      </c>
      <c r="C9" s="503" t="s">
        <v>375</v>
      </c>
      <c r="D9" s="991" t="s">
        <v>683</v>
      </c>
      <c r="E9" s="610">
        <v>20</v>
      </c>
      <c r="F9" s="611">
        <v>1898.9</v>
      </c>
      <c r="G9" s="549"/>
      <c r="H9" s="554"/>
      <c r="I9" s="993"/>
      <c r="J9" s="994"/>
      <c r="K9" s="995"/>
      <c r="L9" s="995"/>
      <c r="M9" s="995">
        <f>E9+G9</f>
        <v>20</v>
      </c>
      <c r="N9" s="1019">
        <f>F9+J9+K9+L9+H9</f>
        <v>1898.9</v>
      </c>
    </row>
    <row r="10" spans="1:14" s="205" customFormat="1" ht="39.75" customHeight="1">
      <c r="A10" s="508"/>
      <c r="B10" s="552">
        <v>5</v>
      </c>
      <c r="C10" s="503" t="s">
        <v>69</v>
      </c>
      <c r="D10" s="991" t="s">
        <v>685</v>
      </c>
      <c r="E10" s="610"/>
      <c r="F10" s="611"/>
      <c r="G10" s="549"/>
      <c r="H10" s="554">
        <v>316.8</v>
      </c>
      <c r="I10" s="993"/>
      <c r="J10" s="994"/>
      <c r="K10" s="995"/>
      <c r="L10" s="995"/>
      <c r="M10" s="995">
        <f>E10+G10</f>
        <v>0</v>
      </c>
      <c r="N10" s="1019">
        <f>F10+J10+K10+L10+H10</f>
        <v>316.8</v>
      </c>
    </row>
    <row r="11" spans="1:14" s="203" customFormat="1" ht="24" customHeight="1">
      <c r="A11" s="504"/>
      <c r="B11" s="505"/>
      <c r="C11" s="506"/>
      <c r="D11" s="507" t="s">
        <v>94</v>
      </c>
      <c r="E11" s="585">
        <f>SUM(E9:E9)</f>
        <v>20</v>
      </c>
      <c r="F11" s="584">
        <f>SUM(F9:F9)</f>
        <v>1898.9</v>
      </c>
      <c r="G11" s="585"/>
      <c r="H11" s="584">
        <f>SUM(H10)</f>
        <v>316.8</v>
      </c>
      <c r="I11" s="585"/>
      <c r="J11" s="585"/>
      <c r="K11" s="585"/>
      <c r="L11" s="584">
        <f>SUM(L9:L9)</f>
        <v>0</v>
      </c>
      <c r="M11" s="585">
        <f>SUM(M9:M9)</f>
        <v>20</v>
      </c>
      <c r="N11" s="584">
        <f>SUM(N9:N10)</f>
        <v>2215.7000000000003</v>
      </c>
    </row>
    <row r="12" spans="1:14" s="205" customFormat="1" ht="40.5">
      <c r="A12" s="1012" t="s">
        <v>378</v>
      </c>
      <c r="B12" s="1013">
        <v>6</v>
      </c>
      <c r="C12" s="1014" t="s">
        <v>68</v>
      </c>
      <c r="D12" s="1015" t="s">
        <v>652</v>
      </c>
      <c r="E12" s="1020"/>
      <c r="F12" s="1021"/>
      <c r="G12" s="1020"/>
      <c r="H12" s="1021"/>
      <c r="I12" s="1016">
        <v>1</v>
      </c>
      <c r="J12" s="1092">
        <v>11.3</v>
      </c>
      <c r="K12" s="1017"/>
      <c r="L12" s="1017"/>
      <c r="M12" s="1017">
        <f>E12+G12</f>
        <v>0</v>
      </c>
      <c r="N12" s="1018">
        <f>F12+J12+K12+L12+H12</f>
        <v>11.3</v>
      </c>
    </row>
    <row r="13" spans="1:14" s="203" customFormat="1" ht="24" customHeight="1" thickBot="1">
      <c r="A13" s="504"/>
      <c r="B13" s="505"/>
      <c r="C13" s="506"/>
      <c r="D13" s="507" t="s">
        <v>143</v>
      </c>
      <c r="E13" s="507">
        <f aca="true" t="shared" si="0" ref="E13:N13">SUM(E12:E12)</f>
        <v>0</v>
      </c>
      <c r="F13" s="507">
        <f t="shared" si="0"/>
        <v>0</v>
      </c>
      <c r="G13" s="507">
        <f t="shared" si="0"/>
        <v>0</v>
      </c>
      <c r="H13" s="686">
        <f t="shared" si="0"/>
        <v>0</v>
      </c>
      <c r="I13" s="507">
        <f t="shared" si="0"/>
        <v>1</v>
      </c>
      <c r="J13" s="507">
        <f t="shared" si="0"/>
        <v>11.3</v>
      </c>
      <c r="K13" s="507">
        <f t="shared" si="0"/>
        <v>0</v>
      </c>
      <c r="L13" s="507">
        <f t="shared" si="0"/>
        <v>0</v>
      </c>
      <c r="M13" s="507">
        <f t="shared" si="0"/>
        <v>0</v>
      </c>
      <c r="N13" s="558">
        <f t="shared" si="0"/>
        <v>11.3</v>
      </c>
    </row>
    <row r="14" spans="1:14" s="208" customFormat="1" ht="18.75" customHeight="1" thickBot="1">
      <c r="A14" s="510"/>
      <c r="B14" s="511"/>
      <c r="C14" s="512"/>
      <c r="D14" s="513" t="s">
        <v>53</v>
      </c>
      <c r="E14" s="514">
        <f aca="true" t="shared" si="1" ref="E14:N14">SUM(E4:E13)/2</f>
        <v>45</v>
      </c>
      <c r="F14" s="524">
        <f t="shared" si="1"/>
        <v>2516.6000000000004</v>
      </c>
      <c r="G14" s="514">
        <f t="shared" si="1"/>
        <v>0</v>
      </c>
      <c r="H14" s="524">
        <f t="shared" si="1"/>
        <v>1608.3000000000002</v>
      </c>
      <c r="I14" s="514">
        <f t="shared" si="1"/>
        <v>1</v>
      </c>
      <c r="J14" s="524">
        <f t="shared" si="1"/>
        <v>11.3</v>
      </c>
      <c r="K14" s="514">
        <f t="shared" si="1"/>
        <v>0</v>
      </c>
      <c r="L14" s="743">
        <f t="shared" si="1"/>
        <v>0</v>
      </c>
      <c r="M14" s="514">
        <f t="shared" si="1"/>
        <v>45</v>
      </c>
      <c r="N14" s="524">
        <f t="shared" si="1"/>
        <v>4136.199999999999</v>
      </c>
    </row>
    <row r="15" spans="1:14" s="101" customFormat="1" ht="19.5" customHeight="1">
      <c r="A15" s="86"/>
      <c r="B15" s="156"/>
      <c r="C15" s="86"/>
      <c r="D15" s="147"/>
      <c r="E15" s="117"/>
      <c r="F15" s="525"/>
      <c r="G15" s="117"/>
      <c r="H15" s="525"/>
      <c r="I15" s="496"/>
      <c r="J15" s="356"/>
      <c r="K15" s="533"/>
      <c r="L15" s="533"/>
      <c r="M15" s="533"/>
      <c r="N15" s="588"/>
    </row>
    <row r="16" spans="1:14" s="101" customFormat="1" ht="19.5" customHeight="1">
      <c r="A16" s="83"/>
      <c r="B16" s="83"/>
      <c r="C16" s="83"/>
      <c r="D16" s="147"/>
      <c r="E16" s="117"/>
      <c r="F16" s="196"/>
      <c r="G16" s="117"/>
      <c r="H16" s="196"/>
      <c r="I16" s="496"/>
      <c r="J16" s="356"/>
      <c r="K16" s="533"/>
      <c r="L16" s="533"/>
      <c r="M16" s="533"/>
      <c r="N16" s="356"/>
    </row>
    <row r="17" spans="1:14" s="7" customFormat="1" ht="18.75" customHeight="1">
      <c r="A17" s="116"/>
      <c r="B17" s="116"/>
      <c r="C17" s="116"/>
      <c r="D17" s="146"/>
      <c r="E17" s="161"/>
      <c r="F17" s="198"/>
      <c r="G17" s="161"/>
      <c r="H17" s="198"/>
      <c r="I17" s="432"/>
      <c r="J17" s="498"/>
      <c r="K17" s="534"/>
      <c r="L17" s="534"/>
      <c r="M17" s="534"/>
      <c r="N17" s="498"/>
    </row>
    <row r="18" spans="1:14" s="7" customFormat="1" ht="18.75" customHeight="1">
      <c r="A18" s="116"/>
      <c r="B18" s="116"/>
      <c r="C18" s="116"/>
      <c r="D18" s="146"/>
      <c r="E18" s="117"/>
      <c r="F18" s="196"/>
      <c r="G18" s="117"/>
      <c r="H18" s="196"/>
      <c r="I18" s="432"/>
      <c r="J18" s="498"/>
      <c r="K18" s="534"/>
      <c r="L18" s="534"/>
      <c r="M18" s="534"/>
      <c r="N18" s="498"/>
    </row>
    <row r="19" spans="1:14" s="7" customFormat="1" ht="18.75" customHeight="1">
      <c r="A19" s="116"/>
      <c r="B19" s="116"/>
      <c r="C19" s="116"/>
      <c r="D19" s="146"/>
      <c r="E19" s="161"/>
      <c r="F19" s="198"/>
      <c r="G19" s="161"/>
      <c r="H19" s="198"/>
      <c r="I19" s="432"/>
      <c r="J19" s="498"/>
      <c r="K19" s="534"/>
      <c r="L19" s="534"/>
      <c r="M19" s="534"/>
      <c r="N19" s="498"/>
    </row>
    <row r="20" spans="1:14" s="7" customFormat="1" ht="18.75" customHeight="1">
      <c r="A20" s="116"/>
      <c r="B20" s="116"/>
      <c r="C20" s="116"/>
      <c r="D20" s="146"/>
      <c r="E20" s="161"/>
      <c r="F20" s="196"/>
      <c r="G20" s="161"/>
      <c r="H20" s="196"/>
      <c r="I20" s="432"/>
      <c r="J20" s="498"/>
      <c r="K20" s="534"/>
      <c r="L20" s="534"/>
      <c r="M20" s="534"/>
      <c r="N20" s="498"/>
    </row>
    <row r="21" spans="1:14" s="7" customFormat="1" ht="18.75" customHeight="1">
      <c r="A21" s="116"/>
      <c r="B21" s="116"/>
      <c r="C21" s="116"/>
      <c r="D21" s="146"/>
      <c r="E21" s="117"/>
      <c r="F21" s="196"/>
      <c r="G21" s="117"/>
      <c r="H21" s="196"/>
      <c r="I21" s="432"/>
      <c r="J21" s="498"/>
      <c r="K21" s="534"/>
      <c r="L21" s="534"/>
      <c r="M21" s="534"/>
      <c r="N21" s="498"/>
    </row>
    <row r="22" spans="1:14" s="7" customFormat="1" ht="18.75" customHeight="1">
      <c r="A22" s="116"/>
      <c r="B22" s="116"/>
      <c r="C22" s="116"/>
      <c r="D22" s="146"/>
      <c r="E22" s="117"/>
      <c r="F22" s="196"/>
      <c r="G22" s="117"/>
      <c r="H22" s="196"/>
      <c r="I22" s="432"/>
      <c r="J22" s="498"/>
      <c r="K22" s="534"/>
      <c r="L22" s="534"/>
      <c r="M22" s="534"/>
      <c r="N22" s="498"/>
    </row>
    <row r="23" spans="1:14" s="101" customFormat="1" ht="19.5" customHeight="1">
      <c r="A23" s="116"/>
      <c r="B23" s="116"/>
      <c r="C23" s="116"/>
      <c r="D23" s="145"/>
      <c r="E23" s="117"/>
      <c r="F23" s="196"/>
      <c r="G23" s="117"/>
      <c r="H23" s="196"/>
      <c r="I23" s="496"/>
      <c r="J23" s="356"/>
      <c r="K23" s="533"/>
      <c r="L23" s="533"/>
      <c r="M23" s="533"/>
      <c r="N23" s="356"/>
    </row>
    <row r="24" spans="1:14" s="101" customFormat="1" ht="19.5" customHeight="1">
      <c r="A24" s="116"/>
      <c r="B24" s="116"/>
      <c r="C24" s="116"/>
      <c r="D24" s="145"/>
      <c r="E24" s="117"/>
      <c r="F24" s="196"/>
      <c r="G24" s="117"/>
      <c r="H24" s="196"/>
      <c r="I24" s="496"/>
      <c r="J24" s="356"/>
      <c r="K24" s="533"/>
      <c r="L24" s="533"/>
      <c r="M24" s="533"/>
      <c r="N24" s="356"/>
    </row>
    <row r="25" spans="1:8" ht="21.75">
      <c r="A25" s="163"/>
      <c r="F25" s="526"/>
      <c r="H25" s="526"/>
    </row>
    <row r="26" spans="1:8" ht="21.75">
      <c r="A26" s="163"/>
      <c r="F26" s="526"/>
      <c r="H26" s="526"/>
    </row>
    <row r="27" spans="1:14" s="175" customFormat="1" ht="21.75" customHeight="1">
      <c r="A27" s="160"/>
      <c r="B27" s="160"/>
      <c r="C27" s="160"/>
      <c r="E27" s="174"/>
      <c r="F27" s="527"/>
      <c r="G27" s="174"/>
      <c r="H27" s="527"/>
      <c r="I27" s="174"/>
      <c r="J27" s="499"/>
      <c r="K27" s="535"/>
      <c r="L27" s="535"/>
      <c r="M27" s="535"/>
      <c r="N27" s="499"/>
    </row>
    <row r="28" spans="1:14" s="3" customFormat="1" ht="18" customHeight="1">
      <c r="A28" s="160"/>
      <c r="B28" s="160"/>
      <c r="C28" s="160"/>
      <c r="D28" s="148"/>
      <c r="E28" s="95"/>
      <c r="F28" s="528"/>
      <c r="G28" s="95"/>
      <c r="H28" s="528"/>
      <c r="I28" s="2"/>
      <c r="J28" s="500"/>
      <c r="K28" s="536"/>
      <c r="L28" s="536"/>
      <c r="M28" s="536"/>
      <c r="N28" s="500"/>
    </row>
    <row r="29" spans="1:14" ht="19.5" customHeight="1">
      <c r="A29" s="82"/>
      <c r="B29" s="82"/>
      <c r="C29" s="82"/>
      <c r="D29" s="149"/>
      <c r="F29" s="529"/>
      <c r="H29" s="529"/>
      <c r="I29" s="495"/>
      <c r="J29" s="501"/>
      <c r="K29" s="530"/>
      <c r="L29" s="530"/>
      <c r="M29" s="530"/>
      <c r="N29" s="501"/>
    </row>
    <row r="30" spans="2:14" ht="17.25">
      <c r="B30" s="82"/>
      <c r="C30" s="82"/>
      <c r="D30" s="149"/>
      <c r="F30" s="529"/>
      <c r="H30" s="529"/>
      <c r="I30" s="495"/>
      <c r="J30" s="501"/>
      <c r="K30" s="530"/>
      <c r="L30" s="530"/>
      <c r="M30" s="530"/>
      <c r="N30" s="501"/>
    </row>
    <row r="31" spans="2:14" ht="17.25">
      <c r="B31" s="82"/>
      <c r="C31" s="82"/>
      <c r="D31" s="149"/>
      <c r="F31" s="529"/>
      <c r="H31" s="529"/>
      <c r="I31" s="495"/>
      <c r="J31" s="501"/>
      <c r="K31" s="530"/>
      <c r="L31" s="530"/>
      <c r="M31" s="530"/>
      <c r="N31" s="501"/>
    </row>
    <row r="32" spans="2:14" ht="17.25">
      <c r="B32" s="82"/>
      <c r="C32" s="82"/>
      <c r="D32" s="149"/>
      <c r="F32" s="529"/>
      <c r="H32" s="529"/>
      <c r="I32" s="495"/>
      <c r="J32" s="501"/>
      <c r="K32" s="530"/>
      <c r="L32" s="530"/>
      <c r="M32" s="530"/>
      <c r="N32" s="501"/>
    </row>
    <row r="33" spans="2:14" ht="17.25">
      <c r="B33" s="82"/>
      <c r="C33" s="82"/>
      <c r="D33" s="149"/>
      <c r="F33" s="529"/>
      <c r="H33" s="529"/>
      <c r="I33" s="495"/>
      <c r="J33" s="501"/>
      <c r="K33" s="530"/>
      <c r="L33" s="530"/>
      <c r="M33" s="530"/>
      <c r="N33" s="501"/>
    </row>
    <row r="34" spans="2:14" ht="17.25">
      <c r="B34" s="82"/>
      <c r="C34" s="82"/>
      <c r="D34" s="149"/>
      <c r="F34" s="529"/>
      <c r="H34" s="529"/>
      <c r="I34" s="495"/>
      <c r="J34" s="501"/>
      <c r="K34" s="530"/>
      <c r="L34" s="530"/>
      <c r="M34" s="530"/>
      <c r="N34" s="501"/>
    </row>
    <row r="35" spans="2:14" ht="17.25">
      <c r="B35" s="82"/>
      <c r="C35" s="82"/>
      <c r="D35" s="149"/>
      <c r="F35" s="529"/>
      <c r="H35" s="529"/>
      <c r="I35" s="495"/>
      <c r="J35" s="501"/>
      <c r="K35" s="530"/>
      <c r="L35" s="530"/>
      <c r="M35" s="530"/>
      <c r="N35" s="501"/>
    </row>
    <row r="36" spans="2:14" ht="17.25">
      <c r="B36" s="82"/>
      <c r="C36" s="82"/>
      <c r="D36" s="149"/>
      <c r="F36" s="529"/>
      <c r="H36" s="529"/>
      <c r="I36" s="495"/>
      <c r="J36" s="501"/>
      <c r="K36" s="530"/>
      <c r="L36" s="530"/>
      <c r="M36" s="530"/>
      <c r="N36" s="501"/>
    </row>
    <row r="37" spans="2:14" ht="17.25">
      <c r="B37" s="82"/>
      <c r="C37" s="82"/>
      <c r="D37" s="149"/>
      <c r="F37" s="529"/>
      <c r="H37" s="529"/>
      <c r="I37" s="495"/>
      <c r="J37" s="501"/>
      <c r="K37" s="530"/>
      <c r="L37" s="530"/>
      <c r="M37" s="530"/>
      <c r="N37" s="501"/>
    </row>
    <row r="38" spans="2:14" ht="17.25">
      <c r="B38" s="82"/>
      <c r="C38" s="82"/>
      <c r="D38" s="149"/>
      <c r="F38" s="529"/>
      <c r="H38" s="529"/>
      <c r="I38" s="495"/>
      <c r="J38" s="501"/>
      <c r="K38" s="530"/>
      <c r="L38" s="530"/>
      <c r="M38" s="530"/>
      <c r="N38" s="501"/>
    </row>
    <row r="39" spans="2:14" ht="17.25">
      <c r="B39" s="82"/>
      <c r="C39" s="82"/>
      <c r="D39" s="149"/>
      <c r="F39" s="529"/>
      <c r="H39" s="529"/>
      <c r="I39" s="495"/>
      <c r="J39" s="501"/>
      <c r="K39" s="530"/>
      <c r="L39" s="530"/>
      <c r="M39" s="530"/>
      <c r="N39" s="501"/>
    </row>
    <row r="40" spans="2:14" ht="17.25">
      <c r="B40" s="82"/>
      <c r="C40" s="82"/>
      <c r="D40" s="149"/>
      <c r="F40" s="529"/>
      <c r="H40" s="529"/>
      <c r="I40" s="495"/>
      <c r="J40" s="501"/>
      <c r="K40" s="530"/>
      <c r="L40" s="530"/>
      <c r="M40" s="530"/>
      <c r="N40" s="501"/>
    </row>
    <row r="41" spans="2:14" ht="17.25">
      <c r="B41" s="82"/>
      <c r="C41" s="82"/>
      <c r="D41" s="149"/>
      <c r="F41" s="529"/>
      <c r="H41" s="529"/>
      <c r="I41" s="495"/>
      <c r="J41" s="501"/>
      <c r="K41" s="530"/>
      <c r="L41" s="530"/>
      <c r="M41" s="530"/>
      <c r="N41" s="501"/>
    </row>
    <row r="42" spans="2:14" ht="17.25">
      <c r="B42" s="82"/>
      <c r="C42" s="82"/>
      <c r="D42" s="149"/>
      <c r="F42" s="529"/>
      <c r="H42" s="529"/>
      <c r="I42" s="495"/>
      <c r="J42" s="501"/>
      <c r="K42" s="530"/>
      <c r="L42" s="530"/>
      <c r="M42" s="530"/>
      <c r="N42" s="501"/>
    </row>
    <row r="43" spans="2:14" ht="17.25">
      <c r="B43" s="82"/>
      <c r="C43" s="82"/>
      <c r="D43" s="149"/>
      <c r="F43" s="529"/>
      <c r="H43" s="529"/>
      <c r="I43" s="495"/>
      <c r="J43" s="501"/>
      <c r="K43" s="530"/>
      <c r="L43" s="530"/>
      <c r="M43" s="530"/>
      <c r="N43" s="501"/>
    </row>
    <row r="44" spans="2:14" ht="17.25">
      <c r="B44" s="82"/>
      <c r="C44" s="82"/>
      <c r="D44" s="149"/>
      <c r="F44" s="529"/>
      <c r="H44" s="529"/>
      <c r="I44" s="495"/>
      <c r="J44" s="501"/>
      <c r="K44" s="530"/>
      <c r="L44" s="530"/>
      <c r="M44" s="530"/>
      <c r="N44" s="501"/>
    </row>
    <row r="45" spans="2:14" ht="17.25">
      <c r="B45" s="82"/>
      <c r="C45" s="82"/>
      <c r="D45" s="149"/>
      <c r="F45" s="530"/>
      <c r="H45" s="530"/>
      <c r="I45" s="495"/>
      <c r="J45" s="501"/>
      <c r="K45" s="530"/>
      <c r="L45" s="530"/>
      <c r="M45" s="530"/>
      <c r="N45" s="501"/>
    </row>
    <row r="46" spans="2:14" ht="17.25">
      <c r="B46" s="82"/>
      <c r="C46" s="82"/>
      <c r="D46" s="149"/>
      <c r="F46" s="530"/>
      <c r="H46" s="530"/>
      <c r="I46" s="495"/>
      <c r="J46" s="501"/>
      <c r="K46" s="530"/>
      <c r="L46" s="530"/>
      <c r="M46" s="530"/>
      <c r="N46" s="501"/>
    </row>
    <row r="47" spans="2:14" ht="17.25">
      <c r="B47" s="82"/>
      <c r="C47" s="82"/>
      <c r="D47" s="149"/>
      <c r="F47" s="530"/>
      <c r="H47" s="530"/>
      <c r="I47" s="495"/>
      <c r="J47" s="501"/>
      <c r="K47" s="530"/>
      <c r="L47" s="530"/>
      <c r="M47" s="530"/>
      <c r="N47" s="501"/>
    </row>
    <row r="48" spans="2:14" ht="17.25">
      <c r="B48" s="82"/>
      <c r="C48" s="82"/>
      <c r="D48" s="149"/>
      <c r="F48" s="530"/>
      <c r="H48" s="530"/>
      <c r="I48" s="495"/>
      <c r="J48" s="501"/>
      <c r="K48" s="530"/>
      <c r="L48" s="530"/>
      <c r="M48" s="530"/>
      <c r="N48" s="501"/>
    </row>
    <row r="49" spans="2:14" ht="17.25">
      <c r="B49" s="82"/>
      <c r="C49" s="82"/>
      <c r="D49" s="149"/>
      <c r="F49" s="530"/>
      <c r="H49" s="530"/>
      <c r="I49" s="495"/>
      <c r="J49" s="501"/>
      <c r="K49" s="530"/>
      <c r="L49" s="530"/>
      <c r="M49" s="530"/>
      <c r="N49" s="501"/>
    </row>
    <row r="50" spans="2:14" ht="17.25">
      <c r="B50" s="82"/>
      <c r="C50" s="82"/>
      <c r="D50" s="149"/>
      <c r="F50" s="530"/>
      <c r="H50" s="530"/>
      <c r="I50" s="495"/>
      <c r="J50" s="501"/>
      <c r="K50" s="530"/>
      <c r="L50" s="530"/>
      <c r="M50" s="530"/>
      <c r="N50" s="501"/>
    </row>
    <row r="51" spans="2:14" ht="17.25">
      <c r="B51" s="82"/>
      <c r="C51" s="82"/>
      <c r="D51" s="149"/>
      <c r="F51" s="530"/>
      <c r="H51" s="530"/>
      <c r="I51" s="495"/>
      <c r="J51" s="501"/>
      <c r="K51" s="530"/>
      <c r="L51" s="530"/>
      <c r="M51" s="530"/>
      <c r="N51" s="501"/>
    </row>
    <row r="52" spans="2:14" ht="17.25">
      <c r="B52" s="82"/>
      <c r="C52" s="82"/>
      <c r="D52" s="149"/>
      <c r="F52" s="530"/>
      <c r="H52" s="530"/>
      <c r="I52" s="495"/>
      <c r="J52" s="501"/>
      <c r="K52" s="530"/>
      <c r="L52" s="530"/>
      <c r="M52" s="530"/>
      <c r="N52" s="501"/>
    </row>
    <row r="53" spans="2:14" ht="17.25">
      <c r="B53" s="82"/>
      <c r="C53" s="82"/>
      <c r="D53" s="149"/>
      <c r="F53" s="530"/>
      <c r="H53" s="530"/>
      <c r="I53" s="495"/>
      <c r="J53" s="501"/>
      <c r="K53" s="530"/>
      <c r="L53" s="530"/>
      <c r="M53" s="530"/>
      <c r="N53" s="501"/>
    </row>
    <row r="54" spans="2:14" ht="17.25">
      <c r="B54" s="82"/>
      <c r="C54" s="82"/>
      <c r="D54" s="149"/>
      <c r="F54" s="530"/>
      <c r="H54" s="530"/>
      <c r="I54" s="495"/>
      <c r="J54" s="501"/>
      <c r="K54" s="530"/>
      <c r="L54" s="530"/>
      <c r="M54" s="530"/>
      <c r="N54" s="501"/>
    </row>
    <row r="55" spans="2:14" ht="17.25">
      <c r="B55" s="82"/>
      <c r="C55" s="82"/>
      <c r="D55" s="149"/>
      <c r="F55" s="530"/>
      <c r="H55" s="530"/>
      <c r="I55" s="495"/>
      <c r="J55" s="501"/>
      <c r="K55" s="530"/>
      <c r="L55" s="530"/>
      <c r="M55" s="530"/>
      <c r="N55" s="501"/>
    </row>
    <row r="56" spans="2:14" ht="17.25">
      <c r="B56" s="82"/>
      <c r="C56" s="82"/>
      <c r="D56" s="149"/>
      <c r="F56" s="530"/>
      <c r="H56" s="530"/>
      <c r="I56" s="495"/>
      <c r="J56" s="501"/>
      <c r="K56" s="530"/>
      <c r="L56" s="530"/>
      <c r="M56" s="530"/>
      <c r="N56" s="501"/>
    </row>
    <row r="57" spans="2:14" ht="17.25">
      <c r="B57" s="82"/>
      <c r="C57" s="82"/>
      <c r="D57" s="149"/>
      <c r="F57" s="530"/>
      <c r="H57" s="530"/>
      <c r="I57" s="495"/>
      <c r="J57" s="501"/>
      <c r="K57" s="530"/>
      <c r="L57" s="530"/>
      <c r="M57" s="530"/>
      <c r="N57" s="501"/>
    </row>
    <row r="58" spans="2:14" ht="17.25">
      <c r="B58" s="82"/>
      <c r="C58" s="82"/>
      <c r="D58" s="149"/>
      <c r="F58" s="530"/>
      <c r="H58" s="530"/>
      <c r="I58" s="495"/>
      <c r="J58" s="501"/>
      <c r="K58" s="530"/>
      <c r="L58" s="530"/>
      <c r="M58" s="530"/>
      <c r="N58" s="501"/>
    </row>
    <row r="59" spans="2:14" ht="17.25">
      <c r="B59" s="82"/>
      <c r="C59" s="82"/>
      <c r="D59" s="149"/>
      <c r="F59" s="530"/>
      <c r="H59" s="530"/>
      <c r="I59" s="495"/>
      <c r="J59" s="501"/>
      <c r="K59" s="530"/>
      <c r="L59" s="530"/>
      <c r="M59" s="530"/>
      <c r="N59" s="501"/>
    </row>
    <row r="60" spans="2:14" ht="17.25">
      <c r="B60" s="82"/>
      <c r="C60" s="82"/>
      <c r="D60" s="149"/>
      <c r="F60" s="530"/>
      <c r="H60" s="530"/>
      <c r="I60" s="495"/>
      <c r="J60" s="501"/>
      <c r="K60" s="530"/>
      <c r="L60" s="530"/>
      <c r="M60" s="530"/>
      <c r="N60" s="501"/>
    </row>
    <row r="61" spans="2:14" ht="17.25">
      <c r="B61" s="82"/>
      <c r="C61" s="82"/>
      <c r="D61" s="149"/>
      <c r="F61" s="530"/>
      <c r="H61" s="530"/>
      <c r="I61" s="495"/>
      <c r="J61" s="501"/>
      <c r="K61" s="530"/>
      <c r="L61" s="530"/>
      <c r="M61" s="530"/>
      <c r="N61" s="501"/>
    </row>
    <row r="62" spans="2:14" ht="17.25">
      <c r="B62" s="82"/>
      <c r="C62" s="82"/>
      <c r="D62" s="149"/>
      <c r="F62" s="530"/>
      <c r="H62" s="530"/>
      <c r="I62" s="495"/>
      <c r="J62" s="501"/>
      <c r="K62" s="530"/>
      <c r="L62" s="530"/>
      <c r="M62" s="530"/>
      <c r="N62" s="501"/>
    </row>
    <row r="63" spans="2:14" ht="17.25">
      <c r="B63" s="82"/>
      <c r="C63" s="82"/>
      <c r="D63" s="149"/>
      <c r="F63" s="530"/>
      <c r="H63" s="530"/>
      <c r="I63" s="495"/>
      <c r="J63" s="501"/>
      <c r="K63" s="530"/>
      <c r="L63" s="530"/>
      <c r="M63" s="530"/>
      <c r="N63" s="501"/>
    </row>
    <row r="64" spans="2:14" ht="17.25">
      <c r="B64" s="82"/>
      <c r="C64" s="82"/>
      <c r="D64" s="149"/>
      <c r="F64" s="530"/>
      <c r="H64" s="530"/>
      <c r="I64" s="495"/>
      <c r="J64" s="501"/>
      <c r="K64" s="530"/>
      <c r="L64" s="530"/>
      <c r="M64" s="530"/>
      <c r="N64" s="501"/>
    </row>
    <row r="65" spans="2:14" ht="17.25">
      <c r="B65" s="82"/>
      <c r="C65" s="82"/>
      <c r="D65" s="149"/>
      <c r="F65" s="530"/>
      <c r="H65" s="530"/>
      <c r="I65" s="495"/>
      <c r="J65" s="501"/>
      <c r="K65" s="530"/>
      <c r="L65" s="530"/>
      <c r="M65" s="530"/>
      <c r="N65" s="501"/>
    </row>
    <row r="66" spans="2:14" ht="17.25">
      <c r="B66" s="82"/>
      <c r="C66" s="82"/>
      <c r="D66" s="149"/>
      <c r="F66" s="530"/>
      <c r="H66" s="530"/>
      <c r="I66" s="495"/>
      <c r="J66" s="501"/>
      <c r="K66" s="530"/>
      <c r="L66" s="530"/>
      <c r="M66" s="530"/>
      <c r="N66" s="501"/>
    </row>
    <row r="67" spans="2:14" ht="17.25">
      <c r="B67" s="82"/>
      <c r="C67" s="82"/>
      <c r="D67" s="149"/>
      <c r="F67" s="530"/>
      <c r="H67" s="530"/>
      <c r="I67" s="495"/>
      <c r="J67" s="501"/>
      <c r="K67" s="530"/>
      <c r="L67" s="530"/>
      <c r="M67" s="530"/>
      <c r="N67" s="501"/>
    </row>
    <row r="68" spans="2:14" ht="17.25">
      <c r="B68" s="82"/>
      <c r="C68" s="82"/>
      <c r="D68" s="149"/>
      <c r="F68" s="530"/>
      <c r="H68" s="530"/>
      <c r="I68" s="495"/>
      <c r="J68" s="501"/>
      <c r="K68" s="530"/>
      <c r="L68" s="530"/>
      <c r="M68" s="530"/>
      <c r="N68" s="501"/>
    </row>
    <row r="69" spans="2:14" ht="17.25">
      <c r="B69" s="82"/>
      <c r="C69" s="82"/>
      <c r="D69" s="149"/>
      <c r="F69" s="530"/>
      <c r="H69" s="530"/>
      <c r="I69" s="495"/>
      <c r="J69" s="501"/>
      <c r="K69" s="530"/>
      <c r="L69" s="530"/>
      <c r="M69" s="530"/>
      <c r="N69" s="501"/>
    </row>
    <row r="70" spans="2:14" ht="17.25">
      <c r="B70" s="82"/>
      <c r="C70" s="82"/>
      <c r="D70" s="149"/>
      <c r="F70" s="530"/>
      <c r="H70" s="530"/>
      <c r="I70" s="495"/>
      <c r="J70" s="501"/>
      <c r="K70" s="530"/>
      <c r="L70" s="530"/>
      <c r="M70" s="530"/>
      <c r="N70" s="501"/>
    </row>
    <row r="71" spans="2:14" ht="17.25">
      <c r="B71" s="82"/>
      <c r="C71" s="82"/>
      <c r="D71" s="149"/>
      <c r="F71" s="530"/>
      <c r="H71" s="530"/>
      <c r="I71" s="495"/>
      <c r="J71" s="501"/>
      <c r="K71" s="530"/>
      <c r="L71" s="530"/>
      <c r="M71" s="530"/>
      <c r="N71" s="501"/>
    </row>
    <row r="72" spans="2:14" ht="18.75" customHeight="1">
      <c r="B72" s="82"/>
      <c r="C72" s="82"/>
      <c r="D72" s="149"/>
      <c r="F72" s="530"/>
      <c r="H72" s="530"/>
      <c r="I72" s="495"/>
      <c r="J72" s="501"/>
      <c r="K72" s="530"/>
      <c r="L72" s="530"/>
      <c r="M72" s="530"/>
      <c r="N72" s="501"/>
    </row>
    <row r="73" spans="2:14" ht="18" customHeight="1">
      <c r="B73" s="82"/>
      <c r="C73" s="82"/>
      <c r="D73" s="149"/>
      <c r="F73" s="530"/>
      <c r="H73" s="530"/>
      <c r="I73" s="495"/>
      <c r="J73" s="501"/>
      <c r="K73" s="530"/>
      <c r="L73" s="530"/>
      <c r="M73" s="530"/>
      <c r="N73" s="501"/>
    </row>
    <row r="74" spans="2:14" ht="18" customHeight="1">
      <c r="B74" s="82"/>
      <c r="C74" s="82"/>
      <c r="D74" s="149"/>
      <c r="F74" s="530"/>
      <c r="H74" s="530"/>
      <c r="I74" s="495"/>
      <c r="J74" s="501"/>
      <c r="K74" s="530"/>
      <c r="L74" s="530"/>
      <c r="M74" s="530"/>
      <c r="N74" s="501"/>
    </row>
    <row r="75" spans="2:14" ht="18.75" customHeight="1">
      <c r="B75" s="82"/>
      <c r="C75" s="82"/>
      <c r="D75" s="149"/>
      <c r="F75" s="530"/>
      <c r="H75" s="530"/>
      <c r="I75" s="495"/>
      <c r="J75" s="501"/>
      <c r="K75" s="530"/>
      <c r="L75" s="530"/>
      <c r="M75" s="530"/>
      <c r="N75" s="501"/>
    </row>
    <row r="76" spans="2:14" ht="18.75" customHeight="1">
      <c r="B76" s="82"/>
      <c r="C76" s="82"/>
      <c r="D76" s="149"/>
      <c r="F76" s="530"/>
      <c r="H76" s="530"/>
      <c r="I76" s="495"/>
      <c r="J76" s="501"/>
      <c r="K76" s="530"/>
      <c r="L76" s="530"/>
      <c r="M76" s="530"/>
      <c r="N76" s="501"/>
    </row>
    <row r="77" spans="2:14" ht="17.25" customHeight="1">
      <c r="B77" s="82"/>
      <c r="C77" s="82"/>
      <c r="D77" s="149"/>
      <c r="F77" s="530"/>
      <c r="H77" s="530"/>
      <c r="I77" s="495"/>
      <c r="J77" s="501"/>
      <c r="K77" s="530"/>
      <c r="L77" s="530"/>
      <c r="M77" s="530"/>
      <c r="N77" s="501"/>
    </row>
    <row r="78" spans="2:14" ht="19.5" customHeight="1">
      <c r="B78" s="82"/>
      <c r="C78" s="82"/>
      <c r="D78" s="149"/>
      <c r="F78" s="530"/>
      <c r="H78" s="530"/>
      <c r="I78" s="495"/>
      <c r="J78" s="501"/>
      <c r="K78" s="530"/>
      <c r="L78" s="530"/>
      <c r="M78" s="530"/>
      <c r="N78" s="501"/>
    </row>
    <row r="79" spans="2:14" ht="19.5" customHeight="1">
      <c r="B79" s="82"/>
      <c r="C79" s="82"/>
      <c r="D79" s="149"/>
      <c r="F79" s="530"/>
      <c r="H79" s="530"/>
      <c r="I79" s="495"/>
      <c r="J79" s="501"/>
      <c r="K79" s="530"/>
      <c r="L79" s="530"/>
      <c r="M79" s="530"/>
      <c r="N79" s="501"/>
    </row>
    <row r="80" spans="2:14" ht="17.25">
      <c r="B80" s="82"/>
      <c r="C80" s="82"/>
      <c r="D80" s="149"/>
      <c r="F80" s="530"/>
      <c r="H80" s="530"/>
      <c r="I80" s="495"/>
      <c r="J80" s="501"/>
      <c r="K80" s="530"/>
      <c r="L80" s="530"/>
      <c r="M80" s="530"/>
      <c r="N80" s="501"/>
    </row>
    <row r="81" spans="2:14" ht="18.75" customHeight="1">
      <c r="B81" s="82"/>
      <c r="C81" s="82"/>
      <c r="D81" s="149"/>
      <c r="F81" s="530"/>
      <c r="H81" s="530"/>
      <c r="I81" s="495"/>
      <c r="J81" s="501"/>
      <c r="K81" s="530"/>
      <c r="L81" s="530"/>
      <c r="M81" s="530"/>
      <c r="N81" s="501"/>
    </row>
    <row r="82" spans="2:14" ht="18.75" customHeight="1">
      <c r="B82" s="82"/>
      <c r="C82" s="82"/>
      <c r="D82" s="149"/>
      <c r="F82" s="530"/>
      <c r="H82" s="530"/>
      <c r="I82" s="495"/>
      <c r="J82" s="501"/>
      <c r="K82" s="530"/>
      <c r="L82" s="530"/>
      <c r="M82" s="530"/>
      <c r="N82" s="501"/>
    </row>
    <row r="83" spans="2:14" ht="18.75" customHeight="1">
      <c r="B83" s="82"/>
      <c r="C83" s="82"/>
      <c r="D83" s="149"/>
      <c r="F83" s="530"/>
      <c r="H83" s="530"/>
      <c r="I83" s="495"/>
      <c r="J83" s="501"/>
      <c r="K83" s="530"/>
      <c r="L83" s="530"/>
      <c r="M83" s="530"/>
      <c r="N83" s="501"/>
    </row>
    <row r="84" spans="2:14" ht="18.75" customHeight="1">
      <c r="B84" s="82"/>
      <c r="C84" s="82"/>
      <c r="D84" s="149"/>
      <c r="F84" s="530"/>
      <c r="H84" s="530"/>
      <c r="I84" s="495"/>
      <c r="J84" s="501"/>
      <c r="K84" s="530"/>
      <c r="L84" s="530"/>
      <c r="M84" s="530"/>
      <c r="N84" s="501"/>
    </row>
    <row r="85" spans="2:14" ht="19.5" customHeight="1">
      <c r="B85" s="82"/>
      <c r="C85" s="82"/>
      <c r="D85" s="149"/>
      <c r="F85" s="530"/>
      <c r="H85" s="530"/>
      <c r="I85" s="495"/>
      <c r="J85" s="501"/>
      <c r="K85" s="530"/>
      <c r="L85" s="530"/>
      <c r="M85" s="530"/>
      <c r="N85" s="501"/>
    </row>
    <row r="86" spans="2:14" ht="17.25">
      <c r="B86" s="82"/>
      <c r="C86" s="82"/>
      <c r="D86" s="149"/>
      <c r="F86" s="530"/>
      <c r="H86" s="530"/>
      <c r="I86" s="495"/>
      <c r="J86" s="501"/>
      <c r="K86" s="530"/>
      <c r="L86" s="530"/>
      <c r="M86" s="530"/>
      <c r="N86" s="501"/>
    </row>
    <row r="87" spans="2:14" ht="17.25">
      <c r="B87" s="82"/>
      <c r="C87" s="82"/>
      <c r="D87" s="149"/>
      <c r="F87" s="530"/>
      <c r="H87" s="530"/>
      <c r="I87" s="495"/>
      <c r="J87" s="501"/>
      <c r="K87" s="530"/>
      <c r="L87" s="530"/>
      <c r="M87" s="530"/>
      <c r="N87" s="501"/>
    </row>
    <row r="88" spans="2:14" ht="17.25">
      <c r="B88" s="82"/>
      <c r="C88" s="82"/>
      <c r="D88" s="149"/>
      <c r="F88" s="530"/>
      <c r="H88" s="530"/>
      <c r="I88" s="495"/>
      <c r="J88" s="501"/>
      <c r="K88" s="530"/>
      <c r="L88" s="530"/>
      <c r="M88" s="530"/>
      <c r="N88" s="501"/>
    </row>
    <row r="89" spans="2:14" ht="17.25">
      <c r="B89" s="82"/>
      <c r="C89" s="82"/>
      <c r="D89" s="149"/>
      <c r="F89" s="530"/>
      <c r="H89" s="530"/>
      <c r="I89" s="495"/>
      <c r="J89" s="501"/>
      <c r="K89" s="530"/>
      <c r="L89" s="530"/>
      <c r="M89" s="530"/>
      <c r="N89" s="501"/>
    </row>
    <row r="90" spans="2:14" ht="17.25">
      <c r="B90" s="82"/>
      <c r="C90" s="82"/>
      <c r="D90" s="149"/>
      <c r="F90" s="530"/>
      <c r="H90" s="530"/>
      <c r="I90" s="495"/>
      <c r="J90" s="501"/>
      <c r="K90" s="530"/>
      <c r="L90" s="530"/>
      <c r="M90" s="530"/>
      <c r="N90" s="501"/>
    </row>
    <row r="91" spans="2:14" ht="17.25">
      <c r="B91" s="82"/>
      <c r="C91" s="82"/>
      <c r="D91" s="149"/>
      <c r="F91" s="530"/>
      <c r="H91" s="530"/>
      <c r="I91" s="495"/>
      <c r="J91" s="501"/>
      <c r="K91" s="530"/>
      <c r="L91" s="530"/>
      <c r="M91" s="530"/>
      <c r="N91" s="501"/>
    </row>
    <row r="92" spans="2:14" ht="17.25">
      <c r="B92" s="82"/>
      <c r="C92" s="82"/>
      <c r="D92" s="149"/>
      <c r="F92" s="530"/>
      <c r="H92" s="530"/>
      <c r="I92" s="495"/>
      <c r="J92" s="501"/>
      <c r="K92" s="530"/>
      <c r="L92" s="530"/>
      <c r="M92" s="530"/>
      <c r="N92" s="501"/>
    </row>
    <row r="93" spans="2:14" ht="17.25">
      <c r="B93" s="82"/>
      <c r="C93" s="82"/>
      <c r="D93" s="149"/>
      <c r="F93" s="530"/>
      <c r="H93" s="530"/>
      <c r="I93" s="495"/>
      <c r="J93" s="501"/>
      <c r="K93" s="530"/>
      <c r="L93" s="530"/>
      <c r="M93" s="530"/>
      <c r="N93" s="501"/>
    </row>
    <row r="94" spans="2:14" ht="17.25">
      <c r="B94" s="82"/>
      <c r="C94" s="82"/>
      <c r="D94" s="149"/>
      <c r="F94" s="530"/>
      <c r="H94" s="530"/>
      <c r="I94" s="495"/>
      <c r="J94" s="501"/>
      <c r="K94" s="530"/>
      <c r="L94" s="530"/>
      <c r="M94" s="530"/>
      <c r="N94" s="501"/>
    </row>
    <row r="95" spans="2:14" ht="17.25">
      <c r="B95" s="82"/>
      <c r="C95" s="82"/>
      <c r="D95" s="149"/>
      <c r="F95" s="530"/>
      <c r="H95" s="530"/>
      <c r="I95" s="495"/>
      <c r="J95" s="501"/>
      <c r="K95" s="530"/>
      <c r="L95" s="530"/>
      <c r="M95" s="530"/>
      <c r="N95" s="501"/>
    </row>
    <row r="96" spans="2:14" ht="17.25">
      <c r="B96" s="82"/>
      <c r="C96" s="82"/>
      <c r="D96" s="149"/>
      <c r="F96" s="530"/>
      <c r="H96" s="530"/>
      <c r="I96" s="495"/>
      <c r="J96" s="501"/>
      <c r="K96" s="530"/>
      <c r="L96" s="530"/>
      <c r="M96" s="530"/>
      <c r="N96" s="501"/>
    </row>
    <row r="97" spans="2:14" ht="17.25">
      <c r="B97" s="82"/>
      <c r="C97" s="82"/>
      <c r="D97" s="149"/>
      <c r="F97" s="530"/>
      <c r="H97" s="530"/>
      <c r="I97" s="495"/>
      <c r="J97" s="501"/>
      <c r="K97" s="530"/>
      <c r="L97" s="530"/>
      <c r="M97" s="530"/>
      <c r="N97" s="501"/>
    </row>
    <row r="98" spans="2:14" ht="17.25">
      <c r="B98" s="82"/>
      <c r="C98" s="82"/>
      <c r="D98" s="149"/>
      <c r="F98" s="530"/>
      <c r="H98" s="530"/>
      <c r="I98" s="495"/>
      <c r="J98" s="501"/>
      <c r="K98" s="530"/>
      <c r="L98" s="530"/>
      <c r="M98" s="530"/>
      <c r="N98" s="501"/>
    </row>
    <row r="99" spans="2:14" ht="17.25">
      <c r="B99" s="82"/>
      <c r="C99" s="82"/>
      <c r="D99" s="149"/>
      <c r="F99" s="530"/>
      <c r="H99" s="530"/>
      <c r="I99" s="495"/>
      <c r="J99" s="501"/>
      <c r="K99" s="530"/>
      <c r="L99" s="530"/>
      <c r="M99" s="530"/>
      <c r="N99" s="501"/>
    </row>
    <row r="100" spans="2:14" ht="17.25">
      <c r="B100" s="82"/>
      <c r="C100" s="82"/>
      <c r="D100" s="149"/>
      <c r="F100" s="530"/>
      <c r="H100" s="530"/>
      <c r="I100" s="495"/>
      <c r="J100" s="501"/>
      <c r="K100" s="530"/>
      <c r="L100" s="530"/>
      <c r="M100" s="530"/>
      <c r="N100" s="501"/>
    </row>
    <row r="101" spans="2:14" ht="17.25">
      <c r="B101" s="82"/>
      <c r="C101" s="82"/>
      <c r="D101" s="149"/>
      <c r="F101" s="530"/>
      <c r="H101" s="530"/>
      <c r="I101" s="495"/>
      <c r="J101" s="501"/>
      <c r="K101" s="530"/>
      <c r="L101" s="530"/>
      <c r="M101" s="530"/>
      <c r="N101" s="501"/>
    </row>
    <row r="102" spans="2:14" ht="17.25">
      <c r="B102" s="82"/>
      <c r="C102" s="82"/>
      <c r="D102" s="149"/>
      <c r="F102" s="530"/>
      <c r="H102" s="530"/>
      <c r="I102" s="495"/>
      <c r="J102" s="501"/>
      <c r="K102" s="530"/>
      <c r="L102" s="530"/>
      <c r="M102" s="530"/>
      <c r="N102" s="501"/>
    </row>
    <row r="103" spans="1:14" s="25" customFormat="1" ht="21">
      <c r="A103" s="24"/>
      <c r="B103" s="162"/>
      <c r="C103" s="162"/>
      <c r="D103" s="150"/>
      <c r="E103" s="24"/>
      <c r="F103" s="531"/>
      <c r="G103" s="24"/>
      <c r="H103" s="531"/>
      <c r="I103" s="24"/>
      <c r="J103" s="502"/>
      <c r="K103" s="531"/>
      <c r="L103" s="531"/>
      <c r="M103" s="531"/>
      <c r="N103" s="502"/>
    </row>
    <row r="104" spans="1:14" s="25" customFormat="1" ht="21">
      <c r="A104" s="24"/>
      <c r="B104" s="162"/>
      <c r="C104" s="162"/>
      <c r="D104" s="150"/>
      <c r="E104" s="24"/>
      <c r="F104" s="531"/>
      <c r="G104" s="24"/>
      <c r="H104" s="531"/>
      <c r="I104" s="24"/>
      <c r="J104" s="502"/>
      <c r="K104" s="531"/>
      <c r="L104" s="531"/>
      <c r="M104" s="531"/>
      <c r="N104" s="502"/>
    </row>
    <row r="105" spans="1:14" s="25" customFormat="1" ht="21">
      <c r="A105" s="24"/>
      <c r="B105" s="162"/>
      <c r="C105" s="162"/>
      <c r="D105" s="150"/>
      <c r="E105" s="24"/>
      <c r="F105" s="531"/>
      <c r="G105" s="24"/>
      <c r="H105" s="531"/>
      <c r="I105" s="24"/>
      <c r="J105" s="502"/>
      <c r="K105" s="531"/>
      <c r="L105" s="531"/>
      <c r="M105" s="531"/>
      <c r="N105" s="502"/>
    </row>
    <row r="106" spans="1:14" s="25" customFormat="1" ht="21">
      <c r="A106" s="24"/>
      <c r="B106" s="162"/>
      <c r="C106" s="162"/>
      <c r="D106" s="150"/>
      <c r="E106" s="24"/>
      <c r="F106" s="531"/>
      <c r="G106" s="24"/>
      <c r="H106" s="531"/>
      <c r="I106" s="24"/>
      <c r="J106" s="502"/>
      <c r="K106" s="531"/>
      <c r="L106" s="531"/>
      <c r="M106" s="531"/>
      <c r="N106" s="502"/>
    </row>
    <row r="107" spans="1:14" s="25" customFormat="1" ht="21">
      <c r="A107" s="24"/>
      <c r="B107" s="162"/>
      <c r="C107" s="162"/>
      <c r="D107" s="150"/>
      <c r="E107" s="24"/>
      <c r="F107" s="531"/>
      <c r="G107" s="24"/>
      <c r="H107" s="531"/>
      <c r="I107" s="24"/>
      <c r="J107" s="502"/>
      <c r="K107" s="531"/>
      <c r="L107" s="531"/>
      <c r="M107" s="531"/>
      <c r="N107" s="502"/>
    </row>
    <row r="108" spans="1:14" s="25" customFormat="1" ht="21">
      <c r="A108" s="24"/>
      <c r="B108" s="162"/>
      <c r="C108" s="162"/>
      <c r="D108" s="150"/>
      <c r="E108" s="24"/>
      <c r="F108" s="531"/>
      <c r="G108" s="24"/>
      <c r="H108" s="531"/>
      <c r="I108" s="24"/>
      <c r="J108" s="502"/>
      <c r="K108" s="531"/>
      <c r="L108" s="531"/>
      <c r="M108" s="531"/>
      <c r="N108" s="502"/>
    </row>
    <row r="109" spans="1:14" s="25" customFormat="1" ht="21">
      <c r="A109" s="24"/>
      <c r="B109" s="162"/>
      <c r="C109" s="162"/>
      <c r="D109" s="150"/>
      <c r="E109" s="24"/>
      <c r="F109" s="531"/>
      <c r="G109" s="24"/>
      <c r="H109" s="531"/>
      <c r="I109" s="24"/>
      <c r="J109" s="502"/>
      <c r="K109" s="531"/>
      <c r="L109" s="531"/>
      <c r="M109" s="531"/>
      <c r="N109" s="502"/>
    </row>
    <row r="110" spans="1:14" s="25" customFormat="1" ht="21">
      <c r="A110" s="24"/>
      <c r="B110" s="162"/>
      <c r="C110" s="162"/>
      <c r="D110" s="150"/>
      <c r="E110" s="24"/>
      <c r="F110" s="531"/>
      <c r="G110" s="24"/>
      <c r="H110" s="531"/>
      <c r="I110" s="24"/>
      <c r="J110" s="502"/>
      <c r="K110" s="531"/>
      <c r="L110" s="531"/>
      <c r="M110" s="531"/>
      <c r="N110" s="502"/>
    </row>
    <row r="111" spans="1:14" s="25" customFormat="1" ht="21">
      <c r="A111" s="24"/>
      <c r="B111" s="162"/>
      <c r="C111" s="162"/>
      <c r="D111" s="150"/>
      <c r="E111" s="24"/>
      <c r="F111" s="531"/>
      <c r="G111" s="24"/>
      <c r="H111" s="531"/>
      <c r="I111" s="24"/>
      <c r="J111" s="502"/>
      <c r="K111" s="531"/>
      <c r="L111" s="531"/>
      <c r="M111" s="531"/>
      <c r="N111" s="502"/>
    </row>
    <row r="112" spans="1:14" s="25" customFormat="1" ht="21">
      <c r="A112" s="24"/>
      <c r="B112" s="162"/>
      <c r="C112" s="162"/>
      <c r="D112" s="150"/>
      <c r="E112" s="24"/>
      <c r="F112" s="531"/>
      <c r="G112" s="24"/>
      <c r="H112" s="531"/>
      <c r="I112" s="24"/>
      <c r="J112" s="502"/>
      <c r="K112" s="531"/>
      <c r="L112" s="531"/>
      <c r="M112" s="531"/>
      <c r="N112" s="502"/>
    </row>
    <row r="113" spans="1:14" s="25" customFormat="1" ht="21">
      <c r="A113" s="24"/>
      <c r="B113" s="162"/>
      <c r="C113" s="162"/>
      <c r="D113" s="150"/>
      <c r="E113" s="24"/>
      <c r="F113" s="531"/>
      <c r="G113" s="24"/>
      <c r="H113" s="531"/>
      <c r="I113" s="24"/>
      <c r="J113" s="502"/>
      <c r="K113" s="531"/>
      <c r="L113" s="531"/>
      <c r="M113" s="531"/>
      <c r="N113" s="502"/>
    </row>
    <row r="114" spans="1:14" s="25" customFormat="1" ht="21">
      <c r="A114" s="24"/>
      <c r="B114" s="162"/>
      <c r="C114" s="162"/>
      <c r="D114" s="150"/>
      <c r="E114" s="24"/>
      <c r="F114" s="531"/>
      <c r="G114" s="24"/>
      <c r="H114" s="531"/>
      <c r="I114" s="24"/>
      <c r="J114" s="502"/>
      <c r="K114" s="531"/>
      <c r="L114" s="531"/>
      <c r="M114" s="531"/>
      <c r="N114" s="502"/>
    </row>
    <row r="115" spans="1:14" s="25" customFormat="1" ht="21">
      <c r="A115" s="24"/>
      <c r="B115" s="162"/>
      <c r="C115" s="162"/>
      <c r="D115" s="150"/>
      <c r="E115" s="24"/>
      <c r="F115" s="531"/>
      <c r="G115" s="24"/>
      <c r="H115" s="531"/>
      <c r="I115" s="24"/>
      <c r="J115" s="502"/>
      <c r="K115" s="531"/>
      <c r="L115" s="531"/>
      <c r="M115" s="531"/>
      <c r="N115" s="502"/>
    </row>
    <row r="116" spans="1:14" s="25" customFormat="1" ht="21">
      <c r="A116" s="24"/>
      <c r="B116" s="162"/>
      <c r="C116" s="162"/>
      <c r="D116" s="150"/>
      <c r="E116" s="24"/>
      <c r="F116" s="531"/>
      <c r="G116" s="24"/>
      <c r="H116" s="531"/>
      <c r="I116" s="24"/>
      <c r="J116" s="502"/>
      <c r="K116" s="531"/>
      <c r="L116" s="531"/>
      <c r="M116" s="531"/>
      <c r="N116" s="502"/>
    </row>
    <row r="117" spans="1:14" s="25" customFormat="1" ht="21">
      <c r="A117" s="24"/>
      <c r="B117" s="162"/>
      <c r="C117" s="162"/>
      <c r="D117" s="150"/>
      <c r="E117" s="24"/>
      <c r="F117" s="531"/>
      <c r="G117" s="24"/>
      <c r="H117" s="531"/>
      <c r="I117" s="24"/>
      <c r="J117" s="502"/>
      <c r="K117" s="531"/>
      <c r="L117" s="531"/>
      <c r="M117" s="531"/>
      <c r="N117" s="502"/>
    </row>
    <row r="118" spans="1:14" s="25" customFormat="1" ht="21">
      <c r="A118" s="24"/>
      <c r="B118" s="162"/>
      <c r="C118" s="162"/>
      <c r="D118" s="150"/>
      <c r="E118" s="24"/>
      <c r="F118" s="531"/>
      <c r="G118" s="24"/>
      <c r="H118" s="531"/>
      <c r="I118" s="24"/>
      <c r="J118" s="502"/>
      <c r="K118" s="531"/>
      <c r="L118" s="531"/>
      <c r="M118" s="531"/>
      <c r="N118" s="502"/>
    </row>
    <row r="119" spans="1:14" s="25" customFormat="1" ht="21">
      <c r="A119" s="24"/>
      <c r="B119" s="162"/>
      <c r="C119" s="162"/>
      <c r="D119" s="150"/>
      <c r="E119" s="24"/>
      <c r="F119" s="531"/>
      <c r="G119" s="24"/>
      <c r="H119" s="531"/>
      <c r="I119" s="24"/>
      <c r="J119" s="502"/>
      <c r="K119" s="531"/>
      <c r="L119" s="531"/>
      <c r="M119" s="531"/>
      <c r="N119" s="502"/>
    </row>
    <row r="120" spans="1:14" s="25" customFormat="1" ht="21">
      <c r="A120" s="24"/>
      <c r="B120" s="162"/>
      <c r="C120" s="162"/>
      <c r="D120" s="150"/>
      <c r="E120" s="24"/>
      <c r="F120" s="531"/>
      <c r="G120" s="24"/>
      <c r="H120" s="531"/>
      <c r="I120" s="24"/>
      <c r="J120" s="502"/>
      <c r="K120" s="531"/>
      <c r="L120" s="531"/>
      <c r="M120" s="531"/>
      <c r="N120" s="502"/>
    </row>
    <row r="121" spans="1:14" s="25" customFormat="1" ht="21">
      <c r="A121" s="24"/>
      <c r="B121" s="162"/>
      <c r="C121" s="162"/>
      <c r="D121" s="150"/>
      <c r="E121" s="24"/>
      <c r="F121" s="531"/>
      <c r="G121" s="24"/>
      <c r="H121" s="531"/>
      <c r="I121" s="24"/>
      <c r="J121" s="502"/>
      <c r="K121" s="531"/>
      <c r="L121" s="531"/>
      <c r="M121" s="531"/>
      <c r="N121" s="502"/>
    </row>
    <row r="122" spans="1:14" s="25" customFormat="1" ht="21">
      <c r="A122" s="24"/>
      <c r="B122" s="162"/>
      <c r="C122" s="162"/>
      <c r="D122" s="150"/>
      <c r="E122" s="24"/>
      <c r="F122" s="531"/>
      <c r="G122" s="24"/>
      <c r="H122" s="531"/>
      <c r="I122" s="24"/>
      <c r="J122" s="502"/>
      <c r="K122" s="531"/>
      <c r="L122" s="531"/>
      <c r="M122" s="531"/>
      <c r="N122" s="502"/>
    </row>
    <row r="123" spans="1:14" s="25" customFormat="1" ht="21">
      <c r="A123" s="24"/>
      <c r="B123" s="162"/>
      <c r="C123" s="162"/>
      <c r="D123" s="150"/>
      <c r="E123" s="24"/>
      <c r="F123" s="531"/>
      <c r="G123" s="24"/>
      <c r="H123" s="531"/>
      <c r="I123" s="24"/>
      <c r="J123" s="502"/>
      <c r="K123" s="531"/>
      <c r="L123" s="531"/>
      <c r="M123" s="531"/>
      <c r="N123" s="502"/>
    </row>
    <row r="124" spans="1:14" s="25" customFormat="1" ht="21">
      <c r="A124" s="24"/>
      <c r="B124" s="162"/>
      <c r="C124" s="162"/>
      <c r="D124" s="150"/>
      <c r="E124" s="24"/>
      <c r="F124" s="531"/>
      <c r="G124" s="24"/>
      <c r="H124" s="531"/>
      <c r="I124" s="24"/>
      <c r="J124" s="502"/>
      <c r="K124" s="531"/>
      <c r="L124" s="531"/>
      <c r="M124" s="531"/>
      <c r="N124" s="502"/>
    </row>
    <row r="125" spans="1:14" s="25" customFormat="1" ht="21">
      <c r="A125" s="24"/>
      <c r="B125" s="162"/>
      <c r="C125" s="162"/>
      <c r="D125" s="150"/>
      <c r="E125" s="24"/>
      <c r="F125" s="531"/>
      <c r="G125" s="24"/>
      <c r="H125" s="531"/>
      <c r="I125" s="24"/>
      <c r="J125" s="502"/>
      <c r="K125" s="531"/>
      <c r="L125" s="531"/>
      <c r="M125" s="531"/>
      <c r="N125" s="502"/>
    </row>
    <row r="126" spans="1:14" s="25" customFormat="1" ht="21">
      <c r="A126" s="24"/>
      <c r="B126" s="162"/>
      <c r="C126" s="162"/>
      <c r="D126" s="150"/>
      <c r="E126" s="24"/>
      <c r="F126" s="531"/>
      <c r="G126" s="24"/>
      <c r="H126" s="531"/>
      <c r="I126" s="24"/>
      <c r="J126" s="502"/>
      <c r="K126" s="531"/>
      <c r="L126" s="531"/>
      <c r="M126" s="531"/>
      <c r="N126" s="502"/>
    </row>
    <row r="127" spans="1:14" s="25" customFormat="1" ht="21">
      <c r="A127" s="24"/>
      <c r="B127" s="162"/>
      <c r="C127" s="162"/>
      <c r="D127" s="150"/>
      <c r="E127" s="24"/>
      <c r="F127" s="531"/>
      <c r="G127" s="24"/>
      <c r="H127" s="531"/>
      <c r="I127" s="24"/>
      <c r="J127" s="502"/>
      <c r="K127" s="531"/>
      <c r="L127" s="531"/>
      <c r="M127" s="531"/>
      <c r="N127" s="502"/>
    </row>
    <row r="128" spans="1:14" s="25" customFormat="1" ht="21">
      <c r="A128" s="24"/>
      <c r="B128" s="162"/>
      <c r="C128" s="162"/>
      <c r="D128" s="150"/>
      <c r="E128" s="24"/>
      <c r="F128" s="531"/>
      <c r="G128" s="24"/>
      <c r="H128" s="531"/>
      <c r="I128" s="24"/>
      <c r="J128" s="502"/>
      <c r="K128" s="531"/>
      <c r="L128" s="531"/>
      <c r="M128" s="531"/>
      <c r="N128" s="502"/>
    </row>
    <row r="129" spans="1:14" s="25" customFormat="1" ht="21">
      <c r="A129" s="24"/>
      <c r="B129" s="162"/>
      <c r="C129" s="162"/>
      <c r="D129" s="150"/>
      <c r="E129" s="24"/>
      <c r="F129" s="531"/>
      <c r="G129" s="24"/>
      <c r="H129" s="531"/>
      <c r="I129" s="24"/>
      <c r="J129" s="502"/>
      <c r="K129" s="531"/>
      <c r="L129" s="531"/>
      <c r="M129" s="531"/>
      <c r="N129" s="502"/>
    </row>
    <row r="130" spans="1:14" s="25" customFormat="1" ht="21">
      <c r="A130" s="24"/>
      <c r="B130" s="162"/>
      <c r="C130" s="162"/>
      <c r="D130" s="150"/>
      <c r="E130" s="24"/>
      <c r="F130" s="531"/>
      <c r="G130" s="24"/>
      <c r="H130" s="531"/>
      <c r="I130" s="24"/>
      <c r="J130" s="502"/>
      <c r="K130" s="531"/>
      <c r="L130" s="531"/>
      <c r="M130" s="531"/>
      <c r="N130" s="502"/>
    </row>
    <row r="131" spans="1:14" s="25" customFormat="1" ht="21">
      <c r="A131" s="24"/>
      <c r="B131" s="162"/>
      <c r="C131" s="162"/>
      <c r="D131" s="150"/>
      <c r="E131" s="24"/>
      <c r="F131" s="531"/>
      <c r="G131" s="24"/>
      <c r="H131" s="531"/>
      <c r="I131" s="24"/>
      <c r="J131" s="502"/>
      <c r="K131" s="531"/>
      <c r="L131" s="531"/>
      <c r="M131" s="531"/>
      <c r="N131" s="502"/>
    </row>
    <row r="132" spans="1:14" s="25" customFormat="1" ht="21">
      <c r="A132" s="24"/>
      <c r="B132" s="162"/>
      <c r="C132" s="162"/>
      <c r="D132" s="150"/>
      <c r="E132" s="24"/>
      <c r="F132" s="531"/>
      <c r="G132" s="24"/>
      <c r="H132" s="531"/>
      <c r="I132" s="24"/>
      <c r="J132" s="502"/>
      <c r="K132" s="531"/>
      <c r="L132" s="531"/>
      <c r="M132" s="531"/>
      <c r="N132" s="502"/>
    </row>
    <row r="133" spans="1:14" s="25" customFormat="1" ht="21">
      <c r="A133" s="24"/>
      <c r="B133" s="162"/>
      <c r="C133" s="162"/>
      <c r="D133" s="150"/>
      <c r="E133" s="24"/>
      <c r="F133" s="531"/>
      <c r="G133" s="24"/>
      <c r="H133" s="531"/>
      <c r="I133" s="24"/>
      <c r="J133" s="502"/>
      <c r="K133" s="531"/>
      <c r="L133" s="531"/>
      <c r="M133" s="531"/>
      <c r="N133" s="502"/>
    </row>
    <row r="134" spans="1:14" s="25" customFormat="1" ht="21">
      <c r="A134" s="24"/>
      <c r="B134" s="162"/>
      <c r="C134" s="162"/>
      <c r="D134" s="150"/>
      <c r="E134" s="24"/>
      <c r="F134" s="531"/>
      <c r="G134" s="24"/>
      <c r="H134" s="531"/>
      <c r="I134" s="24"/>
      <c r="J134" s="502"/>
      <c r="K134" s="531"/>
      <c r="L134" s="531"/>
      <c r="M134" s="531"/>
      <c r="N134" s="502"/>
    </row>
    <row r="135" spans="1:14" s="25" customFormat="1" ht="21">
      <c r="A135" s="24"/>
      <c r="B135" s="162"/>
      <c r="C135" s="162"/>
      <c r="D135" s="150"/>
      <c r="E135" s="24"/>
      <c r="F135" s="531"/>
      <c r="G135" s="24"/>
      <c r="H135" s="531"/>
      <c r="I135" s="24"/>
      <c r="J135" s="502"/>
      <c r="K135" s="531"/>
      <c r="L135" s="531"/>
      <c r="M135" s="531"/>
      <c r="N135" s="502"/>
    </row>
    <row r="136" spans="1:14" s="25" customFormat="1" ht="21">
      <c r="A136" s="24"/>
      <c r="B136" s="162"/>
      <c r="C136" s="162"/>
      <c r="D136" s="150"/>
      <c r="E136" s="24"/>
      <c r="F136" s="531"/>
      <c r="G136" s="24"/>
      <c r="H136" s="531"/>
      <c r="I136" s="24"/>
      <c r="J136" s="502"/>
      <c r="K136" s="531"/>
      <c r="L136" s="531"/>
      <c r="M136" s="531"/>
      <c r="N136" s="502"/>
    </row>
    <row r="137" spans="1:14" s="25" customFormat="1" ht="21">
      <c r="A137" s="24"/>
      <c r="B137" s="162"/>
      <c r="C137" s="162"/>
      <c r="D137" s="150"/>
      <c r="E137" s="24"/>
      <c r="F137" s="531"/>
      <c r="G137" s="24"/>
      <c r="H137" s="531"/>
      <c r="I137" s="24"/>
      <c r="J137" s="502"/>
      <c r="K137" s="531"/>
      <c r="L137" s="531"/>
      <c r="M137" s="531"/>
      <c r="N137" s="502"/>
    </row>
    <row r="138" spans="1:14" s="25" customFormat="1" ht="21">
      <c r="A138" s="24"/>
      <c r="B138" s="162"/>
      <c r="C138" s="162"/>
      <c r="D138" s="150"/>
      <c r="E138" s="24"/>
      <c r="F138" s="531"/>
      <c r="G138" s="24"/>
      <c r="H138" s="531"/>
      <c r="I138" s="24"/>
      <c r="J138" s="502"/>
      <c r="K138" s="531"/>
      <c r="L138" s="531"/>
      <c r="M138" s="531"/>
      <c r="N138" s="502"/>
    </row>
    <row r="139" spans="1:14" s="25" customFormat="1" ht="21">
      <c r="A139" s="24"/>
      <c r="B139" s="162"/>
      <c r="C139" s="162"/>
      <c r="D139" s="150"/>
      <c r="E139" s="24"/>
      <c r="F139" s="531"/>
      <c r="G139" s="24"/>
      <c r="H139" s="531"/>
      <c r="I139" s="24"/>
      <c r="J139" s="502"/>
      <c r="K139" s="531"/>
      <c r="L139" s="531"/>
      <c r="M139" s="531"/>
      <c r="N139" s="502"/>
    </row>
    <row r="140" spans="1:14" s="25" customFormat="1" ht="21">
      <c r="A140" s="24"/>
      <c r="B140" s="162"/>
      <c r="C140" s="162"/>
      <c r="D140" s="150"/>
      <c r="E140" s="24"/>
      <c r="F140" s="531"/>
      <c r="G140" s="24"/>
      <c r="H140" s="531"/>
      <c r="I140" s="24"/>
      <c r="J140" s="502"/>
      <c r="K140" s="531"/>
      <c r="L140" s="531"/>
      <c r="M140" s="531"/>
      <c r="N140" s="502"/>
    </row>
    <row r="141" spans="1:14" s="25" customFormat="1" ht="21">
      <c r="A141" s="24"/>
      <c r="B141" s="162"/>
      <c r="C141" s="162"/>
      <c r="D141" s="150"/>
      <c r="E141" s="24"/>
      <c r="F141" s="531"/>
      <c r="G141" s="24"/>
      <c r="H141" s="531"/>
      <c r="I141" s="24"/>
      <c r="J141" s="502"/>
      <c r="K141" s="531"/>
      <c r="L141" s="531"/>
      <c r="M141" s="531"/>
      <c r="N141" s="502"/>
    </row>
    <row r="142" spans="1:14" s="25" customFormat="1" ht="21">
      <c r="A142" s="24"/>
      <c r="B142" s="162"/>
      <c r="C142" s="162"/>
      <c r="D142" s="150"/>
      <c r="E142" s="24"/>
      <c r="F142" s="531"/>
      <c r="G142" s="24"/>
      <c r="H142" s="531"/>
      <c r="I142" s="24"/>
      <c r="J142" s="502"/>
      <c r="K142" s="531"/>
      <c r="L142" s="531"/>
      <c r="M142" s="531"/>
      <c r="N142" s="502"/>
    </row>
    <row r="143" spans="1:14" s="25" customFormat="1" ht="21">
      <c r="A143" s="24"/>
      <c r="B143" s="162"/>
      <c r="C143" s="162"/>
      <c r="D143" s="150"/>
      <c r="E143" s="24"/>
      <c r="F143" s="531"/>
      <c r="G143" s="24"/>
      <c r="H143" s="531"/>
      <c r="I143" s="24"/>
      <c r="J143" s="502"/>
      <c r="K143" s="531"/>
      <c r="L143" s="531"/>
      <c r="M143" s="531"/>
      <c r="N143" s="502"/>
    </row>
    <row r="144" spans="1:14" s="25" customFormat="1" ht="21">
      <c r="A144" s="24"/>
      <c r="B144" s="162"/>
      <c r="C144" s="162"/>
      <c r="D144" s="150"/>
      <c r="E144" s="24"/>
      <c r="F144" s="531"/>
      <c r="G144" s="24"/>
      <c r="H144" s="531"/>
      <c r="I144" s="24"/>
      <c r="J144" s="502"/>
      <c r="K144" s="531"/>
      <c r="L144" s="531"/>
      <c r="M144" s="531"/>
      <c r="N144" s="502"/>
    </row>
    <row r="145" spans="1:14" s="25" customFormat="1" ht="21">
      <c r="A145" s="24"/>
      <c r="B145" s="162"/>
      <c r="C145" s="162"/>
      <c r="D145" s="150"/>
      <c r="E145" s="24"/>
      <c r="F145" s="531"/>
      <c r="G145" s="24"/>
      <c r="H145" s="531"/>
      <c r="I145" s="24"/>
      <c r="J145" s="502"/>
      <c r="K145" s="531"/>
      <c r="L145" s="531"/>
      <c r="M145" s="531"/>
      <c r="N145" s="502"/>
    </row>
    <row r="146" spans="1:14" s="25" customFormat="1" ht="21">
      <c r="A146" s="24"/>
      <c r="B146" s="162"/>
      <c r="C146" s="162"/>
      <c r="D146" s="150"/>
      <c r="E146" s="24"/>
      <c r="F146" s="531"/>
      <c r="G146" s="24"/>
      <c r="H146" s="531"/>
      <c r="I146" s="24"/>
      <c r="J146" s="502"/>
      <c r="K146" s="531"/>
      <c r="L146" s="531"/>
      <c r="M146" s="531"/>
      <c r="N146" s="502"/>
    </row>
    <row r="147" spans="1:14" s="25" customFormat="1" ht="21">
      <c r="A147" s="24"/>
      <c r="B147" s="162"/>
      <c r="C147" s="162"/>
      <c r="D147" s="150"/>
      <c r="E147" s="24"/>
      <c r="F147" s="531"/>
      <c r="G147" s="24"/>
      <c r="H147" s="531"/>
      <c r="I147" s="24"/>
      <c r="J147" s="502"/>
      <c r="K147" s="531"/>
      <c r="L147" s="531"/>
      <c r="M147" s="531"/>
      <c r="N147" s="502"/>
    </row>
    <row r="148" spans="1:14" s="25" customFormat="1" ht="21">
      <c r="A148" s="24"/>
      <c r="B148" s="162"/>
      <c r="C148" s="162"/>
      <c r="D148" s="150"/>
      <c r="E148" s="24"/>
      <c r="F148" s="531"/>
      <c r="G148" s="24"/>
      <c r="H148" s="531"/>
      <c r="I148" s="24"/>
      <c r="J148" s="502"/>
      <c r="K148" s="531"/>
      <c r="L148" s="531"/>
      <c r="M148" s="531"/>
      <c r="N148" s="502"/>
    </row>
    <row r="149" spans="1:14" s="25" customFormat="1" ht="21">
      <c r="A149" s="24"/>
      <c r="B149" s="162"/>
      <c r="C149" s="162"/>
      <c r="D149" s="150"/>
      <c r="E149" s="24"/>
      <c r="F149" s="531"/>
      <c r="G149" s="24"/>
      <c r="H149" s="531"/>
      <c r="I149" s="24"/>
      <c r="J149" s="502"/>
      <c r="K149" s="531"/>
      <c r="L149" s="531"/>
      <c r="M149" s="531"/>
      <c r="N149" s="502"/>
    </row>
    <row r="150" spans="1:14" s="25" customFormat="1" ht="21">
      <c r="A150" s="24"/>
      <c r="B150" s="162"/>
      <c r="C150" s="162"/>
      <c r="D150" s="150"/>
      <c r="E150" s="24"/>
      <c r="F150" s="531"/>
      <c r="G150" s="24"/>
      <c r="H150" s="531"/>
      <c r="I150" s="24"/>
      <c r="J150" s="502"/>
      <c r="K150" s="531"/>
      <c r="L150" s="531"/>
      <c r="M150" s="531"/>
      <c r="N150" s="502"/>
    </row>
    <row r="151" spans="1:14" s="25" customFormat="1" ht="21">
      <c r="A151" s="24"/>
      <c r="B151" s="162"/>
      <c r="C151" s="162"/>
      <c r="D151" s="150"/>
      <c r="E151" s="24"/>
      <c r="F151" s="531"/>
      <c r="G151" s="24"/>
      <c r="H151" s="531"/>
      <c r="I151" s="24"/>
      <c r="J151" s="502"/>
      <c r="K151" s="531"/>
      <c r="L151" s="531"/>
      <c r="M151" s="531"/>
      <c r="N151" s="502"/>
    </row>
    <row r="152" spans="1:14" s="25" customFormat="1" ht="21">
      <c r="A152" s="24"/>
      <c r="B152" s="162"/>
      <c r="C152" s="162"/>
      <c r="D152" s="150"/>
      <c r="E152" s="24"/>
      <c r="F152" s="531"/>
      <c r="G152" s="24"/>
      <c r="H152" s="531"/>
      <c r="I152" s="24"/>
      <c r="J152" s="502"/>
      <c r="K152" s="531"/>
      <c r="L152" s="531"/>
      <c r="M152" s="531"/>
      <c r="N152" s="502"/>
    </row>
    <row r="153" spans="1:14" s="25" customFormat="1" ht="21">
      <c r="A153" s="24"/>
      <c r="B153" s="162"/>
      <c r="C153" s="162"/>
      <c r="D153" s="150"/>
      <c r="E153" s="24"/>
      <c r="F153" s="531"/>
      <c r="G153" s="24"/>
      <c r="H153" s="531"/>
      <c r="I153" s="24"/>
      <c r="J153" s="502"/>
      <c r="K153" s="531"/>
      <c r="L153" s="531"/>
      <c r="M153" s="531"/>
      <c r="N153" s="502"/>
    </row>
    <row r="154" spans="1:14" s="25" customFormat="1" ht="21">
      <c r="A154" s="24"/>
      <c r="B154" s="162"/>
      <c r="C154" s="162"/>
      <c r="D154" s="150"/>
      <c r="E154" s="24"/>
      <c r="F154" s="531"/>
      <c r="G154" s="24"/>
      <c r="H154" s="531"/>
      <c r="I154" s="24"/>
      <c r="J154" s="502"/>
      <c r="K154" s="531"/>
      <c r="L154" s="531"/>
      <c r="M154" s="531"/>
      <c r="N154" s="502"/>
    </row>
    <row r="155" spans="1:14" s="25" customFormat="1" ht="21">
      <c r="A155" s="24"/>
      <c r="B155" s="162"/>
      <c r="C155" s="162"/>
      <c r="D155" s="150"/>
      <c r="E155" s="24"/>
      <c r="F155" s="531"/>
      <c r="G155" s="24"/>
      <c r="H155" s="531"/>
      <c r="I155" s="24"/>
      <c r="J155" s="502"/>
      <c r="K155" s="531"/>
      <c r="L155" s="531"/>
      <c r="M155" s="531"/>
      <c r="N155" s="502"/>
    </row>
    <row r="156" spans="1:14" s="25" customFormat="1" ht="21">
      <c r="A156" s="24"/>
      <c r="B156" s="162"/>
      <c r="C156" s="162"/>
      <c r="D156" s="150"/>
      <c r="E156" s="24"/>
      <c r="F156" s="531"/>
      <c r="G156" s="24"/>
      <c r="H156" s="531"/>
      <c r="I156" s="24"/>
      <c r="J156" s="502"/>
      <c r="K156" s="531"/>
      <c r="L156" s="531"/>
      <c r="M156" s="531"/>
      <c r="N156" s="502"/>
    </row>
    <row r="157" spans="1:14" s="25" customFormat="1" ht="21">
      <c r="A157" s="24"/>
      <c r="B157" s="162"/>
      <c r="C157" s="162"/>
      <c r="D157" s="150"/>
      <c r="E157" s="24"/>
      <c r="F157" s="531"/>
      <c r="G157" s="24"/>
      <c r="H157" s="531"/>
      <c r="I157" s="24"/>
      <c r="J157" s="502"/>
      <c r="K157" s="531"/>
      <c r="L157" s="531"/>
      <c r="M157" s="531"/>
      <c r="N157" s="502"/>
    </row>
    <row r="158" spans="1:14" s="25" customFormat="1" ht="21">
      <c r="A158" s="24"/>
      <c r="B158" s="162"/>
      <c r="C158" s="162"/>
      <c r="D158" s="150"/>
      <c r="E158" s="24"/>
      <c r="F158" s="531"/>
      <c r="G158" s="24"/>
      <c r="H158" s="531"/>
      <c r="I158" s="24"/>
      <c r="J158" s="502"/>
      <c r="K158" s="531"/>
      <c r="L158" s="531"/>
      <c r="M158" s="531"/>
      <c r="N158" s="502"/>
    </row>
    <row r="159" spans="1:14" s="25" customFormat="1" ht="21">
      <c r="A159" s="24"/>
      <c r="B159" s="162"/>
      <c r="C159" s="162"/>
      <c r="D159" s="150"/>
      <c r="E159" s="24"/>
      <c r="F159" s="531"/>
      <c r="G159" s="24"/>
      <c r="H159" s="531"/>
      <c r="I159" s="24"/>
      <c r="J159" s="502"/>
      <c r="K159" s="531"/>
      <c r="L159" s="531"/>
      <c r="M159" s="531"/>
      <c r="N159" s="502"/>
    </row>
    <row r="160" spans="1:14" s="25" customFormat="1" ht="21">
      <c r="A160" s="24"/>
      <c r="B160" s="162"/>
      <c r="C160" s="162"/>
      <c r="D160" s="150"/>
      <c r="E160" s="24"/>
      <c r="F160" s="531"/>
      <c r="G160" s="24"/>
      <c r="H160" s="531"/>
      <c r="I160" s="24"/>
      <c r="J160" s="502"/>
      <c r="K160" s="531"/>
      <c r="L160" s="531"/>
      <c r="M160" s="531"/>
      <c r="N160" s="502"/>
    </row>
    <row r="161" spans="1:14" s="25" customFormat="1" ht="21">
      <c r="A161" s="24"/>
      <c r="B161" s="162"/>
      <c r="C161" s="162"/>
      <c r="D161" s="150"/>
      <c r="E161" s="24"/>
      <c r="F161" s="531"/>
      <c r="G161" s="24"/>
      <c r="H161" s="531"/>
      <c r="I161" s="24"/>
      <c r="J161" s="502"/>
      <c r="K161" s="531"/>
      <c r="L161" s="531"/>
      <c r="M161" s="531"/>
      <c r="N161" s="502"/>
    </row>
    <row r="162" spans="1:14" s="25" customFormat="1" ht="21">
      <c r="A162" s="24"/>
      <c r="B162" s="162"/>
      <c r="C162" s="162"/>
      <c r="D162" s="150"/>
      <c r="E162" s="24"/>
      <c r="F162" s="531"/>
      <c r="G162" s="24"/>
      <c r="H162" s="531"/>
      <c r="I162" s="24"/>
      <c r="J162" s="502"/>
      <c r="K162" s="531"/>
      <c r="L162" s="531"/>
      <c r="M162" s="531"/>
      <c r="N162" s="502"/>
    </row>
    <row r="163" spans="1:14" s="25" customFormat="1" ht="21">
      <c r="A163" s="24"/>
      <c r="B163" s="162"/>
      <c r="C163" s="162"/>
      <c r="D163" s="150"/>
      <c r="E163" s="24"/>
      <c r="F163" s="531"/>
      <c r="G163" s="24"/>
      <c r="H163" s="531"/>
      <c r="I163" s="24"/>
      <c r="J163" s="502"/>
      <c r="K163" s="531"/>
      <c r="L163" s="531"/>
      <c r="M163" s="531"/>
      <c r="N163" s="502"/>
    </row>
    <row r="164" spans="1:14" s="25" customFormat="1" ht="21">
      <c r="A164" s="24"/>
      <c r="B164" s="162"/>
      <c r="C164" s="162"/>
      <c r="D164" s="150"/>
      <c r="E164" s="24"/>
      <c r="F164" s="531"/>
      <c r="G164" s="24"/>
      <c r="H164" s="531"/>
      <c r="I164" s="24"/>
      <c r="J164" s="502"/>
      <c r="K164" s="531"/>
      <c r="L164" s="531"/>
      <c r="M164" s="531"/>
      <c r="N164" s="502"/>
    </row>
    <row r="165" spans="1:14" s="25" customFormat="1" ht="21">
      <c r="A165" s="24"/>
      <c r="B165" s="162"/>
      <c r="C165" s="162"/>
      <c r="D165" s="150"/>
      <c r="E165" s="24"/>
      <c r="F165" s="531"/>
      <c r="G165" s="24"/>
      <c r="H165" s="531"/>
      <c r="I165" s="24"/>
      <c r="J165" s="502"/>
      <c r="K165" s="531"/>
      <c r="L165" s="531"/>
      <c r="M165" s="531"/>
      <c r="N165" s="502"/>
    </row>
    <row r="166" spans="1:14" s="25" customFormat="1" ht="21">
      <c r="A166" s="24"/>
      <c r="B166" s="162"/>
      <c r="C166" s="162"/>
      <c r="D166" s="150"/>
      <c r="E166" s="24"/>
      <c r="F166" s="531"/>
      <c r="G166" s="24"/>
      <c r="H166" s="531"/>
      <c r="I166" s="24"/>
      <c r="J166" s="502"/>
      <c r="K166" s="531"/>
      <c r="L166" s="531"/>
      <c r="M166" s="531"/>
      <c r="N166" s="502"/>
    </row>
    <row r="167" spans="1:14" s="25" customFormat="1" ht="21">
      <c r="A167" s="24"/>
      <c r="B167" s="162"/>
      <c r="C167" s="162"/>
      <c r="D167" s="150"/>
      <c r="E167" s="24"/>
      <c r="F167" s="531"/>
      <c r="G167" s="24"/>
      <c r="H167" s="531"/>
      <c r="I167" s="24"/>
      <c r="J167" s="502"/>
      <c r="K167" s="531"/>
      <c r="L167" s="531"/>
      <c r="M167" s="531"/>
      <c r="N167" s="502"/>
    </row>
    <row r="168" spans="1:14" s="25" customFormat="1" ht="21">
      <c r="A168" s="24"/>
      <c r="B168" s="162"/>
      <c r="C168" s="162"/>
      <c r="D168" s="150"/>
      <c r="E168" s="24"/>
      <c r="F168" s="531"/>
      <c r="G168" s="24"/>
      <c r="H168" s="531"/>
      <c r="I168" s="24"/>
      <c r="J168" s="502"/>
      <c r="K168" s="531"/>
      <c r="L168" s="531"/>
      <c r="M168" s="531"/>
      <c r="N168" s="502"/>
    </row>
    <row r="169" spans="1:14" s="25" customFormat="1" ht="21">
      <c r="A169" s="24"/>
      <c r="B169" s="162"/>
      <c r="C169" s="162"/>
      <c r="D169" s="150"/>
      <c r="E169" s="24"/>
      <c r="F169" s="531"/>
      <c r="G169" s="24"/>
      <c r="H169" s="531"/>
      <c r="I169" s="24"/>
      <c r="J169" s="502"/>
      <c r="K169" s="531"/>
      <c r="L169" s="531"/>
      <c r="M169" s="531"/>
      <c r="N169" s="502"/>
    </row>
    <row r="170" spans="1:14" s="25" customFormat="1" ht="21">
      <c r="A170" s="24"/>
      <c r="B170" s="162"/>
      <c r="C170" s="162"/>
      <c r="D170" s="150"/>
      <c r="E170" s="24"/>
      <c r="F170" s="531"/>
      <c r="G170" s="24"/>
      <c r="H170" s="531"/>
      <c r="I170" s="24"/>
      <c r="J170" s="502"/>
      <c r="K170" s="531"/>
      <c r="L170" s="531"/>
      <c r="M170" s="531"/>
      <c r="N170" s="502"/>
    </row>
    <row r="171" spans="1:14" s="25" customFormat="1" ht="21">
      <c r="A171" s="24"/>
      <c r="B171" s="162"/>
      <c r="C171" s="162"/>
      <c r="D171" s="150"/>
      <c r="E171" s="24"/>
      <c r="F171" s="531"/>
      <c r="G171" s="24"/>
      <c r="H171" s="531"/>
      <c r="I171" s="24"/>
      <c r="J171" s="502"/>
      <c r="K171" s="531"/>
      <c r="L171" s="531"/>
      <c r="M171" s="531"/>
      <c r="N171" s="502"/>
    </row>
    <row r="172" spans="1:14" s="25" customFormat="1" ht="21">
      <c r="A172" s="24"/>
      <c r="B172" s="162"/>
      <c r="C172" s="162"/>
      <c r="D172" s="150"/>
      <c r="E172" s="24"/>
      <c r="F172" s="531"/>
      <c r="G172" s="24"/>
      <c r="H172" s="531"/>
      <c r="I172" s="24"/>
      <c r="J172" s="502"/>
      <c r="K172" s="531"/>
      <c r="L172" s="531"/>
      <c r="M172" s="531"/>
      <c r="N172" s="502"/>
    </row>
    <row r="173" spans="1:14" s="25" customFormat="1" ht="21">
      <c r="A173" s="24"/>
      <c r="B173" s="162"/>
      <c r="C173" s="162"/>
      <c r="D173" s="150"/>
      <c r="E173" s="24"/>
      <c r="F173" s="531"/>
      <c r="G173" s="24"/>
      <c r="H173" s="531"/>
      <c r="I173" s="24"/>
      <c r="J173" s="502"/>
      <c r="K173" s="531"/>
      <c r="L173" s="531"/>
      <c r="M173" s="531"/>
      <c r="N173" s="502"/>
    </row>
    <row r="174" spans="1:14" s="25" customFormat="1" ht="21">
      <c r="A174" s="24"/>
      <c r="B174" s="162"/>
      <c r="C174" s="162"/>
      <c r="D174" s="150"/>
      <c r="E174" s="24"/>
      <c r="F174" s="531"/>
      <c r="G174" s="24"/>
      <c r="H174" s="531"/>
      <c r="I174" s="24"/>
      <c r="J174" s="502"/>
      <c r="K174" s="531"/>
      <c r="L174" s="531"/>
      <c r="M174" s="531"/>
      <c r="N174" s="502"/>
    </row>
    <row r="175" spans="1:14" s="25" customFormat="1" ht="21">
      <c r="A175" s="24"/>
      <c r="B175" s="162"/>
      <c r="C175" s="162"/>
      <c r="D175" s="150"/>
      <c r="E175" s="24"/>
      <c r="F175" s="531"/>
      <c r="G175" s="24"/>
      <c r="H175" s="531"/>
      <c r="I175" s="24"/>
      <c r="J175" s="502"/>
      <c r="K175" s="531"/>
      <c r="L175" s="531"/>
      <c r="M175" s="531"/>
      <c r="N175" s="502"/>
    </row>
    <row r="176" spans="1:14" s="25" customFormat="1" ht="21">
      <c r="A176" s="24"/>
      <c r="B176" s="162"/>
      <c r="C176" s="162"/>
      <c r="D176" s="150"/>
      <c r="E176" s="24"/>
      <c r="F176" s="531"/>
      <c r="G176" s="24"/>
      <c r="H176" s="531"/>
      <c r="I176" s="24"/>
      <c r="J176" s="502"/>
      <c r="K176" s="531"/>
      <c r="L176" s="531"/>
      <c r="M176" s="531"/>
      <c r="N176" s="502"/>
    </row>
    <row r="177" spans="1:14" s="25" customFormat="1" ht="21.75">
      <c r="A177" s="99"/>
      <c r="B177" s="163"/>
      <c r="C177" s="163"/>
      <c r="D177" s="151"/>
      <c r="E177" s="99"/>
      <c r="F177" s="521"/>
      <c r="G177" s="99"/>
      <c r="H177" s="521"/>
      <c r="I177" s="24"/>
      <c r="J177" s="502"/>
      <c r="K177" s="531"/>
      <c r="L177" s="531"/>
      <c r="M177" s="531"/>
      <c r="N177" s="502"/>
    </row>
    <row r="178" spans="1:14" s="25" customFormat="1" ht="21.75">
      <c r="A178" s="99"/>
      <c r="B178" s="163"/>
      <c r="C178" s="163"/>
      <c r="D178" s="151"/>
      <c r="E178" s="99"/>
      <c r="F178" s="521"/>
      <c r="G178" s="99"/>
      <c r="H178" s="521"/>
      <c r="I178" s="24"/>
      <c r="J178" s="502"/>
      <c r="K178" s="531"/>
      <c r="L178" s="531"/>
      <c r="M178" s="531"/>
      <c r="N178" s="502"/>
    </row>
    <row r="179" spans="1:14" s="25" customFormat="1" ht="21.75">
      <c r="A179" s="99"/>
      <c r="B179" s="163"/>
      <c r="C179" s="163"/>
      <c r="D179" s="151"/>
      <c r="E179" s="99"/>
      <c r="F179" s="521"/>
      <c r="G179" s="99"/>
      <c r="H179" s="521"/>
      <c r="I179" s="24"/>
      <c r="J179" s="502"/>
      <c r="K179" s="531"/>
      <c r="L179" s="531"/>
      <c r="M179" s="531"/>
      <c r="N179" s="502"/>
    </row>
    <row r="180" spans="1:14" s="25" customFormat="1" ht="21.75">
      <c r="A180" s="99"/>
      <c r="B180" s="163"/>
      <c r="C180" s="163"/>
      <c r="D180" s="151"/>
      <c r="E180" s="99"/>
      <c r="F180" s="521"/>
      <c r="G180" s="99"/>
      <c r="H180" s="521"/>
      <c r="I180" s="24"/>
      <c r="J180" s="502"/>
      <c r="K180" s="531"/>
      <c r="L180" s="531"/>
      <c r="M180" s="531"/>
      <c r="N180" s="502"/>
    </row>
    <row r="181" spans="1:14" s="25" customFormat="1" ht="21.75">
      <c r="A181" s="99"/>
      <c r="B181" s="163"/>
      <c r="C181" s="163"/>
      <c r="D181" s="151"/>
      <c r="E181" s="99"/>
      <c r="F181" s="521"/>
      <c r="G181" s="99"/>
      <c r="H181" s="521"/>
      <c r="I181" s="24"/>
      <c r="J181" s="502"/>
      <c r="K181" s="531"/>
      <c r="L181" s="531"/>
      <c r="M181" s="531"/>
      <c r="N181" s="502"/>
    </row>
    <row r="182" spans="1:14" s="25" customFormat="1" ht="21.75">
      <c r="A182" s="99"/>
      <c r="B182" s="163"/>
      <c r="C182" s="163"/>
      <c r="D182" s="151"/>
      <c r="E182" s="99"/>
      <c r="F182" s="521"/>
      <c r="G182" s="99"/>
      <c r="H182" s="521"/>
      <c r="I182" s="24"/>
      <c r="J182" s="502"/>
      <c r="K182" s="531"/>
      <c r="L182" s="531"/>
      <c r="M182" s="531"/>
      <c r="N182" s="502"/>
    </row>
    <row r="183" spans="1:14" s="25" customFormat="1" ht="21.75">
      <c r="A183" s="99"/>
      <c r="B183" s="163"/>
      <c r="C183" s="163"/>
      <c r="D183" s="151"/>
      <c r="E183" s="99"/>
      <c r="F183" s="521"/>
      <c r="G183" s="99"/>
      <c r="H183" s="521"/>
      <c r="I183" s="24"/>
      <c r="J183" s="502"/>
      <c r="K183" s="531"/>
      <c r="L183" s="531"/>
      <c r="M183" s="531"/>
      <c r="N183" s="502"/>
    </row>
    <row r="184" spans="1:14" s="25" customFormat="1" ht="21.75">
      <c r="A184" s="99"/>
      <c r="B184" s="163"/>
      <c r="C184" s="163"/>
      <c r="D184" s="151"/>
      <c r="E184" s="99"/>
      <c r="F184" s="521"/>
      <c r="G184" s="99"/>
      <c r="H184" s="521"/>
      <c r="I184" s="24"/>
      <c r="J184" s="502"/>
      <c r="K184" s="531"/>
      <c r="L184" s="531"/>
      <c r="M184" s="531"/>
      <c r="N184" s="502"/>
    </row>
    <row r="185" spans="1:14" s="25" customFormat="1" ht="21.75">
      <c r="A185" s="99"/>
      <c r="B185" s="163"/>
      <c r="C185" s="163"/>
      <c r="D185" s="151"/>
      <c r="E185" s="99"/>
      <c r="F185" s="521"/>
      <c r="G185" s="99"/>
      <c r="H185" s="521"/>
      <c r="I185" s="24"/>
      <c r="J185" s="502"/>
      <c r="K185" s="531"/>
      <c r="L185" s="531"/>
      <c r="M185" s="531"/>
      <c r="N185" s="502"/>
    </row>
    <row r="186" spans="1:14" s="25" customFormat="1" ht="21.75">
      <c r="A186" s="99"/>
      <c r="B186" s="163"/>
      <c r="C186" s="163"/>
      <c r="D186" s="151"/>
      <c r="E186" s="99"/>
      <c r="F186" s="521"/>
      <c r="G186" s="99"/>
      <c r="H186" s="521"/>
      <c r="I186" s="24"/>
      <c r="J186" s="502"/>
      <c r="K186" s="531"/>
      <c r="L186" s="531"/>
      <c r="M186" s="531"/>
      <c r="N186" s="502"/>
    </row>
    <row r="187" spans="1:14" s="25" customFormat="1" ht="21.75">
      <c r="A187" s="99"/>
      <c r="B187" s="163"/>
      <c r="C187" s="163"/>
      <c r="D187" s="151"/>
      <c r="E187" s="99"/>
      <c r="F187" s="521"/>
      <c r="G187" s="99"/>
      <c r="H187" s="521"/>
      <c r="I187" s="24"/>
      <c r="J187" s="502"/>
      <c r="K187" s="531"/>
      <c r="L187" s="531"/>
      <c r="M187" s="531"/>
      <c r="N187" s="502"/>
    </row>
    <row r="188" spans="1:14" s="25" customFormat="1" ht="21.75">
      <c r="A188" s="99"/>
      <c r="B188" s="163"/>
      <c r="C188" s="163"/>
      <c r="D188" s="151"/>
      <c r="E188" s="99"/>
      <c r="F188" s="521"/>
      <c r="G188" s="99"/>
      <c r="H188" s="521"/>
      <c r="I188" s="24"/>
      <c r="J188" s="502"/>
      <c r="K188" s="531"/>
      <c r="L188" s="531"/>
      <c r="M188" s="531"/>
      <c r="N188" s="502"/>
    </row>
    <row r="189" spans="1:14" s="25" customFormat="1" ht="21.75">
      <c r="A189" s="99"/>
      <c r="B189" s="163"/>
      <c r="C189" s="163"/>
      <c r="D189" s="151"/>
      <c r="E189" s="99"/>
      <c r="F189" s="521"/>
      <c r="G189" s="99"/>
      <c r="H189" s="521"/>
      <c r="I189" s="24"/>
      <c r="J189" s="502"/>
      <c r="K189" s="531"/>
      <c r="L189" s="531"/>
      <c r="M189" s="531"/>
      <c r="N189" s="502"/>
    </row>
    <row r="190" spans="1:14" s="25" customFormat="1" ht="21.75">
      <c r="A190" s="99"/>
      <c r="B190" s="163"/>
      <c r="C190" s="163"/>
      <c r="D190" s="151"/>
      <c r="E190" s="99"/>
      <c r="F190" s="521"/>
      <c r="G190" s="99"/>
      <c r="H190" s="521"/>
      <c r="I190" s="24"/>
      <c r="J190" s="502"/>
      <c r="K190" s="531"/>
      <c r="L190" s="531"/>
      <c r="M190" s="531"/>
      <c r="N190" s="502"/>
    </row>
    <row r="191" spans="1:14" s="25" customFormat="1" ht="21.75">
      <c r="A191" s="99"/>
      <c r="B191" s="163"/>
      <c r="C191" s="163"/>
      <c r="D191" s="151"/>
      <c r="E191" s="99"/>
      <c r="F191" s="521"/>
      <c r="G191" s="99"/>
      <c r="H191" s="521"/>
      <c r="I191" s="24"/>
      <c r="J191" s="502"/>
      <c r="K191" s="531"/>
      <c r="L191" s="531"/>
      <c r="M191" s="531"/>
      <c r="N191" s="502"/>
    </row>
    <row r="192" spans="1:14" s="25" customFormat="1" ht="21.75">
      <c r="A192" s="99"/>
      <c r="B192" s="163"/>
      <c r="C192" s="163"/>
      <c r="D192" s="151"/>
      <c r="E192" s="99"/>
      <c r="F192" s="521"/>
      <c r="G192" s="99"/>
      <c r="H192" s="521"/>
      <c r="I192" s="24"/>
      <c r="J192" s="502"/>
      <c r="K192" s="531"/>
      <c r="L192" s="531"/>
      <c r="M192" s="531"/>
      <c r="N192" s="502"/>
    </row>
    <row r="193" spans="1:14" s="25" customFormat="1" ht="21.75">
      <c r="A193" s="99"/>
      <c r="B193" s="163"/>
      <c r="C193" s="163"/>
      <c r="D193" s="151"/>
      <c r="E193" s="99"/>
      <c r="F193" s="521"/>
      <c r="G193" s="99"/>
      <c r="H193" s="521"/>
      <c r="I193" s="24"/>
      <c r="J193" s="502"/>
      <c r="K193" s="531"/>
      <c r="L193" s="531"/>
      <c r="M193" s="531"/>
      <c r="N193" s="502"/>
    </row>
    <row r="194" spans="1:14" s="25" customFormat="1" ht="21.75">
      <c r="A194" s="99"/>
      <c r="B194" s="163"/>
      <c r="C194" s="163"/>
      <c r="D194" s="151"/>
      <c r="E194" s="99"/>
      <c r="F194" s="521"/>
      <c r="G194" s="99"/>
      <c r="H194" s="521"/>
      <c r="I194" s="24"/>
      <c r="J194" s="502"/>
      <c r="K194" s="531"/>
      <c r="L194" s="531"/>
      <c r="M194" s="531"/>
      <c r="N194" s="502"/>
    </row>
    <row r="195" spans="1:14" s="25" customFormat="1" ht="21.75">
      <c r="A195" s="99"/>
      <c r="B195" s="163"/>
      <c r="C195" s="163"/>
      <c r="D195" s="151"/>
      <c r="E195" s="99"/>
      <c r="F195" s="521"/>
      <c r="G195" s="99"/>
      <c r="H195" s="521"/>
      <c r="I195" s="24"/>
      <c r="J195" s="502"/>
      <c r="K195" s="531"/>
      <c r="L195" s="531"/>
      <c r="M195" s="531"/>
      <c r="N195" s="502"/>
    </row>
    <row r="196" spans="1:14" s="25" customFormat="1" ht="21.75">
      <c r="A196" s="99"/>
      <c r="B196" s="163"/>
      <c r="C196" s="163"/>
      <c r="D196" s="151"/>
      <c r="E196" s="99"/>
      <c r="F196" s="521"/>
      <c r="G196" s="99"/>
      <c r="H196" s="521"/>
      <c r="I196" s="24"/>
      <c r="J196" s="502"/>
      <c r="K196" s="531"/>
      <c r="L196" s="531"/>
      <c r="M196" s="531"/>
      <c r="N196" s="502"/>
    </row>
    <row r="197" spans="1:14" s="25" customFormat="1" ht="21.75">
      <c r="A197" s="99"/>
      <c r="B197" s="163"/>
      <c r="C197" s="163"/>
      <c r="D197" s="151"/>
      <c r="E197" s="99"/>
      <c r="F197" s="521"/>
      <c r="G197" s="99"/>
      <c r="H197" s="521"/>
      <c r="I197" s="24"/>
      <c r="J197" s="502"/>
      <c r="K197" s="531"/>
      <c r="L197" s="531"/>
      <c r="M197" s="531"/>
      <c r="N197" s="502"/>
    </row>
    <row r="198" spans="1:14" s="25" customFormat="1" ht="21.75">
      <c r="A198" s="99"/>
      <c r="B198" s="163"/>
      <c r="C198" s="163"/>
      <c r="D198" s="151"/>
      <c r="E198" s="99"/>
      <c r="F198" s="521"/>
      <c r="G198" s="99"/>
      <c r="H198" s="521"/>
      <c r="I198" s="24"/>
      <c r="J198" s="502"/>
      <c r="K198" s="531"/>
      <c r="L198" s="531"/>
      <c r="M198" s="531"/>
      <c r="N198" s="502"/>
    </row>
    <row r="199" spans="1:14" s="25" customFormat="1" ht="21.75">
      <c r="A199" s="99"/>
      <c r="B199" s="163"/>
      <c r="C199" s="163"/>
      <c r="D199" s="151"/>
      <c r="E199" s="99"/>
      <c r="F199" s="521"/>
      <c r="G199" s="99"/>
      <c r="H199" s="521"/>
      <c r="I199" s="24"/>
      <c r="J199" s="502"/>
      <c r="K199" s="531"/>
      <c r="L199" s="531"/>
      <c r="M199" s="531"/>
      <c r="N199" s="502"/>
    </row>
    <row r="200" spans="1:14" s="25" customFormat="1" ht="21.75">
      <c r="A200" s="99"/>
      <c r="B200" s="163"/>
      <c r="C200" s="163"/>
      <c r="D200" s="151"/>
      <c r="E200" s="99"/>
      <c r="F200" s="521"/>
      <c r="G200" s="99"/>
      <c r="H200" s="521"/>
      <c r="I200" s="24"/>
      <c r="J200" s="502"/>
      <c r="K200" s="531"/>
      <c r="L200" s="531"/>
      <c r="M200" s="531"/>
      <c r="N200" s="502"/>
    </row>
    <row r="201" spans="1:14" s="25" customFormat="1" ht="21.75">
      <c r="A201" s="99"/>
      <c r="B201" s="163"/>
      <c r="C201" s="163"/>
      <c r="D201" s="151"/>
      <c r="E201" s="99"/>
      <c r="F201" s="521"/>
      <c r="G201" s="99"/>
      <c r="H201" s="521"/>
      <c r="I201" s="24"/>
      <c r="J201" s="502"/>
      <c r="K201" s="531"/>
      <c r="L201" s="531"/>
      <c r="M201" s="531"/>
      <c r="N201" s="502"/>
    </row>
    <row r="202" spans="1:14" s="25" customFormat="1" ht="21.75">
      <c r="A202" s="99"/>
      <c r="B202" s="163"/>
      <c r="C202" s="163"/>
      <c r="D202" s="151"/>
      <c r="E202" s="99"/>
      <c r="F202" s="521"/>
      <c r="G202" s="99"/>
      <c r="H202" s="521"/>
      <c r="I202" s="24"/>
      <c r="J202" s="502"/>
      <c r="K202" s="531"/>
      <c r="L202" s="531"/>
      <c r="M202" s="531"/>
      <c r="N202" s="502"/>
    </row>
    <row r="203" spans="1:14" s="25" customFormat="1" ht="21.75">
      <c r="A203" s="99"/>
      <c r="B203" s="163"/>
      <c r="C203" s="163"/>
      <c r="D203" s="151"/>
      <c r="E203" s="99"/>
      <c r="F203" s="521"/>
      <c r="G203" s="99"/>
      <c r="H203" s="521"/>
      <c r="I203" s="24"/>
      <c r="J203" s="502"/>
      <c r="K203" s="531"/>
      <c r="L203" s="531"/>
      <c r="M203" s="531"/>
      <c r="N203" s="502"/>
    </row>
    <row r="204" spans="1:14" s="25" customFormat="1" ht="21.75">
      <c r="A204" s="99"/>
      <c r="B204" s="163"/>
      <c r="C204" s="163"/>
      <c r="D204" s="151"/>
      <c r="E204" s="99"/>
      <c r="F204" s="521"/>
      <c r="G204" s="99"/>
      <c r="H204" s="521"/>
      <c r="I204" s="24"/>
      <c r="J204" s="502"/>
      <c r="K204" s="531"/>
      <c r="L204" s="531"/>
      <c r="M204" s="531"/>
      <c r="N204" s="502"/>
    </row>
    <row r="205" spans="1:14" s="25" customFormat="1" ht="21.75">
      <c r="A205" s="99"/>
      <c r="B205" s="163"/>
      <c r="C205" s="163"/>
      <c r="D205" s="151"/>
      <c r="E205" s="99"/>
      <c r="F205" s="521"/>
      <c r="G205" s="99"/>
      <c r="H205" s="521"/>
      <c r="I205" s="24"/>
      <c r="J205" s="502"/>
      <c r="K205" s="531"/>
      <c r="L205" s="531"/>
      <c r="M205" s="531"/>
      <c r="N205" s="502"/>
    </row>
    <row r="206" spans="1:14" s="25" customFormat="1" ht="21.75">
      <c r="A206" s="99"/>
      <c r="B206" s="163"/>
      <c r="C206" s="163"/>
      <c r="D206" s="151"/>
      <c r="E206" s="99"/>
      <c r="F206" s="521"/>
      <c r="G206" s="99"/>
      <c r="H206" s="521"/>
      <c r="I206" s="24"/>
      <c r="J206" s="502"/>
      <c r="K206" s="531"/>
      <c r="L206" s="531"/>
      <c r="M206" s="531"/>
      <c r="N206" s="502"/>
    </row>
    <row r="207" spans="1:14" s="25" customFormat="1" ht="21.75">
      <c r="A207" s="99"/>
      <c r="B207" s="163"/>
      <c r="C207" s="163"/>
      <c r="D207" s="151"/>
      <c r="E207" s="99"/>
      <c r="F207" s="521"/>
      <c r="G207" s="99"/>
      <c r="H207" s="521"/>
      <c r="I207" s="24"/>
      <c r="J207" s="502"/>
      <c r="K207" s="531"/>
      <c r="L207" s="531"/>
      <c r="M207" s="531"/>
      <c r="N207" s="502"/>
    </row>
    <row r="208" spans="1:14" s="25" customFormat="1" ht="21.75">
      <c r="A208" s="99"/>
      <c r="B208" s="163"/>
      <c r="C208" s="163"/>
      <c r="D208" s="151"/>
      <c r="E208" s="99"/>
      <c r="F208" s="521"/>
      <c r="G208" s="99"/>
      <c r="H208" s="521"/>
      <c r="I208" s="24"/>
      <c r="J208" s="502"/>
      <c r="K208" s="531"/>
      <c r="L208" s="531"/>
      <c r="M208" s="531"/>
      <c r="N208" s="502"/>
    </row>
    <row r="209" spans="1:14" s="25" customFormat="1" ht="21.75">
      <c r="A209" s="99"/>
      <c r="B209" s="163"/>
      <c r="C209" s="163"/>
      <c r="D209" s="151"/>
      <c r="E209" s="99"/>
      <c r="F209" s="521"/>
      <c r="G209" s="99"/>
      <c r="H209" s="521"/>
      <c r="I209" s="24"/>
      <c r="J209" s="502"/>
      <c r="K209" s="531"/>
      <c r="L209" s="531"/>
      <c r="M209" s="531"/>
      <c r="N209" s="502"/>
    </row>
    <row r="210" spans="1:14" s="25" customFormat="1" ht="21.75">
      <c r="A210" s="99"/>
      <c r="B210" s="163"/>
      <c r="C210" s="163"/>
      <c r="D210" s="151"/>
      <c r="E210" s="99"/>
      <c r="F210" s="521"/>
      <c r="G210" s="99"/>
      <c r="H210" s="521"/>
      <c r="I210" s="24"/>
      <c r="J210" s="502"/>
      <c r="K210" s="531"/>
      <c r="L210" s="531"/>
      <c r="M210" s="531"/>
      <c r="N210" s="502"/>
    </row>
    <row r="211" spans="1:14" s="25" customFormat="1" ht="21.75">
      <c r="A211" s="99"/>
      <c r="B211" s="163"/>
      <c r="C211" s="163"/>
      <c r="D211" s="151"/>
      <c r="E211" s="99"/>
      <c r="F211" s="521"/>
      <c r="G211" s="99"/>
      <c r="H211" s="521"/>
      <c r="I211" s="24"/>
      <c r="J211" s="502"/>
      <c r="K211" s="531"/>
      <c r="L211" s="531"/>
      <c r="M211" s="531"/>
      <c r="N211" s="502"/>
    </row>
    <row r="212" spans="1:14" s="25" customFormat="1" ht="21.75">
      <c r="A212" s="99"/>
      <c r="B212" s="163"/>
      <c r="C212" s="163"/>
      <c r="D212" s="151"/>
      <c r="E212" s="99"/>
      <c r="F212" s="521"/>
      <c r="G212" s="99"/>
      <c r="H212" s="521"/>
      <c r="I212" s="24"/>
      <c r="J212" s="502"/>
      <c r="K212" s="531"/>
      <c r="L212" s="531"/>
      <c r="M212" s="531"/>
      <c r="N212" s="502"/>
    </row>
    <row r="213" spans="1:14" s="25" customFormat="1" ht="21.75">
      <c r="A213" s="99"/>
      <c r="B213" s="163"/>
      <c r="C213" s="163"/>
      <c r="D213" s="151"/>
      <c r="E213" s="99"/>
      <c r="F213" s="521"/>
      <c r="G213" s="99"/>
      <c r="H213" s="521"/>
      <c r="I213" s="24"/>
      <c r="J213" s="502"/>
      <c r="K213" s="531"/>
      <c r="L213" s="531"/>
      <c r="M213" s="531"/>
      <c r="N213" s="502"/>
    </row>
    <row r="214" spans="1:14" s="25" customFormat="1" ht="21.75">
      <c r="A214" s="99"/>
      <c r="B214" s="163"/>
      <c r="C214" s="163"/>
      <c r="D214" s="151"/>
      <c r="E214" s="99"/>
      <c r="F214" s="521"/>
      <c r="G214" s="99"/>
      <c r="H214" s="521"/>
      <c r="I214" s="24"/>
      <c r="J214" s="502"/>
      <c r="K214" s="531"/>
      <c r="L214" s="531"/>
      <c r="M214" s="531"/>
      <c r="N214" s="502"/>
    </row>
    <row r="215" spans="1:14" s="25" customFormat="1" ht="21.75">
      <c r="A215" s="99"/>
      <c r="B215" s="163"/>
      <c r="C215" s="163"/>
      <c r="D215" s="151"/>
      <c r="E215" s="99"/>
      <c r="F215" s="521"/>
      <c r="G215" s="99"/>
      <c r="H215" s="521"/>
      <c r="I215" s="24"/>
      <c r="J215" s="502"/>
      <c r="K215" s="531"/>
      <c r="L215" s="531"/>
      <c r="M215" s="531"/>
      <c r="N215" s="502"/>
    </row>
    <row r="216" spans="1:14" s="25" customFormat="1" ht="21.75">
      <c r="A216" s="99"/>
      <c r="B216" s="163"/>
      <c r="C216" s="163"/>
      <c r="D216" s="151"/>
      <c r="E216" s="99"/>
      <c r="F216" s="521"/>
      <c r="G216" s="99"/>
      <c r="H216" s="521"/>
      <c r="I216" s="24"/>
      <c r="J216" s="502"/>
      <c r="K216" s="531"/>
      <c r="L216" s="531"/>
      <c r="M216" s="531"/>
      <c r="N216" s="502"/>
    </row>
    <row r="217" spans="1:14" s="25" customFormat="1" ht="21.75">
      <c r="A217" s="99"/>
      <c r="B217" s="163"/>
      <c r="C217" s="163"/>
      <c r="D217" s="151"/>
      <c r="E217" s="99"/>
      <c r="F217" s="521"/>
      <c r="G217" s="99"/>
      <c r="H217" s="521"/>
      <c r="I217" s="24"/>
      <c r="J217" s="502"/>
      <c r="K217" s="531"/>
      <c r="L217" s="531"/>
      <c r="M217" s="531"/>
      <c r="N217" s="502"/>
    </row>
    <row r="218" spans="1:14" s="25" customFormat="1" ht="21.75">
      <c r="A218" s="99"/>
      <c r="B218" s="163"/>
      <c r="C218" s="163"/>
      <c r="D218" s="151"/>
      <c r="E218" s="99"/>
      <c r="F218" s="521"/>
      <c r="G218" s="99"/>
      <c r="H218" s="521"/>
      <c r="I218" s="24"/>
      <c r="J218" s="502"/>
      <c r="K218" s="531"/>
      <c r="L218" s="531"/>
      <c r="M218" s="531"/>
      <c r="N218" s="502"/>
    </row>
    <row r="219" spans="1:14" s="25" customFormat="1" ht="21.75">
      <c r="A219" s="99"/>
      <c r="B219" s="163"/>
      <c r="C219" s="163"/>
      <c r="D219" s="151"/>
      <c r="E219" s="99"/>
      <c r="F219" s="521"/>
      <c r="G219" s="99"/>
      <c r="H219" s="521"/>
      <c r="I219" s="24"/>
      <c r="J219" s="502"/>
      <c r="K219" s="531"/>
      <c r="L219" s="531"/>
      <c r="M219" s="531"/>
      <c r="N219" s="502"/>
    </row>
    <row r="220" spans="1:14" s="25" customFormat="1" ht="21.75">
      <c r="A220" s="99"/>
      <c r="B220" s="163"/>
      <c r="C220" s="163"/>
      <c r="D220" s="151"/>
      <c r="E220" s="99"/>
      <c r="F220" s="521"/>
      <c r="G220" s="99"/>
      <c r="H220" s="521"/>
      <c r="I220" s="24"/>
      <c r="J220" s="502"/>
      <c r="K220" s="531"/>
      <c r="L220" s="531"/>
      <c r="M220" s="531"/>
      <c r="N220" s="502"/>
    </row>
    <row r="221" spans="1:14" s="25" customFormat="1" ht="21.75">
      <c r="A221" s="99"/>
      <c r="B221" s="163"/>
      <c r="C221" s="163"/>
      <c r="D221" s="151"/>
      <c r="E221" s="99"/>
      <c r="F221" s="521"/>
      <c r="G221" s="99"/>
      <c r="H221" s="521"/>
      <c r="I221" s="24"/>
      <c r="J221" s="502"/>
      <c r="K221" s="531"/>
      <c r="L221" s="531"/>
      <c r="M221" s="531"/>
      <c r="N221" s="502"/>
    </row>
    <row r="222" spans="1:14" s="25" customFormat="1" ht="21.75">
      <c r="A222" s="99"/>
      <c r="B222" s="163"/>
      <c r="C222" s="163"/>
      <c r="D222" s="151"/>
      <c r="E222" s="99"/>
      <c r="F222" s="521"/>
      <c r="G222" s="99"/>
      <c r="H222" s="521"/>
      <c r="I222" s="24"/>
      <c r="J222" s="502"/>
      <c r="K222" s="531"/>
      <c r="L222" s="531"/>
      <c r="M222" s="531"/>
      <c r="N222" s="502"/>
    </row>
    <row r="223" spans="1:14" s="25" customFormat="1" ht="21.75">
      <c r="A223" s="99"/>
      <c r="B223" s="163"/>
      <c r="C223" s="163"/>
      <c r="D223" s="151"/>
      <c r="E223" s="99"/>
      <c r="F223" s="521"/>
      <c r="G223" s="99"/>
      <c r="H223" s="521"/>
      <c r="I223" s="24"/>
      <c r="J223" s="502"/>
      <c r="K223" s="531"/>
      <c r="L223" s="531"/>
      <c r="M223" s="531"/>
      <c r="N223" s="502"/>
    </row>
    <row r="224" spans="1:14" s="25" customFormat="1" ht="21.75">
      <c r="A224" s="99"/>
      <c r="B224" s="163"/>
      <c r="C224" s="163"/>
      <c r="D224" s="151"/>
      <c r="E224" s="99"/>
      <c r="F224" s="521"/>
      <c r="G224" s="99"/>
      <c r="H224" s="521"/>
      <c r="I224" s="24"/>
      <c r="J224" s="502"/>
      <c r="K224" s="531"/>
      <c r="L224" s="531"/>
      <c r="M224" s="531"/>
      <c r="N224" s="502"/>
    </row>
    <row r="225" spans="1:14" s="25" customFormat="1" ht="21.75">
      <c r="A225" s="99"/>
      <c r="B225" s="163"/>
      <c r="C225" s="163"/>
      <c r="D225" s="151"/>
      <c r="E225" s="99"/>
      <c r="F225" s="521"/>
      <c r="G225" s="99"/>
      <c r="H225" s="521"/>
      <c r="I225" s="24"/>
      <c r="J225" s="502"/>
      <c r="K225" s="531"/>
      <c r="L225" s="531"/>
      <c r="M225" s="531"/>
      <c r="N225" s="502"/>
    </row>
    <row r="226" spans="1:14" s="25" customFormat="1" ht="21.75">
      <c r="A226" s="99"/>
      <c r="B226" s="163"/>
      <c r="C226" s="163"/>
      <c r="D226" s="151"/>
      <c r="E226" s="99"/>
      <c r="F226" s="521"/>
      <c r="G226" s="99"/>
      <c r="H226" s="521"/>
      <c r="I226" s="24"/>
      <c r="J226" s="502"/>
      <c r="K226" s="531"/>
      <c r="L226" s="531"/>
      <c r="M226" s="531"/>
      <c r="N226" s="502"/>
    </row>
    <row r="227" spans="1:14" s="25" customFormat="1" ht="21.75">
      <c r="A227" s="99"/>
      <c r="B227" s="163"/>
      <c r="C227" s="163"/>
      <c r="D227" s="151"/>
      <c r="E227" s="99"/>
      <c r="F227" s="521"/>
      <c r="G227" s="99"/>
      <c r="H227" s="521"/>
      <c r="I227" s="24"/>
      <c r="J227" s="502"/>
      <c r="K227" s="531"/>
      <c r="L227" s="531"/>
      <c r="M227" s="531"/>
      <c r="N227" s="502"/>
    </row>
    <row r="228" spans="1:14" s="25" customFormat="1" ht="21.75">
      <c r="A228" s="99"/>
      <c r="B228" s="163"/>
      <c r="C228" s="163"/>
      <c r="D228" s="151"/>
      <c r="E228" s="99"/>
      <c r="F228" s="521"/>
      <c r="G228" s="99"/>
      <c r="H228" s="521"/>
      <c r="I228" s="24"/>
      <c r="J228" s="502"/>
      <c r="K228" s="531"/>
      <c r="L228" s="531"/>
      <c r="M228" s="531"/>
      <c r="N228" s="502"/>
    </row>
    <row r="229" spans="1:14" s="25" customFormat="1" ht="21.75">
      <c r="A229" s="99"/>
      <c r="B229" s="163"/>
      <c r="C229" s="163"/>
      <c r="D229" s="151"/>
      <c r="E229" s="99"/>
      <c r="F229" s="521"/>
      <c r="G229" s="99"/>
      <c r="H229" s="521"/>
      <c r="I229" s="24"/>
      <c r="J229" s="502"/>
      <c r="K229" s="531"/>
      <c r="L229" s="531"/>
      <c r="M229" s="531"/>
      <c r="N229" s="502"/>
    </row>
    <row r="230" spans="1:14" s="25" customFormat="1" ht="21.75">
      <c r="A230" s="99"/>
      <c r="B230" s="163"/>
      <c r="C230" s="163"/>
      <c r="D230" s="151"/>
      <c r="E230" s="99"/>
      <c r="F230" s="521"/>
      <c r="G230" s="99"/>
      <c r="H230" s="521"/>
      <c r="I230" s="24"/>
      <c r="J230" s="502"/>
      <c r="K230" s="531"/>
      <c r="L230" s="531"/>
      <c r="M230" s="531"/>
      <c r="N230" s="502"/>
    </row>
    <row r="231" spans="1:14" s="25" customFormat="1" ht="21.75">
      <c r="A231" s="99"/>
      <c r="B231" s="163"/>
      <c r="C231" s="163"/>
      <c r="D231" s="151"/>
      <c r="E231" s="99"/>
      <c r="F231" s="521"/>
      <c r="G231" s="99"/>
      <c r="H231" s="521"/>
      <c r="I231" s="24"/>
      <c r="J231" s="502"/>
      <c r="K231" s="531"/>
      <c r="L231" s="531"/>
      <c r="M231" s="531"/>
      <c r="N231" s="502"/>
    </row>
    <row r="232" spans="1:14" s="25" customFormat="1" ht="21.75">
      <c r="A232" s="99"/>
      <c r="B232" s="163"/>
      <c r="C232" s="163"/>
      <c r="D232" s="151"/>
      <c r="E232" s="99"/>
      <c r="F232" s="521"/>
      <c r="G232" s="99"/>
      <c r="H232" s="521"/>
      <c r="I232" s="24"/>
      <c r="J232" s="502"/>
      <c r="K232" s="531"/>
      <c r="L232" s="531"/>
      <c r="M232" s="531"/>
      <c r="N232" s="502"/>
    </row>
    <row r="233" spans="1:14" s="25" customFormat="1" ht="21.75">
      <c r="A233" s="99"/>
      <c r="B233" s="163"/>
      <c r="C233" s="163"/>
      <c r="D233" s="151"/>
      <c r="E233" s="99"/>
      <c r="F233" s="521"/>
      <c r="G233" s="99"/>
      <c r="H233" s="521"/>
      <c r="I233" s="24"/>
      <c r="J233" s="502"/>
      <c r="K233" s="531"/>
      <c r="L233" s="531"/>
      <c r="M233" s="531"/>
      <c r="N233" s="502"/>
    </row>
  </sheetData>
  <sheetProtection/>
  <mergeCells count="7">
    <mergeCell ref="M2:N2"/>
    <mergeCell ref="L2:L3"/>
    <mergeCell ref="A2:A3"/>
    <mergeCell ref="E2:F2"/>
    <mergeCell ref="I2:J2"/>
    <mergeCell ref="K2:K3"/>
    <mergeCell ref="G2:H2"/>
  </mergeCells>
  <printOptions/>
  <pageMargins left="0.18" right="0.16" top="0.29" bottom="0.36" header="0.25" footer="0.27"/>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9"/>
  </sheetPr>
  <dimension ref="A1:AO12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A2"/>
    </sheetView>
  </sheetViews>
  <sheetFormatPr defaultColWidth="9.140625" defaultRowHeight="12.75"/>
  <cols>
    <col min="1" max="1" width="28.7109375" style="0" customWidth="1"/>
    <col min="2" max="2" width="5.140625" style="0" bestFit="1" customWidth="1"/>
    <col min="3" max="3" width="9.140625" style="0" customWidth="1"/>
    <col min="4" max="4" width="4.00390625" style="0" customWidth="1"/>
    <col min="5" max="5" width="8.00390625" style="0" customWidth="1"/>
    <col min="6" max="6" width="4.57421875" style="0" customWidth="1"/>
    <col min="7" max="7" width="9.00390625" style="0" customWidth="1"/>
    <col min="8" max="8" width="4.8515625" style="0" customWidth="1"/>
    <col min="9" max="9" width="10.28125" style="0" bestFit="1" customWidth="1"/>
    <col min="10" max="10" width="4.421875" style="0" customWidth="1"/>
    <col min="11" max="11" width="9.28125" style="0" customWidth="1"/>
    <col min="12" max="12" width="3.8515625" style="0" customWidth="1"/>
    <col min="13" max="13" width="8.00390625" style="0" customWidth="1"/>
    <col min="14" max="14" width="3.8515625" style="0" customWidth="1"/>
    <col min="15" max="15" width="8.140625" style="0" customWidth="1"/>
    <col min="16" max="16" width="4.421875" style="0" customWidth="1"/>
    <col min="17" max="17" width="8.28125" style="0" customWidth="1"/>
    <col min="18" max="18" width="3.7109375" style="0" customWidth="1"/>
    <col min="19" max="19" width="6.57421875" style="0" customWidth="1"/>
    <col min="20" max="20" width="5.140625" style="0" customWidth="1"/>
    <col min="21" max="21" width="8.421875" style="0" customWidth="1"/>
    <col min="22" max="22" width="4.28125" style="0" customWidth="1"/>
    <col min="23" max="23" width="9.00390625" style="0" customWidth="1"/>
    <col min="24" max="24" width="5.00390625" style="0" customWidth="1"/>
    <col min="25" max="25" width="9.28125" style="0" customWidth="1"/>
    <col min="26" max="26" width="5.00390625" style="0" customWidth="1"/>
    <col min="27" max="27" width="10.00390625" style="0" customWidth="1"/>
    <col min="28" max="28" width="4.00390625" style="0" customWidth="1"/>
    <col min="29" max="29" width="9.28125" style="0" customWidth="1"/>
    <col min="30" max="30" width="4.8515625" style="0" customWidth="1"/>
    <col min="31" max="31" width="9.00390625" style="0" customWidth="1"/>
    <col min="32" max="32" width="5.00390625" style="0" customWidth="1"/>
    <col min="33" max="33" width="9.00390625" style="0" customWidth="1"/>
    <col min="34" max="34" width="3.8515625" style="0" customWidth="1"/>
    <col min="35" max="35" width="8.28125" style="0" customWidth="1"/>
    <col min="36" max="36" width="4.8515625" style="0" customWidth="1"/>
    <col min="37" max="37" width="8.28125" style="0" customWidth="1"/>
    <col min="38" max="38" width="3.8515625" style="0" customWidth="1"/>
    <col min="39" max="39" width="8.00390625" style="0" customWidth="1"/>
    <col min="40" max="40" width="6.421875" style="0" customWidth="1"/>
    <col min="41" max="41" width="10.00390625" style="0" customWidth="1"/>
  </cols>
  <sheetData>
    <row r="1" spans="1:41" ht="65.25" customHeight="1" thickBot="1">
      <c r="A1" s="1325" t="s">
        <v>1</v>
      </c>
      <c r="B1" s="1327" t="s">
        <v>62</v>
      </c>
      <c r="C1" s="1327"/>
      <c r="D1" s="1327" t="s">
        <v>135</v>
      </c>
      <c r="E1" s="1327"/>
      <c r="F1" s="1328" t="s">
        <v>73</v>
      </c>
      <c r="G1" s="1328"/>
      <c r="H1" s="1324" t="s">
        <v>63</v>
      </c>
      <c r="I1" s="1324"/>
      <c r="J1" s="1328" t="s">
        <v>144</v>
      </c>
      <c r="K1" s="1328"/>
      <c r="L1" s="1324" t="s">
        <v>128</v>
      </c>
      <c r="M1" s="1324"/>
      <c r="N1" s="1329" t="s">
        <v>64</v>
      </c>
      <c r="O1" s="1329"/>
      <c r="P1" s="1329" t="s">
        <v>65</v>
      </c>
      <c r="Q1" s="1329"/>
      <c r="R1" s="1324" t="s">
        <v>130</v>
      </c>
      <c r="S1" s="1324"/>
      <c r="T1" s="1330" t="s">
        <v>66</v>
      </c>
      <c r="U1" s="1330"/>
      <c r="V1" s="1330" t="s">
        <v>99</v>
      </c>
      <c r="W1" s="1330"/>
      <c r="X1" s="1331" t="s">
        <v>68</v>
      </c>
      <c r="Y1" s="1331"/>
      <c r="Z1" s="1333" t="s">
        <v>69</v>
      </c>
      <c r="AA1" s="1333"/>
      <c r="AB1" s="1333" t="s">
        <v>70</v>
      </c>
      <c r="AC1" s="1333"/>
      <c r="AD1" s="1331" t="s">
        <v>71</v>
      </c>
      <c r="AE1" s="1331"/>
      <c r="AF1" s="1331" t="s">
        <v>452</v>
      </c>
      <c r="AG1" s="1331"/>
      <c r="AH1" s="1333" t="s">
        <v>72</v>
      </c>
      <c r="AI1" s="1333"/>
      <c r="AJ1" s="1331" t="s">
        <v>81</v>
      </c>
      <c r="AK1" s="1331"/>
      <c r="AL1" s="1331" t="s">
        <v>191</v>
      </c>
      <c r="AM1" s="1331"/>
      <c r="AN1" s="1332" t="s">
        <v>57</v>
      </c>
      <c r="AO1" s="1332"/>
    </row>
    <row r="2" spans="1:41" ht="21.75" thickBot="1">
      <c r="A2" s="1326"/>
      <c r="B2" s="477" t="s">
        <v>10</v>
      </c>
      <c r="C2" s="654" t="s">
        <v>9</v>
      </c>
      <c r="D2" s="477" t="s">
        <v>10</v>
      </c>
      <c r="E2" s="654" t="s">
        <v>9</v>
      </c>
      <c r="F2" s="477" t="s">
        <v>10</v>
      </c>
      <c r="G2" s="478" t="s">
        <v>9</v>
      </c>
      <c r="H2" s="477" t="s">
        <v>10</v>
      </c>
      <c r="I2" s="478" t="s">
        <v>9</v>
      </c>
      <c r="J2" s="477" t="s">
        <v>10</v>
      </c>
      <c r="K2" s="478" t="s">
        <v>9</v>
      </c>
      <c r="L2" s="477" t="s">
        <v>10</v>
      </c>
      <c r="M2" s="478" t="s">
        <v>9</v>
      </c>
      <c r="N2" s="477" t="s">
        <v>10</v>
      </c>
      <c r="O2" s="478" t="s">
        <v>9</v>
      </c>
      <c r="P2" s="477" t="s">
        <v>10</v>
      </c>
      <c r="Q2" s="478" t="s">
        <v>9</v>
      </c>
      <c r="R2" s="477" t="s">
        <v>10</v>
      </c>
      <c r="S2" s="478" t="s">
        <v>9</v>
      </c>
      <c r="T2" s="477" t="s">
        <v>10</v>
      </c>
      <c r="U2" s="478" t="s">
        <v>9</v>
      </c>
      <c r="V2" s="477" t="s">
        <v>10</v>
      </c>
      <c r="W2" s="478" t="s">
        <v>9</v>
      </c>
      <c r="X2" s="477" t="s">
        <v>10</v>
      </c>
      <c r="Y2" s="478" t="s">
        <v>9</v>
      </c>
      <c r="Z2" s="477" t="s">
        <v>10</v>
      </c>
      <c r="AA2" s="478" t="s">
        <v>9</v>
      </c>
      <c r="AB2" s="477" t="s">
        <v>10</v>
      </c>
      <c r="AC2" s="478" t="s">
        <v>9</v>
      </c>
      <c r="AD2" s="477" t="s">
        <v>10</v>
      </c>
      <c r="AE2" s="478" t="s">
        <v>9</v>
      </c>
      <c r="AF2" s="477" t="s">
        <v>10</v>
      </c>
      <c r="AG2" s="478" t="s">
        <v>9</v>
      </c>
      <c r="AH2" s="477" t="s">
        <v>10</v>
      </c>
      <c r="AI2" s="478" t="s">
        <v>9</v>
      </c>
      <c r="AJ2" s="477" t="s">
        <v>10</v>
      </c>
      <c r="AK2" s="478" t="s">
        <v>9</v>
      </c>
      <c r="AL2" s="477" t="s">
        <v>10</v>
      </c>
      <c r="AM2" s="478" t="s">
        <v>9</v>
      </c>
      <c r="AN2" s="477" t="s">
        <v>10</v>
      </c>
      <c r="AO2" s="478" t="s">
        <v>9</v>
      </c>
    </row>
    <row r="3" spans="1:41" ht="21">
      <c r="A3" s="1233" t="s">
        <v>60</v>
      </c>
      <c r="B3" s="1234"/>
      <c r="C3" s="1235"/>
      <c r="D3" s="1236"/>
      <c r="E3" s="1235"/>
      <c r="F3" s="1236"/>
      <c r="G3" s="1237"/>
      <c r="H3" s="1238"/>
      <c r="I3" s="1239"/>
      <c r="J3" s="1238"/>
      <c r="K3" s="1239"/>
      <c r="L3" s="1238"/>
      <c r="M3" s="1239"/>
      <c r="N3" s="1238"/>
      <c r="O3" s="1239"/>
      <c r="P3" s="1238"/>
      <c r="Q3" s="1237"/>
      <c r="R3" s="1238"/>
      <c r="S3" s="1239"/>
      <c r="T3" s="1238"/>
      <c r="U3" s="1239"/>
      <c r="V3" s="1239"/>
      <c r="W3" s="1239"/>
      <c r="X3" s="1238"/>
      <c r="Y3" s="1239"/>
      <c r="Z3" s="1236"/>
      <c r="AA3" s="1237"/>
      <c r="AB3" s="1236"/>
      <c r="AC3" s="1237"/>
      <c r="AD3" s="1236"/>
      <c r="AE3" s="1237"/>
      <c r="AF3" s="1236"/>
      <c r="AG3" s="1237"/>
      <c r="AH3" s="1236"/>
      <c r="AI3" s="1237"/>
      <c r="AJ3" s="1236"/>
      <c r="AK3" s="1237"/>
      <c r="AL3" s="1237"/>
      <c r="AM3" s="1237"/>
      <c r="AN3" s="1236"/>
      <c r="AO3" s="1239"/>
    </row>
    <row r="4" spans="1:41" ht="21">
      <c r="A4" s="10" t="s">
        <v>11</v>
      </c>
      <c r="B4" s="124">
        <v>101</v>
      </c>
      <c r="C4" s="270">
        <v>12491.5</v>
      </c>
      <c r="D4" s="12"/>
      <c r="E4" s="270">
        <v>765.7</v>
      </c>
      <c r="F4" s="124">
        <v>10</v>
      </c>
      <c r="G4" s="270">
        <v>203.8</v>
      </c>
      <c r="H4" s="14">
        <v>571</v>
      </c>
      <c r="I4" s="647">
        <v>35252.200000000004</v>
      </c>
      <c r="J4" s="12">
        <v>4</v>
      </c>
      <c r="K4" s="302">
        <v>255.2</v>
      </c>
      <c r="L4" s="12">
        <v>7</v>
      </c>
      <c r="M4" s="302">
        <v>628.5999999999999</v>
      </c>
      <c r="N4" s="12"/>
      <c r="O4" s="302"/>
      <c r="P4" s="12">
        <v>2</v>
      </c>
      <c r="Q4" s="302">
        <v>90.2</v>
      </c>
      <c r="R4" s="12"/>
      <c r="S4" s="302"/>
      <c r="T4" s="12">
        <v>68</v>
      </c>
      <c r="U4" s="302">
        <v>1500.6</v>
      </c>
      <c r="V4" s="11">
        <v>1</v>
      </c>
      <c r="W4" s="297">
        <v>110</v>
      </c>
      <c r="X4" s="11">
        <v>13</v>
      </c>
      <c r="Y4" s="297">
        <v>1947.4</v>
      </c>
      <c r="Z4" s="11">
        <v>70</v>
      </c>
      <c r="AA4" s="297">
        <v>7539.6</v>
      </c>
      <c r="AB4" s="11">
        <v>1</v>
      </c>
      <c r="AC4" s="297">
        <v>573.3</v>
      </c>
      <c r="AD4" s="11">
        <v>40</v>
      </c>
      <c r="AE4" s="297">
        <f>2096.2+1657.4</f>
        <v>3753.6</v>
      </c>
      <c r="AF4" s="11">
        <v>13</v>
      </c>
      <c r="AG4" s="297">
        <v>1558.9999999999998</v>
      </c>
      <c r="AH4" s="11"/>
      <c r="AI4" s="297"/>
      <c r="AJ4" s="240"/>
      <c r="AK4" s="240"/>
      <c r="AL4" s="677"/>
      <c r="AM4" s="240"/>
      <c r="AN4" s="313">
        <f aca="true" t="shared" si="0" ref="AN4:AO7">SUM(B4,D4,F4,H4,J4,L4,N4,P4,R4,T4,V4,Z4,X4,AB4,AD4,AF4,AH4,AJ4,AL4)</f>
        <v>901</v>
      </c>
      <c r="AO4" s="315">
        <f t="shared" si="0"/>
        <v>66670.7</v>
      </c>
    </row>
    <row r="5" spans="1:41" ht="21">
      <c r="A5" s="10" t="s">
        <v>12</v>
      </c>
      <c r="B5" s="124">
        <v>12</v>
      </c>
      <c r="C5" s="270">
        <v>2972.9</v>
      </c>
      <c r="D5" s="12"/>
      <c r="E5" s="270"/>
      <c r="F5" s="124">
        <v>11</v>
      </c>
      <c r="G5" s="270">
        <v>801.3</v>
      </c>
      <c r="H5" s="14">
        <v>23</v>
      </c>
      <c r="I5" s="647">
        <v>33524.100000000006</v>
      </c>
      <c r="J5" s="12">
        <v>8</v>
      </c>
      <c r="K5" s="302">
        <v>492.5</v>
      </c>
      <c r="L5" s="12">
        <v>10</v>
      </c>
      <c r="M5" s="302">
        <v>599.9</v>
      </c>
      <c r="N5" s="12">
        <v>3</v>
      </c>
      <c r="O5" s="302">
        <v>446.7</v>
      </c>
      <c r="P5" s="12">
        <v>3</v>
      </c>
      <c r="Q5" s="302">
        <v>135.3</v>
      </c>
      <c r="R5" s="12"/>
      <c r="S5" s="302">
        <v>306.8</v>
      </c>
      <c r="T5">
        <v>47</v>
      </c>
      <c r="U5">
        <v>866.9000000000001</v>
      </c>
      <c r="V5" s="12">
        <v>7</v>
      </c>
      <c r="W5" s="302">
        <v>1304.7</v>
      </c>
      <c r="X5" s="11">
        <v>65</v>
      </c>
      <c r="Y5" s="297">
        <v>6181.1</v>
      </c>
      <c r="Z5" s="11">
        <v>54</v>
      </c>
      <c r="AA5" s="297">
        <v>9578.599999999999</v>
      </c>
      <c r="AB5" s="11">
        <v>2</v>
      </c>
      <c r="AC5" s="297">
        <v>478</v>
      </c>
      <c r="AD5" s="11">
        <v>6</v>
      </c>
      <c r="AE5" s="297">
        <v>330.6</v>
      </c>
      <c r="AF5" s="11">
        <v>44</v>
      </c>
      <c r="AG5" s="297">
        <f>1737.2+1568.3</f>
        <v>3305.5</v>
      </c>
      <c r="AH5" s="11">
        <v>3</v>
      </c>
      <c r="AI5" s="297">
        <v>369.6</v>
      </c>
      <c r="AJ5" s="11"/>
      <c r="AK5" s="297"/>
      <c r="AL5" s="677">
        <v>1</v>
      </c>
      <c r="AM5" s="240">
        <v>227.2</v>
      </c>
      <c r="AN5" s="313">
        <f t="shared" si="0"/>
        <v>299</v>
      </c>
      <c r="AO5" s="315">
        <f t="shared" si="0"/>
        <v>61921.7</v>
      </c>
    </row>
    <row r="6" spans="1:41" ht="21.75">
      <c r="A6" s="10" t="s">
        <v>13</v>
      </c>
      <c r="B6" s="124">
        <v>26</v>
      </c>
      <c r="C6" s="270">
        <v>3498.1000000000004</v>
      </c>
      <c r="D6" s="12"/>
      <c r="E6" s="270"/>
      <c r="F6" s="124">
        <v>11</v>
      </c>
      <c r="G6" s="270">
        <v>355.8</v>
      </c>
      <c r="H6" s="14">
        <v>4</v>
      </c>
      <c r="I6" s="647">
        <v>12349.2</v>
      </c>
      <c r="J6" s="12">
        <v>6</v>
      </c>
      <c r="K6" s="302">
        <v>417.79999999999995</v>
      </c>
      <c r="L6" s="12">
        <v>11</v>
      </c>
      <c r="M6" s="302">
        <v>733</v>
      </c>
      <c r="N6" s="12">
        <v>7</v>
      </c>
      <c r="O6" s="302">
        <v>1244.6</v>
      </c>
      <c r="P6" s="12">
        <v>3</v>
      </c>
      <c r="Q6" s="302">
        <v>135.3</v>
      </c>
      <c r="R6" s="12"/>
      <c r="S6" s="302"/>
      <c r="T6" s="12">
        <v>118</v>
      </c>
      <c r="U6" s="302">
        <v>1680</v>
      </c>
      <c r="V6" s="11">
        <v>3</v>
      </c>
      <c r="W6" s="297">
        <v>688.8</v>
      </c>
      <c r="X6" s="11">
        <v>23</v>
      </c>
      <c r="Y6" s="297">
        <v>10382.000000000002</v>
      </c>
      <c r="Z6" s="11">
        <v>14</v>
      </c>
      <c r="AA6" s="297">
        <f>6809.9-135.4</f>
        <v>6674.5</v>
      </c>
      <c r="AB6" s="11">
        <v>3</v>
      </c>
      <c r="AC6" s="297">
        <v>2508.8</v>
      </c>
      <c r="AD6" s="11">
        <v>36</v>
      </c>
      <c r="AE6" s="297">
        <v>16586.6</v>
      </c>
      <c r="AF6" s="11">
        <v>36</v>
      </c>
      <c r="AG6" s="297">
        <v>2968.3000000000006</v>
      </c>
      <c r="AH6" s="11">
        <v>1</v>
      </c>
      <c r="AI6" s="297">
        <v>108.9</v>
      </c>
      <c r="AJ6" s="677"/>
      <c r="AK6" s="736">
        <v>976.6</v>
      </c>
      <c r="AL6" s="677">
        <v>2</v>
      </c>
      <c r="AM6" s="240">
        <v>190.4</v>
      </c>
      <c r="AN6" s="313">
        <f t="shared" si="0"/>
        <v>304</v>
      </c>
      <c r="AO6" s="315">
        <f t="shared" si="0"/>
        <v>61498.700000000004</v>
      </c>
    </row>
    <row r="7" spans="1:41" ht="21">
      <c r="A7" s="15" t="s">
        <v>14</v>
      </c>
      <c r="B7" s="179">
        <v>5</v>
      </c>
      <c r="C7" s="479">
        <v>864.1</v>
      </c>
      <c r="D7" s="468"/>
      <c r="E7" s="479"/>
      <c r="F7" s="179">
        <v>11</v>
      </c>
      <c r="G7" s="479">
        <v>349.1</v>
      </c>
      <c r="H7" s="17">
        <v>49</v>
      </c>
      <c r="I7" s="648">
        <v>8524.6</v>
      </c>
      <c r="J7" s="468">
        <v>4</v>
      </c>
      <c r="K7" s="469">
        <v>333</v>
      </c>
      <c r="L7" s="468">
        <v>6</v>
      </c>
      <c r="M7" s="469">
        <v>622.3</v>
      </c>
      <c r="N7" s="468"/>
      <c r="O7" s="469"/>
      <c r="P7" s="468">
        <v>1</v>
      </c>
      <c r="Q7" s="469">
        <v>45.1</v>
      </c>
      <c r="R7" s="468"/>
      <c r="S7" s="469"/>
      <c r="T7" s="468">
        <v>6</v>
      </c>
      <c r="U7" s="469">
        <v>476.4</v>
      </c>
      <c r="V7" s="16"/>
      <c r="W7" s="298">
        <v>195.8</v>
      </c>
      <c r="X7" s="16">
        <v>5</v>
      </c>
      <c r="Y7" s="298">
        <v>694.4</v>
      </c>
      <c r="Z7" s="16">
        <v>7</v>
      </c>
      <c r="AA7" s="298">
        <v>533.7</v>
      </c>
      <c r="AB7" s="16"/>
      <c r="AC7" s="298"/>
      <c r="AD7" s="16">
        <v>8</v>
      </c>
      <c r="AE7" s="298">
        <v>266.8</v>
      </c>
      <c r="AF7" s="16">
        <v>24</v>
      </c>
      <c r="AG7" s="298">
        <v>2654.7000000000003</v>
      </c>
      <c r="AH7" s="16">
        <v>1</v>
      </c>
      <c r="AI7" s="298">
        <v>106.1</v>
      </c>
      <c r="AJ7" s="269"/>
      <c r="AK7" s="269"/>
      <c r="AL7" s="866"/>
      <c r="AM7" s="269"/>
      <c r="AN7" s="314">
        <f t="shared" si="0"/>
        <v>127</v>
      </c>
      <c r="AO7" s="316">
        <f t="shared" si="0"/>
        <v>15666.1</v>
      </c>
    </row>
    <row r="8" spans="1:41" ht="21">
      <c r="A8" s="1240" t="s">
        <v>15</v>
      </c>
      <c r="B8" s="1241"/>
      <c r="C8" s="1242"/>
      <c r="D8" s="1243"/>
      <c r="E8" s="1242"/>
      <c r="F8" s="1243"/>
      <c r="G8" s="1242"/>
      <c r="H8" s="1243"/>
      <c r="I8" s="1244"/>
      <c r="J8" s="1243"/>
      <c r="K8" s="1244"/>
      <c r="L8" s="1243"/>
      <c r="M8" s="1244"/>
      <c r="N8" s="1243"/>
      <c r="O8" s="1244"/>
      <c r="P8" s="1243"/>
      <c r="Q8" s="1244"/>
      <c r="R8" s="1243"/>
      <c r="S8" s="1244"/>
      <c r="T8" s="1243"/>
      <c r="U8" s="1244"/>
      <c r="V8" s="1243"/>
      <c r="W8" s="1244"/>
      <c r="X8" s="1243"/>
      <c r="Y8" s="1244"/>
      <c r="Z8" s="1243"/>
      <c r="AA8" s="1244"/>
      <c r="AB8" s="1243"/>
      <c r="AC8" s="1244"/>
      <c r="AD8" s="1243"/>
      <c r="AE8" s="1244"/>
      <c r="AF8" s="1243"/>
      <c r="AG8" s="1244"/>
      <c r="AH8" s="1243"/>
      <c r="AI8" s="1244"/>
      <c r="AJ8" s="1242"/>
      <c r="AK8" s="1242"/>
      <c r="AL8" s="1245"/>
      <c r="AM8" s="1242"/>
      <c r="AN8" s="1246"/>
      <c r="AO8" s="1247"/>
    </row>
    <row r="9" spans="1:41" ht="21.75">
      <c r="A9" s="10" t="s">
        <v>294</v>
      </c>
      <c r="B9" s="124"/>
      <c r="C9" s="240"/>
      <c r="D9" s="11"/>
      <c r="E9" s="240"/>
      <c r="F9" s="11"/>
      <c r="G9" s="240"/>
      <c r="H9" s="11"/>
      <c r="I9" s="297"/>
      <c r="J9" s="11"/>
      <c r="K9" s="297"/>
      <c r="L9" s="11"/>
      <c r="M9" s="297"/>
      <c r="N9" s="11"/>
      <c r="O9" s="297"/>
      <c r="P9" s="11"/>
      <c r="Q9" s="297"/>
      <c r="R9" s="11"/>
      <c r="S9" s="297"/>
      <c r="T9" s="11"/>
      <c r="U9" s="297"/>
      <c r="V9" s="660"/>
      <c r="W9" s="660"/>
      <c r="X9" s="11">
        <v>10</v>
      </c>
      <c r="Y9" s="297">
        <v>48.7</v>
      </c>
      <c r="Z9" s="11"/>
      <c r="AA9" s="297"/>
      <c r="AB9" s="11"/>
      <c r="AC9" s="297"/>
      <c r="AD9" s="11"/>
      <c r="AE9" s="297"/>
      <c r="AF9" s="11">
        <v>1</v>
      </c>
      <c r="AG9" s="297">
        <v>302.7</v>
      </c>
      <c r="AH9" s="11"/>
      <c r="AI9" s="297"/>
      <c r="AJ9" s="240"/>
      <c r="AK9" s="240"/>
      <c r="AL9" s="677"/>
      <c r="AM9" s="240"/>
      <c r="AN9" s="313">
        <f>SUM(B9,D9,F9,H9,J9,L9,N9,P9,R9,T9,V9,Z9,X9,AB9,AD9,AF9,AH9,AJ9,AL9)</f>
        <v>11</v>
      </c>
      <c r="AO9" s="315">
        <f>SUM(C9,E9,G9,I9,K9,M9,O9,Q9,S9,U9,W9,AA9,Y9,AC9,AE9,AG9,AI9,AK9,AM9)</f>
        <v>351.4</v>
      </c>
    </row>
    <row r="10" spans="1:41" ht="21">
      <c r="A10" s="10" t="s">
        <v>16</v>
      </c>
      <c r="B10" s="124"/>
      <c r="C10" s="240"/>
      <c r="D10" s="11"/>
      <c r="E10" s="240"/>
      <c r="F10" s="11">
        <v>1</v>
      </c>
      <c r="G10" s="240">
        <v>117.3</v>
      </c>
      <c r="H10" s="11"/>
      <c r="I10" s="297"/>
      <c r="J10" s="11">
        <v>1</v>
      </c>
      <c r="K10" s="297">
        <v>115.9</v>
      </c>
      <c r="L10" s="11"/>
      <c r="M10" s="297"/>
      <c r="N10" s="11"/>
      <c r="O10" s="297"/>
      <c r="P10" s="11"/>
      <c r="Q10" s="297"/>
      <c r="R10" s="11"/>
      <c r="S10" s="297"/>
      <c r="T10" s="11"/>
      <c r="U10" s="297"/>
      <c r="V10" s="11"/>
      <c r="W10" s="297"/>
      <c r="X10" s="11">
        <v>9</v>
      </c>
      <c r="Y10" s="297">
        <v>1207</v>
      </c>
      <c r="Z10" s="11">
        <v>7</v>
      </c>
      <c r="AA10" s="297">
        <v>382.70000000000005</v>
      </c>
      <c r="AB10" s="11"/>
      <c r="AC10" s="297"/>
      <c r="AD10" s="11"/>
      <c r="AE10" s="297"/>
      <c r="AF10" s="11">
        <v>4</v>
      </c>
      <c r="AG10" s="297">
        <v>544.6</v>
      </c>
      <c r="AH10" s="11">
        <v>1</v>
      </c>
      <c r="AI10" s="297">
        <v>181.2</v>
      </c>
      <c r="AJ10" s="240"/>
      <c r="AK10" s="240"/>
      <c r="AL10" s="677"/>
      <c r="AM10" s="240"/>
      <c r="AN10" s="313">
        <f aca="true" t="shared" si="1" ref="AN10:AN72">SUM(B10,D10,F10,H10,J10,L10,N10,P10,R10,T10,V10,Z10,X10,AB10,AD10,AF10,AH10,AJ10,AL10)</f>
        <v>23</v>
      </c>
      <c r="AO10" s="315">
        <f aca="true" t="shared" si="2" ref="AO10:AO72">SUM(C10,E10,G10,I10,K10,M10,O10,Q10,S10,U10,W10,AA10,Y10,AC10,AE10,AG10,AI10,AK10,AM10)</f>
        <v>2548.7</v>
      </c>
    </row>
    <row r="11" spans="1:41" ht="21">
      <c r="A11" s="10" t="s">
        <v>17</v>
      </c>
      <c r="B11" s="124"/>
      <c r="C11" s="240"/>
      <c r="D11" s="11"/>
      <c r="E11" s="240"/>
      <c r="F11" s="11"/>
      <c r="G11" s="240"/>
      <c r="H11" s="11"/>
      <c r="I11" s="297"/>
      <c r="J11" s="11"/>
      <c r="K11" s="297"/>
      <c r="L11" s="11">
        <v>1</v>
      </c>
      <c r="M11" s="297">
        <v>105.5</v>
      </c>
      <c r="N11" s="11"/>
      <c r="O11" s="297"/>
      <c r="P11" s="11"/>
      <c r="Q11" s="297"/>
      <c r="R11" s="11"/>
      <c r="S11" s="297"/>
      <c r="T11" s="11"/>
      <c r="U11" s="297"/>
      <c r="V11" s="11"/>
      <c r="W11" s="297"/>
      <c r="X11" s="11">
        <v>4</v>
      </c>
      <c r="Y11" s="297">
        <v>188</v>
      </c>
      <c r="Z11" s="11">
        <v>4</v>
      </c>
      <c r="AA11" s="297">
        <f>534.5-87.7</f>
        <v>446.8</v>
      </c>
      <c r="AB11" s="11"/>
      <c r="AC11" s="297"/>
      <c r="AD11" s="11">
        <v>2</v>
      </c>
      <c r="AE11" s="297">
        <v>59.6</v>
      </c>
      <c r="AF11" s="11">
        <v>4</v>
      </c>
      <c r="AG11" s="297">
        <v>617.9</v>
      </c>
      <c r="AH11" s="11">
        <v>1</v>
      </c>
      <c r="AI11" s="297">
        <v>102.1</v>
      </c>
      <c r="AJ11" s="240"/>
      <c r="AK11" s="240"/>
      <c r="AL11" s="677">
        <v>1</v>
      </c>
      <c r="AM11" s="240">
        <v>88.6</v>
      </c>
      <c r="AN11" s="313">
        <f t="shared" si="1"/>
        <v>17</v>
      </c>
      <c r="AO11" s="315">
        <f t="shared" si="2"/>
        <v>1608.4999999999998</v>
      </c>
    </row>
    <row r="12" spans="1:41" ht="21">
      <c r="A12" s="10" t="s">
        <v>18</v>
      </c>
      <c r="B12" s="124">
        <v>1</v>
      </c>
      <c r="C12" s="240">
        <v>119.4</v>
      </c>
      <c r="D12" s="11"/>
      <c r="E12" s="240"/>
      <c r="F12" s="11"/>
      <c r="G12" s="240"/>
      <c r="H12" s="11">
        <v>3</v>
      </c>
      <c r="I12" s="297">
        <v>142.5</v>
      </c>
      <c r="J12" s="11"/>
      <c r="K12" s="297"/>
      <c r="L12" s="11">
        <v>1</v>
      </c>
      <c r="M12" s="297">
        <v>132.8</v>
      </c>
      <c r="N12" s="11"/>
      <c r="O12" s="297"/>
      <c r="P12" s="11">
        <v>2</v>
      </c>
      <c r="Q12" s="297">
        <v>90.2</v>
      </c>
      <c r="R12" s="11"/>
      <c r="S12" s="297"/>
      <c r="T12" s="11"/>
      <c r="U12" s="297"/>
      <c r="V12" s="11">
        <v>1</v>
      </c>
      <c r="W12" s="297">
        <v>124.9</v>
      </c>
      <c r="X12" s="11">
        <v>3</v>
      </c>
      <c r="Y12" s="297">
        <v>1413.4</v>
      </c>
      <c r="Z12" s="11">
        <v>5</v>
      </c>
      <c r="AA12" s="297">
        <v>561.3</v>
      </c>
      <c r="AB12" s="11"/>
      <c r="AC12" s="297"/>
      <c r="AD12" s="11">
        <v>4</v>
      </c>
      <c r="AE12" s="297">
        <v>304</v>
      </c>
      <c r="AF12" s="11">
        <v>3</v>
      </c>
      <c r="AG12" s="297">
        <v>777.7</v>
      </c>
      <c r="AH12" s="11">
        <v>1</v>
      </c>
      <c r="AI12" s="297">
        <v>110.3</v>
      </c>
      <c r="AJ12" s="240"/>
      <c r="AK12" s="240"/>
      <c r="AL12" s="677">
        <v>1</v>
      </c>
      <c r="AM12" s="240">
        <v>110.6</v>
      </c>
      <c r="AN12" s="313">
        <f t="shared" si="1"/>
        <v>25</v>
      </c>
      <c r="AO12" s="315">
        <f t="shared" si="2"/>
        <v>3887.1</v>
      </c>
    </row>
    <row r="13" spans="1:41" ht="21.75">
      <c r="A13" s="10" t="s">
        <v>319</v>
      </c>
      <c r="B13" s="124"/>
      <c r="C13" s="240"/>
      <c r="D13" s="11"/>
      <c r="E13" s="240"/>
      <c r="F13" s="11"/>
      <c r="G13" s="240"/>
      <c r="H13" s="11"/>
      <c r="I13" s="297"/>
      <c r="J13" s="11"/>
      <c r="K13" s="297"/>
      <c r="L13" s="11"/>
      <c r="M13" s="297"/>
      <c r="N13" s="11"/>
      <c r="O13" s="297"/>
      <c r="P13" s="11"/>
      <c r="Q13" s="297"/>
      <c r="R13" s="11"/>
      <c r="S13" s="297"/>
      <c r="T13" s="11"/>
      <c r="U13" s="297"/>
      <c r="V13" s="11"/>
      <c r="W13" s="297"/>
      <c r="X13" s="1157">
        <v>3</v>
      </c>
      <c r="Y13" s="904">
        <v>89.3</v>
      </c>
      <c r="Z13" s="11"/>
      <c r="AA13" s="297"/>
      <c r="AB13" s="11"/>
      <c r="AC13" s="297"/>
      <c r="AD13" s="11"/>
      <c r="AE13" s="297"/>
      <c r="AF13" s="11">
        <v>1</v>
      </c>
      <c r="AG13" s="297">
        <v>314.5</v>
      </c>
      <c r="AH13" s="11"/>
      <c r="AI13" s="297"/>
      <c r="AJ13" s="240"/>
      <c r="AK13" s="240"/>
      <c r="AL13" s="677"/>
      <c r="AM13" s="240"/>
      <c r="AN13" s="313">
        <f t="shared" si="1"/>
        <v>4</v>
      </c>
      <c r="AO13" s="315">
        <f t="shared" si="2"/>
        <v>403.8</v>
      </c>
    </row>
    <row r="14" spans="1:41" ht="21">
      <c r="A14" s="15" t="s">
        <v>19</v>
      </c>
      <c r="B14" s="179">
        <v>3</v>
      </c>
      <c r="C14" s="479">
        <v>742.6999999999999</v>
      </c>
      <c r="D14" s="468"/>
      <c r="E14" s="479"/>
      <c r="F14" s="179"/>
      <c r="G14" s="479"/>
      <c r="H14" s="17">
        <v>3</v>
      </c>
      <c r="I14" s="648">
        <v>38.1</v>
      </c>
      <c r="J14" s="468"/>
      <c r="K14" s="469"/>
      <c r="L14" s="468"/>
      <c r="M14" s="469"/>
      <c r="N14" s="468"/>
      <c r="O14" s="469"/>
      <c r="P14" s="468"/>
      <c r="Q14" s="469"/>
      <c r="R14" s="468"/>
      <c r="S14" s="469"/>
      <c r="T14" s="468"/>
      <c r="U14" s="469"/>
      <c r="V14" s="16">
        <v>1</v>
      </c>
      <c r="W14" s="298">
        <v>151.7</v>
      </c>
      <c r="X14" s="16"/>
      <c r="Y14" s="298">
        <v>2621.5</v>
      </c>
      <c r="Z14" s="16">
        <v>7</v>
      </c>
      <c r="AA14" s="298">
        <f>959-182.2</f>
        <v>776.8</v>
      </c>
      <c r="AB14" s="16">
        <v>4</v>
      </c>
      <c r="AC14" s="298">
        <v>866.5</v>
      </c>
      <c r="AD14" s="16"/>
      <c r="AE14" s="298"/>
      <c r="AF14" s="16">
        <v>13</v>
      </c>
      <c r="AG14" s="298">
        <v>432.4</v>
      </c>
      <c r="AH14" s="16">
        <v>2</v>
      </c>
      <c r="AI14" s="298">
        <v>372.9</v>
      </c>
      <c r="AJ14" s="269"/>
      <c r="AK14" s="269"/>
      <c r="AL14" s="866"/>
      <c r="AM14" s="269"/>
      <c r="AN14" s="313">
        <f t="shared" si="1"/>
        <v>33</v>
      </c>
      <c r="AO14" s="315">
        <f t="shared" si="2"/>
        <v>6002.599999999999</v>
      </c>
    </row>
    <row r="15" spans="1:41" ht="21">
      <c r="A15" s="1240" t="s">
        <v>20</v>
      </c>
      <c r="B15" s="1241"/>
      <c r="C15" s="1242"/>
      <c r="D15" s="1243"/>
      <c r="E15" s="1242"/>
      <c r="F15" s="1243"/>
      <c r="G15" s="1242"/>
      <c r="H15" s="1243"/>
      <c r="I15" s="1244"/>
      <c r="J15" s="1243"/>
      <c r="K15" s="1244"/>
      <c r="L15" s="1243"/>
      <c r="M15" s="1244"/>
      <c r="N15" s="1243"/>
      <c r="O15" s="1244"/>
      <c r="P15" s="1243"/>
      <c r="Q15" s="1244"/>
      <c r="R15" s="1243"/>
      <c r="S15" s="1244"/>
      <c r="T15" s="1243"/>
      <c r="U15" s="1244"/>
      <c r="V15" s="1243"/>
      <c r="W15" s="1244"/>
      <c r="X15" s="1243"/>
      <c r="Y15" s="1244"/>
      <c r="Z15" s="1243"/>
      <c r="AA15" s="1244"/>
      <c r="AB15" s="1243"/>
      <c r="AC15" s="1244"/>
      <c r="AD15" s="1243"/>
      <c r="AE15" s="1244"/>
      <c r="AF15" s="1243"/>
      <c r="AG15" s="1244"/>
      <c r="AH15" s="1243"/>
      <c r="AI15" s="1244"/>
      <c r="AJ15" s="1242"/>
      <c r="AK15" s="1242"/>
      <c r="AL15" s="1245"/>
      <c r="AM15" s="1242"/>
      <c r="AN15" s="1246"/>
      <c r="AO15" s="1248"/>
    </row>
    <row r="16" spans="1:41" ht="21.75">
      <c r="A16" s="1255" t="s">
        <v>21</v>
      </c>
      <c r="B16" s="1189">
        <v>1</v>
      </c>
      <c r="C16" s="1190">
        <f>154.7</f>
        <v>154.7</v>
      </c>
      <c r="D16" s="1030"/>
      <c r="E16" s="1190"/>
      <c r="F16" s="1030"/>
      <c r="G16" s="1190"/>
      <c r="H16" s="1030"/>
      <c r="I16" s="1032"/>
      <c r="J16" s="1030">
        <v>4</v>
      </c>
      <c r="K16" s="1032">
        <f>35.8</f>
        <v>35.8</v>
      </c>
      <c r="L16" s="1030">
        <v>1</v>
      </c>
      <c r="M16" s="1032">
        <v>143.1</v>
      </c>
      <c r="N16" s="1030"/>
      <c r="O16" s="1032"/>
      <c r="P16" s="1030"/>
      <c r="Q16" s="1032"/>
      <c r="R16" s="1030"/>
      <c r="S16" s="1032"/>
      <c r="T16" s="1030"/>
      <c r="U16" s="1032"/>
      <c r="V16" s="1256"/>
      <c r="W16" s="1256"/>
      <c r="X16" s="1030">
        <v>1</v>
      </c>
      <c r="Y16" s="1032">
        <v>125</v>
      </c>
      <c r="Z16" s="1030">
        <v>6</v>
      </c>
      <c r="AA16" s="1032">
        <v>667.1</v>
      </c>
      <c r="AB16" s="1030">
        <v>6</v>
      </c>
      <c r="AC16" s="1032">
        <f>73.8</f>
        <v>73.8</v>
      </c>
      <c r="AD16" s="1030"/>
      <c r="AE16" s="1032"/>
      <c r="AF16" s="1030"/>
      <c r="AG16" s="1032"/>
      <c r="AH16" s="1030"/>
      <c r="AI16" s="1032"/>
      <c r="AJ16" s="1190"/>
      <c r="AK16" s="1190"/>
      <c r="AL16" s="1191"/>
      <c r="AM16" s="1190"/>
      <c r="AN16" s="313">
        <f t="shared" si="1"/>
        <v>19</v>
      </c>
      <c r="AO16" s="315">
        <f t="shared" si="2"/>
        <v>1199.5</v>
      </c>
    </row>
    <row r="17" spans="1:41" ht="21">
      <c r="A17" s="15" t="s">
        <v>22</v>
      </c>
      <c r="B17" s="179"/>
      <c r="C17" s="269"/>
      <c r="D17" s="16"/>
      <c r="E17" s="269"/>
      <c r="F17" s="16"/>
      <c r="G17" s="269"/>
      <c r="H17" s="16"/>
      <c r="I17" s="298"/>
      <c r="J17" s="16"/>
      <c r="K17" s="298"/>
      <c r="L17" s="16"/>
      <c r="M17" s="298"/>
      <c r="N17" s="16"/>
      <c r="O17" s="298"/>
      <c r="P17" s="16"/>
      <c r="Q17" s="298"/>
      <c r="R17" s="16"/>
      <c r="S17" s="298"/>
      <c r="T17" s="16"/>
      <c r="U17" s="298"/>
      <c r="V17" s="16">
        <v>2</v>
      </c>
      <c r="W17" s="298">
        <v>238.4</v>
      </c>
      <c r="X17" s="16">
        <v>10</v>
      </c>
      <c r="Y17" s="298">
        <v>911.6</v>
      </c>
      <c r="Z17" s="16">
        <v>4</v>
      </c>
      <c r="AA17" s="298">
        <f>512.6-147.2</f>
        <v>365.40000000000003</v>
      </c>
      <c r="AB17" s="16"/>
      <c r="AC17" s="298"/>
      <c r="AD17" s="16"/>
      <c r="AE17" s="298"/>
      <c r="AF17" s="16"/>
      <c r="AG17" s="298"/>
      <c r="AH17" s="16">
        <v>16</v>
      </c>
      <c r="AI17" s="298">
        <v>492.8</v>
      </c>
      <c r="AJ17" s="866"/>
      <c r="AK17" s="269"/>
      <c r="AL17" s="866">
        <v>2</v>
      </c>
      <c r="AM17" s="269">
        <v>376.8</v>
      </c>
      <c r="AN17" s="313">
        <f t="shared" si="1"/>
        <v>34</v>
      </c>
      <c r="AO17" s="315">
        <f t="shared" si="2"/>
        <v>2385</v>
      </c>
    </row>
    <row r="18" spans="1:41" ht="21">
      <c r="A18" s="1249" t="s">
        <v>23</v>
      </c>
      <c r="B18" s="1241"/>
      <c r="C18" s="1250"/>
      <c r="D18" s="1251"/>
      <c r="E18" s="1250"/>
      <c r="F18" s="1241"/>
      <c r="G18" s="1250"/>
      <c r="H18" s="1252"/>
      <c r="I18" s="1253"/>
      <c r="J18" s="1251"/>
      <c r="K18" s="1254"/>
      <c r="L18" s="1251"/>
      <c r="M18" s="1254"/>
      <c r="N18" s="1251"/>
      <c r="O18" s="1254"/>
      <c r="P18" s="1251"/>
      <c r="Q18" s="1254"/>
      <c r="R18" s="1251"/>
      <c r="S18" s="1254"/>
      <c r="T18" s="1251"/>
      <c r="U18" s="1254"/>
      <c r="V18" s="1243"/>
      <c r="W18" s="1244"/>
      <c r="X18" s="1243"/>
      <c r="Y18" s="1244"/>
      <c r="Z18" s="1243"/>
      <c r="AA18" s="1244"/>
      <c r="AB18" s="1243"/>
      <c r="AC18" s="1244"/>
      <c r="AD18" s="1243"/>
      <c r="AE18" s="1244"/>
      <c r="AF18" s="1243"/>
      <c r="AG18" s="1244"/>
      <c r="AH18" s="1243"/>
      <c r="AI18" s="1244"/>
      <c r="AJ18" s="1242"/>
      <c r="AK18" s="1242"/>
      <c r="AL18" s="1245"/>
      <c r="AM18" s="1242"/>
      <c r="AN18" s="1246"/>
      <c r="AO18" s="1248"/>
    </row>
    <row r="19" spans="1:41" ht="21">
      <c r="A19" s="10" t="s">
        <v>292</v>
      </c>
      <c r="B19" s="124"/>
      <c r="C19" s="270"/>
      <c r="D19" s="12"/>
      <c r="E19" s="270"/>
      <c r="F19" s="124"/>
      <c r="G19" s="270"/>
      <c r="H19" s="14"/>
      <c r="I19" s="647"/>
      <c r="J19" s="12"/>
      <c r="K19" s="302"/>
      <c r="L19" s="12"/>
      <c r="M19" s="302"/>
      <c r="N19" s="12"/>
      <c r="O19" s="302"/>
      <c r="P19" s="12"/>
      <c r="Q19" s="302"/>
      <c r="R19" s="12"/>
      <c r="S19" s="302"/>
      <c r="T19" s="12"/>
      <c r="U19" s="302"/>
      <c r="V19" s="11"/>
      <c r="W19" s="297"/>
      <c r="X19" s="11"/>
      <c r="Y19" s="297"/>
      <c r="Z19" s="11">
        <v>2</v>
      </c>
      <c r="AA19" s="297">
        <v>35.4</v>
      </c>
      <c r="AB19" s="11"/>
      <c r="AC19" s="297"/>
      <c r="AD19" s="11"/>
      <c r="AE19" s="297"/>
      <c r="AF19" s="11"/>
      <c r="AG19" s="297"/>
      <c r="AH19" s="11"/>
      <c r="AI19" s="297"/>
      <c r="AJ19" s="240"/>
      <c r="AK19" s="240"/>
      <c r="AL19" s="677"/>
      <c r="AM19" s="240"/>
      <c r="AN19" s="313">
        <f t="shared" si="1"/>
        <v>2</v>
      </c>
      <c r="AO19" s="315">
        <f t="shared" si="2"/>
        <v>35.4</v>
      </c>
    </row>
    <row r="20" spans="1:41" ht="21">
      <c r="A20" s="10" t="s">
        <v>24</v>
      </c>
      <c r="B20" s="124">
        <v>4</v>
      </c>
      <c r="C20" s="270">
        <v>436.5</v>
      </c>
      <c r="D20" s="12"/>
      <c r="E20" s="270"/>
      <c r="F20" s="124">
        <v>1</v>
      </c>
      <c r="G20" s="270">
        <v>127.9</v>
      </c>
      <c r="H20" s="14"/>
      <c r="I20" s="647"/>
      <c r="J20" s="12">
        <v>2</v>
      </c>
      <c r="K20" s="302">
        <v>242.2</v>
      </c>
      <c r="L20" s="12">
        <v>1</v>
      </c>
      <c r="M20" s="302">
        <v>137.7</v>
      </c>
      <c r="N20" s="12"/>
      <c r="O20" s="302"/>
      <c r="P20" s="12">
        <v>2</v>
      </c>
      <c r="Q20" s="302">
        <v>90.2</v>
      </c>
      <c r="R20" s="12"/>
      <c r="S20" s="302"/>
      <c r="T20" s="12"/>
      <c r="U20" s="302"/>
      <c r="V20" s="11"/>
      <c r="W20" s="297"/>
      <c r="X20" s="11">
        <v>2</v>
      </c>
      <c r="Y20" s="297">
        <v>877.5</v>
      </c>
      <c r="Z20" s="11">
        <v>5</v>
      </c>
      <c r="AA20" s="297">
        <v>300.70000000000005</v>
      </c>
      <c r="AB20" s="11"/>
      <c r="AC20" s="297">
        <v>126.6</v>
      </c>
      <c r="AD20" s="11">
        <v>1</v>
      </c>
      <c r="AE20" s="297">
        <v>87.5</v>
      </c>
      <c r="AF20" s="11">
        <v>5</v>
      </c>
      <c r="AG20" s="297">
        <v>1118.5</v>
      </c>
      <c r="AH20" s="11">
        <v>1</v>
      </c>
      <c r="AI20" s="297">
        <v>66.1</v>
      </c>
      <c r="AJ20" s="240"/>
      <c r="AK20" s="240">
        <v>236.2</v>
      </c>
      <c r="AL20" s="677">
        <v>1</v>
      </c>
      <c r="AM20" s="240">
        <v>109.4</v>
      </c>
      <c r="AN20" s="313">
        <f t="shared" si="1"/>
        <v>25</v>
      </c>
      <c r="AO20" s="315">
        <f t="shared" si="2"/>
        <v>3956.9999999999995</v>
      </c>
    </row>
    <row r="21" spans="1:41" ht="21">
      <c r="A21" s="10" t="s">
        <v>25</v>
      </c>
      <c r="B21" s="124">
        <v>10</v>
      </c>
      <c r="C21" s="270">
        <v>2491.3999999999996</v>
      </c>
      <c r="D21" s="12">
        <v>13</v>
      </c>
      <c r="E21" s="270">
        <v>1576.1</v>
      </c>
      <c r="F21" s="124">
        <v>2</v>
      </c>
      <c r="G21" s="270">
        <v>314.7</v>
      </c>
      <c r="H21" s="14">
        <v>4</v>
      </c>
      <c r="I21" s="647">
        <v>10193.3</v>
      </c>
      <c r="J21" s="12">
        <v>2</v>
      </c>
      <c r="K21" s="302">
        <v>392.9</v>
      </c>
      <c r="L21" s="12"/>
      <c r="M21" s="302"/>
      <c r="N21" s="12"/>
      <c r="O21" s="302">
        <v>1417.3</v>
      </c>
      <c r="P21" s="12">
        <v>2</v>
      </c>
      <c r="Q21" s="302">
        <v>90.2</v>
      </c>
      <c r="R21" s="12">
        <v>1</v>
      </c>
      <c r="S21" s="302">
        <v>145.1</v>
      </c>
      <c r="T21" s="12"/>
      <c r="U21" s="302"/>
      <c r="V21" s="11">
        <v>1</v>
      </c>
      <c r="W21" s="297">
        <v>4470.3</v>
      </c>
      <c r="X21" s="11">
        <v>22</v>
      </c>
      <c r="Y21" s="297">
        <v>7592.200000000001</v>
      </c>
      <c r="Z21" s="11">
        <v>10</v>
      </c>
      <c r="AA21" s="297">
        <v>6728.7</v>
      </c>
      <c r="AB21" s="11">
        <v>9</v>
      </c>
      <c r="AC21" s="297">
        <v>7278.6</v>
      </c>
      <c r="AD21" s="11">
        <v>6</v>
      </c>
      <c r="AE21" s="297">
        <v>623.4</v>
      </c>
      <c r="AF21" s="11">
        <v>2</v>
      </c>
      <c r="AG21" s="297">
        <v>2408.7</v>
      </c>
      <c r="AH21" s="11">
        <v>1</v>
      </c>
      <c r="AI21" s="297">
        <v>195.3</v>
      </c>
      <c r="AJ21" s="677"/>
      <c r="AK21" s="240"/>
      <c r="AL21" s="677">
        <v>4</v>
      </c>
      <c r="AM21" s="240">
        <v>796</v>
      </c>
      <c r="AN21" s="313">
        <f t="shared" si="1"/>
        <v>89</v>
      </c>
      <c r="AO21" s="315">
        <f t="shared" si="2"/>
        <v>46714.2</v>
      </c>
    </row>
    <row r="22" spans="1:41" ht="21">
      <c r="A22" s="10" t="s">
        <v>26</v>
      </c>
      <c r="B22" s="124"/>
      <c r="C22" s="270"/>
      <c r="D22" s="12"/>
      <c r="E22" s="270"/>
      <c r="F22" s="124"/>
      <c r="G22" s="270"/>
      <c r="H22" s="14"/>
      <c r="I22" s="647"/>
      <c r="J22" s="12"/>
      <c r="K22" s="302"/>
      <c r="L22" s="12"/>
      <c r="M22" s="302"/>
      <c r="N22" s="12"/>
      <c r="O22" s="302"/>
      <c r="P22" s="12"/>
      <c r="Q22" s="302"/>
      <c r="R22" s="12"/>
      <c r="S22" s="302"/>
      <c r="T22" s="12"/>
      <c r="U22" s="302"/>
      <c r="V22" s="11"/>
      <c r="W22" s="297"/>
      <c r="X22" s="11"/>
      <c r="Y22" s="297"/>
      <c r="Z22" s="11">
        <v>2</v>
      </c>
      <c r="AA22" s="297">
        <f>245.2-95.8</f>
        <v>149.39999999999998</v>
      </c>
      <c r="AB22" s="11"/>
      <c r="AC22" s="297"/>
      <c r="AD22" s="11"/>
      <c r="AE22" s="297"/>
      <c r="AF22" s="11">
        <v>3</v>
      </c>
      <c r="AG22" s="297">
        <v>169.5</v>
      </c>
      <c r="AH22" s="11">
        <v>1</v>
      </c>
      <c r="AI22" s="297">
        <v>113.6</v>
      </c>
      <c r="AJ22" s="677"/>
      <c r="AK22" s="240"/>
      <c r="AL22" s="677"/>
      <c r="AM22" s="240"/>
      <c r="AN22" s="313">
        <f t="shared" si="1"/>
        <v>6</v>
      </c>
      <c r="AO22" s="315">
        <f t="shared" si="2"/>
        <v>432.5</v>
      </c>
    </row>
    <row r="23" spans="1:41" ht="21">
      <c r="A23" s="10" t="s">
        <v>321</v>
      </c>
      <c r="B23" s="124">
        <v>1</v>
      </c>
      <c r="C23" s="270">
        <v>136.8</v>
      </c>
      <c r="D23" s="12"/>
      <c r="E23" s="270"/>
      <c r="F23" s="124"/>
      <c r="G23" s="270"/>
      <c r="H23" s="14"/>
      <c r="I23" s="647"/>
      <c r="J23" s="12"/>
      <c r="K23" s="302"/>
      <c r="L23" s="12"/>
      <c r="M23" s="302"/>
      <c r="N23" s="12"/>
      <c r="O23" s="302"/>
      <c r="P23" s="12"/>
      <c r="Q23" s="302"/>
      <c r="R23" s="12"/>
      <c r="S23" s="302"/>
      <c r="T23" s="12"/>
      <c r="U23" s="302"/>
      <c r="V23" s="11">
        <v>1</v>
      </c>
      <c r="W23" s="297">
        <v>157.6</v>
      </c>
      <c r="X23" s="11"/>
      <c r="Y23" s="297"/>
      <c r="Z23" s="11">
        <v>6</v>
      </c>
      <c r="AA23" s="297">
        <f>1077.5-141.8</f>
        <v>935.7</v>
      </c>
      <c r="AB23" s="11"/>
      <c r="AC23" s="297"/>
      <c r="AD23" s="11">
        <v>1</v>
      </c>
      <c r="AE23" s="297">
        <v>130.1</v>
      </c>
      <c r="AF23" s="11"/>
      <c r="AG23" s="297"/>
      <c r="AH23" s="11"/>
      <c r="AI23" s="297"/>
      <c r="AJ23" s="677"/>
      <c r="AK23" s="240"/>
      <c r="AL23" s="677"/>
      <c r="AM23" s="240"/>
      <c r="AN23" s="313">
        <f t="shared" si="1"/>
        <v>9</v>
      </c>
      <c r="AO23" s="315">
        <f t="shared" si="2"/>
        <v>1360.1999999999998</v>
      </c>
    </row>
    <row r="24" spans="1:41" ht="21">
      <c r="A24" s="10" t="s">
        <v>322</v>
      </c>
      <c r="B24" s="124"/>
      <c r="C24" s="270"/>
      <c r="D24" s="12"/>
      <c r="E24" s="270"/>
      <c r="F24" s="124"/>
      <c r="G24" s="270"/>
      <c r="H24" s="14"/>
      <c r="I24" s="647"/>
      <c r="J24" s="12"/>
      <c r="K24" s="302"/>
      <c r="L24" s="12"/>
      <c r="M24" s="302"/>
      <c r="N24" s="12"/>
      <c r="O24" s="302"/>
      <c r="P24" s="12"/>
      <c r="Q24" s="302"/>
      <c r="R24" s="12"/>
      <c r="S24" s="302"/>
      <c r="T24" s="12"/>
      <c r="U24" s="302"/>
      <c r="V24" s="11"/>
      <c r="W24" s="297"/>
      <c r="X24" s="11"/>
      <c r="Y24" s="297"/>
      <c r="Z24" s="11"/>
      <c r="AA24" s="297"/>
      <c r="AB24" s="11"/>
      <c r="AC24" s="297"/>
      <c r="AD24" s="11"/>
      <c r="AE24" s="297"/>
      <c r="AF24" s="11">
        <v>1</v>
      </c>
      <c r="AG24" s="297">
        <v>172.9</v>
      </c>
      <c r="AH24" s="11"/>
      <c r="AI24" s="297"/>
      <c r="AJ24" s="677"/>
      <c r="AK24" s="240"/>
      <c r="AL24" s="677"/>
      <c r="AM24" s="240"/>
      <c r="AN24" s="313">
        <f t="shared" si="1"/>
        <v>1</v>
      </c>
      <c r="AO24" s="315">
        <f t="shared" si="2"/>
        <v>172.9</v>
      </c>
    </row>
    <row r="25" spans="1:41" ht="21">
      <c r="A25" s="10" t="s">
        <v>27</v>
      </c>
      <c r="B25" s="124">
        <v>2</v>
      </c>
      <c r="C25" s="270">
        <v>275.5</v>
      </c>
      <c r="D25" s="12"/>
      <c r="E25" s="270"/>
      <c r="F25" s="124"/>
      <c r="G25" s="270"/>
      <c r="H25" s="14"/>
      <c r="I25" s="647"/>
      <c r="J25" s="12">
        <v>2</v>
      </c>
      <c r="K25" s="302">
        <v>294</v>
      </c>
      <c r="L25" s="12"/>
      <c r="M25" s="302"/>
      <c r="N25" s="12"/>
      <c r="O25" s="302"/>
      <c r="P25" s="12"/>
      <c r="Q25" s="302"/>
      <c r="R25" s="12"/>
      <c r="S25" s="302"/>
      <c r="T25" s="12"/>
      <c r="U25" s="302"/>
      <c r="V25" s="11">
        <v>4</v>
      </c>
      <c r="W25" s="297">
        <v>2097.9</v>
      </c>
      <c r="X25" s="11"/>
      <c r="Y25" s="297"/>
      <c r="Z25" s="11">
        <v>2</v>
      </c>
      <c r="AA25" s="297">
        <v>346.3</v>
      </c>
      <c r="AB25" s="11"/>
      <c r="AC25" s="297"/>
      <c r="AD25" s="11"/>
      <c r="AE25" s="297"/>
      <c r="AF25" s="11">
        <v>1</v>
      </c>
      <c r="AG25" s="297">
        <v>157.1</v>
      </c>
      <c r="AH25" s="11"/>
      <c r="AI25" s="297"/>
      <c r="AJ25" s="240"/>
      <c r="AK25" s="240"/>
      <c r="AL25" s="677"/>
      <c r="AM25" s="240"/>
      <c r="AN25" s="313">
        <f t="shared" si="1"/>
        <v>11</v>
      </c>
      <c r="AO25" s="315">
        <f t="shared" si="2"/>
        <v>3170.8</v>
      </c>
    </row>
    <row r="26" spans="1:41" ht="21">
      <c r="A26" s="10" t="s">
        <v>28</v>
      </c>
      <c r="B26" s="124"/>
      <c r="C26" s="270"/>
      <c r="D26" s="12"/>
      <c r="E26" s="270"/>
      <c r="F26" s="124">
        <v>1</v>
      </c>
      <c r="G26" s="270">
        <v>137.8</v>
      </c>
      <c r="H26" s="14"/>
      <c r="I26" s="647"/>
      <c r="J26" s="12">
        <v>3</v>
      </c>
      <c r="K26" s="302">
        <v>368.7</v>
      </c>
      <c r="L26" s="12">
        <v>1</v>
      </c>
      <c r="M26" s="302">
        <v>122.1</v>
      </c>
      <c r="N26" s="12"/>
      <c r="O26" s="302"/>
      <c r="P26" s="12"/>
      <c r="Q26" s="302"/>
      <c r="R26" s="12"/>
      <c r="S26" s="302"/>
      <c r="T26" s="12"/>
      <c r="U26" s="302"/>
      <c r="V26" s="11">
        <v>1</v>
      </c>
      <c r="W26" s="297">
        <v>123.8</v>
      </c>
      <c r="X26" s="11">
        <v>1</v>
      </c>
      <c r="Y26" s="297">
        <v>98.4</v>
      </c>
      <c r="Z26" s="11">
        <v>9</v>
      </c>
      <c r="AA26" s="297">
        <f>1239.9-106.4</f>
        <v>1133.5</v>
      </c>
      <c r="AB26" s="11"/>
      <c r="AC26" s="297">
        <v>262.1</v>
      </c>
      <c r="AD26" s="11">
        <v>1</v>
      </c>
      <c r="AE26" s="297">
        <v>84.9</v>
      </c>
      <c r="AF26" s="11">
        <v>1</v>
      </c>
      <c r="AG26" s="297">
        <v>88</v>
      </c>
      <c r="AH26" s="11">
        <v>1</v>
      </c>
      <c r="AI26" s="297">
        <v>191.9</v>
      </c>
      <c r="AJ26" s="240"/>
      <c r="AK26" s="240"/>
      <c r="AL26" s="677"/>
      <c r="AM26" s="240"/>
      <c r="AN26" s="313">
        <f t="shared" si="1"/>
        <v>19</v>
      </c>
      <c r="AO26" s="315">
        <f t="shared" si="2"/>
        <v>2611.2000000000003</v>
      </c>
    </row>
    <row r="27" spans="1:41" ht="21">
      <c r="A27" s="10" t="s">
        <v>29</v>
      </c>
      <c r="B27" s="124">
        <v>2</v>
      </c>
      <c r="C27" s="270">
        <v>1114</v>
      </c>
      <c r="D27" s="12"/>
      <c r="E27" s="270"/>
      <c r="F27" s="124"/>
      <c r="G27" s="270"/>
      <c r="H27" s="14"/>
      <c r="I27" s="647"/>
      <c r="J27" s="12">
        <v>1</v>
      </c>
      <c r="K27" s="302">
        <v>112.4</v>
      </c>
      <c r="L27" s="12">
        <v>1</v>
      </c>
      <c r="M27" s="302">
        <v>138.2</v>
      </c>
      <c r="N27" s="12">
        <v>1</v>
      </c>
      <c r="O27" s="302">
        <v>91.2</v>
      </c>
      <c r="P27" s="12">
        <v>3</v>
      </c>
      <c r="Q27" s="302">
        <v>135.3</v>
      </c>
      <c r="R27" s="12"/>
      <c r="S27" s="302"/>
      <c r="T27" s="12"/>
      <c r="U27" s="302"/>
      <c r="V27" s="11">
        <v>3</v>
      </c>
      <c r="W27" s="297">
        <v>350.5</v>
      </c>
      <c r="X27" s="11">
        <v>1</v>
      </c>
      <c r="Y27" s="297">
        <v>411.4</v>
      </c>
      <c r="Z27" s="11">
        <v>4</v>
      </c>
      <c r="AA27" s="297">
        <v>233.2</v>
      </c>
      <c r="AB27" s="11"/>
      <c r="AC27" s="297">
        <v>1874.9</v>
      </c>
      <c r="AD27" s="11">
        <v>7</v>
      </c>
      <c r="AE27" s="297">
        <v>1344.3</v>
      </c>
      <c r="AF27" s="11">
        <v>1</v>
      </c>
      <c r="AG27" s="297">
        <v>384.1</v>
      </c>
      <c r="AH27" s="11"/>
      <c r="AI27" s="297"/>
      <c r="AJ27" s="240"/>
      <c r="AK27" s="240"/>
      <c r="AL27" s="677"/>
      <c r="AM27" s="240"/>
      <c r="AN27" s="313">
        <f t="shared" si="1"/>
        <v>24</v>
      </c>
      <c r="AO27" s="315">
        <f t="shared" si="2"/>
        <v>6189.500000000001</v>
      </c>
    </row>
    <row r="28" spans="1:41" ht="21">
      <c r="A28" s="10" t="s">
        <v>193</v>
      </c>
      <c r="B28" s="124"/>
      <c r="C28" s="270"/>
      <c r="D28" s="12"/>
      <c r="E28" s="270"/>
      <c r="F28" s="124"/>
      <c r="G28" s="270"/>
      <c r="H28" s="14"/>
      <c r="I28" s="647"/>
      <c r="J28" s="12"/>
      <c r="K28" s="302"/>
      <c r="L28" s="12"/>
      <c r="M28" s="302"/>
      <c r="N28" s="12"/>
      <c r="O28" s="302"/>
      <c r="P28" s="12"/>
      <c r="Q28" s="302"/>
      <c r="R28" s="12"/>
      <c r="S28" s="302"/>
      <c r="T28" s="12"/>
      <c r="U28" s="302"/>
      <c r="V28" s="11">
        <v>1</v>
      </c>
      <c r="W28" s="297">
        <v>93.1</v>
      </c>
      <c r="X28" s="11">
        <v>1</v>
      </c>
      <c r="Y28" s="297">
        <v>68.3</v>
      </c>
      <c r="Z28" s="11">
        <v>1</v>
      </c>
      <c r="AA28" s="297">
        <v>108.3</v>
      </c>
      <c r="AB28" s="11"/>
      <c r="AC28" s="297"/>
      <c r="AD28" s="11"/>
      <c r="AE28" s="297"/>
      <c r="AF28" s="11"/>
      <c r="AG28" s="297"/>
      <c r="AH28" s="11"/>
      <c r="AI28" s="297"/>
      <c r="AJ28" s="240"/>
      <c r="AK28" s="240"/>
      <c r="AL28" s="677"/>
      <c r="AM28" s="240"/>
      <c r="AN28" s="313">
        <f t="shared" si="1"/>
        <v>3</v>
      </c>
      <c r="AO28" s="315">
        <f t="shared" si="2"/>
        <v>269.7</v>
      </c>
    </row>
    <row r="29" spans="1:41" ht="21">
      <c r="A29" s="10" t="s">
        <v>30</v>
      </c>
      <c r="B29" s="124">
        <v>1</v>
      </c>
      <c r="C29" s="270">
        <v>655</v>
      </c>
      <c r="D29" s="12"/>
      <c r="E29" s="270"/>
      <c r="F29" s="124"/>
      <c r="G29" s="270"/>
      <c r="H29" s="14"/>
      <c r="I29" s="647"/>
      <c r="J29" s="12"/>
      <c r="K29" s="302"/>
      <c r="L29" s="12"/>
      <c r="M29" s="302"/>
      <c r="N29" s="12"/>
      <c r="O29" s="302"/>
      <c r="P29" s="12"/>
      <c r="Q29" s="302"/>
      <c r="R29" s="12"/>
      <c r="S29" s="302"/>
      <c r="T29" s="12"/>
      <c r="U29" s="302"/>
      <c r="V29" s="11"/>
      <c r="W29" s="297"/>
      <c r="X29" s="11"/>
      <c r="Y29" s="297"/>
      <c r="Z29" s="11">
        <v>2</v>
      </c>
      <c r="AA29" s="297">
        <v>207.8</v>
      </c>
      <c r="AB29" s="11"/>
      <c r="AC29" s="297"/>
      <c r="AD29" s="11"/>
      <c r="AE29" s="297"/>
      <c r="AF29" s="11">
        <v>3</v>
      </c>
      <c r="AG29" s="297">
        <v>213.10000000000002</v>
      </c>
      <c r="AH29" s="11"/>
      <c r="AI29" s="297"/>
      <c r="AJ29" s="240"/>
      <c r="AK29" s="240"/>
      <c r="AL29" s="677"/>
      <c r="AM29" s="240"/>
      <c r="AN29" s="313">
        <f t="shared" si="1"/>
        <v>6</v>
      </c>
      <c r="AO29" s="315">
        <f t="shared" si="2"/>
        <v>1075.9</v>
      </c>
    </row>
    <row r="30" spans="1:41" ht="21">
      <c r="A30" s="10" t="s">
        <v>180</v>
      </c>
      <c r="B30" s="124"/>
      <c r="C30" s="270"/>
      <c r="D30" s="12"/>
      <c r="E30" s="270"/>
      <c r="F30" s="124"/>
      <c r="G30" s="270"/>
      <c r="H30" s="14"/>
      <c r="I30" s="647"/>
      <c r="J30" s="12"/>
      <c r="K30" s="302"/>
      <c r="L30" s="12"/>
      <c r="M30" s="302"/>
      <c r="N30" s="12"/>
      <c r="O30" s="302"/>
      <c r="P30" s="12"/>
      <c r="Q30" s="302"/>
      <c r="R30" s="12"/>
      <c r="S30" s="302"/>
      <c r="T30" s="12"/>
      <c r="U30" s="302"/>
      <c r="V30" s="11">
        <v>1</v>
      </c>
      <c r="W30" s="297">
        <v>149.4</v>
      </c>
      <c r="X30" s="11"/>
      <c r="Y30" s="297"/>
      <c r="Z30" s="11">
        <v>2</v>
      </c>
      <c r="AA30" s="297">
        <v>314.5</v>
      </c>
      <c r="AB30" s="11"/>
      <c r="AC30" s="297"/>
      <c r="AD30" s="11"/>
      <c r="AE30" s="297"/>
      <c r="AF30" s="11"/>
      <c r="AG30" s="297"/>
      <c r="AH30" s="11">
        <v>1</v>
      </c>
      <c r="AI30" s="297">
        <v>219.3</v>
      </c>
      <c r="AJ30" s="240"/>
      <c r="AK30" s="240"/>
      <c r="AL30" s="677">
        <v>1</v>
      </c>
      <c r="AM30" s="240">
        <v>139.7</v>
      </c>
      <c r="AN30" s="313">
        <f t="shared" si="1"/>
        <v>5</v>
      </c>
      <c r="AO30" s="315">
        <f t="shared" si="2"/>
        <v>822.9000000000001</v>
      </c>
    </row>
    <row r="31" spans="1:41" ht="21">
      <c r="A31" s="10" t="s">
        <v>31</v>
      </c>
      <c r="B31" s="124">
        <v>3</v>
      </c>
      <c r="C31" s="270">
        <v>350.59999999999997</v>
      </c>
      <c r="D31" s="12"/>
      <c r="E31" s="270"/>
      <c r="F31" s="124">
        <v>1</v>
      </c>
      <c r="G31" s="270">
        <v>121.6</v>
      </c>
      <c r="H31" s="14"/>
      <c r="I31" s="647"/>
      <c r="J31" s="12">
        <v>2</v>
      </c>
      <c r="K31" s="302">
        <v>216</v>
      </c>
      <c r="L31" s="12">
        <v>2</v>
      </c>
      <c r="M31" s="302">
        <v>246.7</v>
      </c>
      <c r="N31" s="12"/>
      <c r="O31" s="302"/>
      <c r="P31" s="12">
        <v>2</v>
      </c>
      <c r="Q31" s="302">
        <v>90.2</v>
      </c>
      <c r="R31" s="12"/>
      <c r="S31" s="302"/>
      <c r="T31" s="12"/>
      <c r="U31" s="302"/>
      <c r="V31" s="11">
        <v>2</v>
      </c>
      <c r="W31" s="297">
        <v>241.7</v>
      </c>
      <c r="X31" s="11">
        <v>2</v>
      </c>
      <c r="Y31" s="297">
        <v>160.2</v>
      </c>
      <c r="Z31" s="11">
        <v>6</v>
      </c>
      <c r="AA31" s="297">
        <f>840.1-140.2</f>
        <v>699.9000000000001</v>
      </c>
      <c r="AB31" s="11"/>
      <c r="AC31" s="297">
        <v>339.8</v>
      </c>
      <c r="AD31" s="11">
        <v>6</v>
      </c>
      <c r="AE31" s="297">
        <v>646.2</v>
      </c>
      <c r="AF31" s="11">
        <v>10</v>
      </c>
      <c r="AG31" s="297">
        <v>2201.6</v>
      </c>
      <c r="AH31" s="11">
        <v>1</v>
      </c>
      <c r="AI31" s="297">
        <v>112.9</v>
      </c>
      <c r="AJ31" s="240"/>
      <c r="AK31" s="240"/>
      <c r="AL31" s="677">
        <v>1</v>
      </c>
      <c r="AM31" s="240">
        <v>97.9</v>
      </c>
      <c r="AN31" s="313">
        <f t="shared" si="1"/>
        <v>38</v>
      </c>
      <c r="AO31" s="315">
        <f t="shared" si="2"/>
        <v>5525.299999999999</v>
      </c>
    </row>
    <row r="32" spans="1:41" ht="21">
      <c r="A32" s="1240" t="s">
        <v>32</v>
      </c>
      <c r="B32" s="1241"/>
      <c r="C32" s="1250"/>
      <c r="D32" s="1251"/>
      <c r="E32" s="1250"/>
      <c r="F32" s="1241"/>
      <c r="G32" s="1250"/>
      <c r="H32" s="1252"/>
      <c r="I32" s="1253"/>
      <c r="J32" s="1251"/>
      <c r="K32" s="1254"/>
      <c r="L32" s="1251"/>
      <c r="M32" s="1254"/>
      <c r="N32" s="1251"/>
      <c r="O32" s="1254"/>
      <c r="P32" s="1251"/>
      <c r="Q32" s="1254"/>
      <c r="R32" s="1251"/>
      <c r="S32" s="1254"/>
      <c r="T32" s="1251"/>
      <c r="U32" s="1254"/>
      <c r="V32" s="1243"/>
      <c r="W32" s="1244"/>
      <c r="X32" s="1243"/>
      <c r="Y32" s="1244"/>
      <c r="Z32" s="1243"/>
      <c r="AA32" s="1244"/>
      <c r="AB32" s="1243"/>
      <c r="AC32" s="1244"/>
      <c r="AD32" s="1243"/>
      <c r="AE32" s="1244"/>
      <c r="AF32" s="1243"/>
      <c r="AG32" s="1244"/>
      <c r="AH32" s="1243"/>
      <c r="AI32" s="1244"/>
      <c r="AJ32" s="1242"/>
      <c r="AK32" s="1242"/>
      <c r="AL32" s="1245"/>
      <c r="AM32" s="1242"/>
      <c r="AN32" s="1246"/>
      <c r="AO32" s="1248"/>
    </row>
    <row r="33" spans="1:41" ht="21">
      <c r="A33" s="10" t="s">
        <v>127</v>
      </c>
      <c r="B33" s="124"/>
      <c r="C33" s="270"/>
      <c r="D33" s="12"/>
      <c r="E33" s="270"/>
      <c r="F33" s="124"/>
      <c r="G33" s="270"/>
      <c r="H33" s="14"/>
      <c r="I33" s="647"/>
      <c r="J33" s="12"/>
      <c r="K33" s="302"/>
      <c r="L33" s="12"/>
      <c r="M33" s="302"/>
      <c r="N33" s="12"/>
      <c r="O33" s="302"/>
      <c r="P33" s="12"/>
      <c r="Q33" s="302"/>
      <c r="R33" s="12"/>
      <c r="S33" s="302"/>
      <c r="T33" s="12"/>
      <c r="U33" s="302"/>
      <c r="V33" s="11"/>
      <c r="W33" s="297"/>
      <c r="X33" s="11">
        <v>15</v>
      </c>
      <c r="Y33" s="297">
        <v>2355.2</v>
      </c>
      <c r="Z33" s="11"/>
      <c r="AA33" s="297"/>
      <c r="AB33" s="11"/>
      <c r="AC33" s="297">
        <v>104.3</v>
      </c>
      <c r="AD33" s="11">
        <v>2</v>
      </c>
      <c r="AE33" s="297">
        <v>2239</v>
      </c>
      <c r="AF33" s="11">
        <v>2</v>
      </c>
      <c r="AG33" s="297">
        <v>282.2</v>
      </c>
      <c r="AH33" s="11">
        <v>1</v>
      </c>
      <c r="AI33" s="297">
        <v>322.9</v>
      </c>
      <c r="AJ33" s="240"/>
      <c r="AK33" s="240"/>
      <c r="AL33" s="677"/>
      <c r="AM33" s="240"/>
      <c r="AN33" s="313">
        <f t="shared" si="1"/>
        <v>20</v>
      </c>
      <c r="AO33" s="315">
        <f t="shared" si="2"/>
        <v>5303.599999999999</v>
      </c>
    </row>
    <row r="34" spans="1:41" ht="21">
      <c r="A34" s="10" t="s">
        <v>287</v>
      </c>
      <c r="B34" s="124"/>
      <c r="C34" s="270"/>
      <c r="D34" s="12"/>
      <c r="E34" s="270"/>
      <c r="F34" s="124"/>
      <c r="G34" s="270"/>
      <c r="H34" s="14"/>
      <c r="I34" s="647"/>
      <c r="J34" s="12">
        <v>1</v>
      </c>
      <c r="K34" s="302">
        <v>237.3</v>
      </c>
      <c r="L34" s="12"/>
      <c r="M34" s="302"/>
      <c r="N34" s="12"/>
      <c r="O34" s="302"/>
      <c r="P34" s="12"/>
      <c r="Q34" s="302"/>
      <c r="R34" s="12"/>
      <c r="S34" s="302"/>
      <c r="T34" s="12"/>
      <c r="U34" s="302"/>
      <c r="V34" s="11"/>
      <c r="W34" s="297"/>
      <c r="X34" s="11"/>
      <c r="Y34" s="297"/>
      <c r="Z34" s="11">
        <v>1</v>
      </c>
      <c r="AA34" s="297">
        <f>788.4-515</f>
        <v>273.4</v>
      </c>
      <c r="AB34" s="11"/>
      <c r="AC34" s="297"/>
      <c r="AD34" s="11"/>
      <c r="AE34" s="297"/>
      <c r="AF34" s="11">
        <v>2</v>
      </c>
      <c r="AG34" s="297">
        <v>498.5</v>
      </c>
      <c r="AH34" s="11"/>
      <c r="AI34" s="297"/>
      <c r="AJ34" s="240"/>
      <c r="AK34" s="240"/>
      <c r="AL34" s="677"/>
      <c r="AM34" s="240"/>
      <c r="AN34" s="313">
        <f t="shared" si="1"/>
        <v>4</v>
      </c>
      <c r="AO34" s="315">
        <f t="shared" si="2"/>
        <v>1009.2</v>
      </c>
    </row>
    <row r="35" spans="1:41" ht="21">
      <c r="A35" s="10" t="s">
        <v>329</v>
      </c>
      <c r="B35" s="124"/>
      <c r="C35" s="270"/>
      <c r="D35" s="12"/>
      <c r="E35" s="270"/>
      <c r="F35" s="124"/>
      <c r="G35" s="270"/>
      <c r="H35" s="14"/>
      <c r="I35" s="647"/>
      <c r="J35" s="12"/>
      <c r="K35" s="302"/>
      <c r="L35" s="12"/>
      <c r="M35" s="302"/>
      <c r="N35" s="12"/>
      <c r="O35" s="302"/>
      <c r="P35" s="12"/>
      <c r="Q35" s="302"/>
      <c r="R35" s="12"/>
      <c r="S35" s="302"/>
      <c r="T35" s="12"/>
      <c r="U35" s="302"/>
      <c r="V35" s="11"/>
      <c r="W35" s="297"/>
      <c r="X35" s="11"/>
      <c r="Y35" s="297"/>
      <c r="Z35" s="11">
        <v>1</v>
      </c>
      <c r="AA35" s="297">
        <v>18.2</v>
      </c>
      <c r="AB35" s="11"/>
      <c r="AC35" s="297"/>
      <c r="AD35" s="11"/>
      <c r="AE35" s="297"/>
      <c r="AF35" s="11"/>
      <c r="AG35" s="297"/>
      <c r="AH35" s="11"/>
      <c r="AI35" s="297"/>
      <c r="AJ35" s="240"/>
      <c r="AK35" s="240"/>
      <c r="AL35" s="677"/>
      <c r="AM35" s="240"/>
      <c r="AN35" s="313">
        <f t="shared" si="1"/>
        <v>1</v>
      </c>
      <c r="AO35" s="315">
        <f t="shared" si="2"/>
        <v>18.2</v>
      </c>
    </row>
    <row r="36" spans="1:41" ht="21">
      <c r="A36" s="10" t="s">
        <v>187</v>
      </c>
      <c r="B36" s="124">
        <v>1</v>
      </c>
      <c r="C36" s="270">
        <v>246.1</v>
      </c>
      <c r="D36" s="12"/>
      <c r="E36" s="270"/>
      <c r="F36" s="124"/>
      <c r="G36" s="270"/>
      <c r="H36" s="14"/>
      <c r="I36" s="647"/>
      <c r="J36" s="12">
        <v>2</v>
      </c>
      <c r="K36" s="302">
        <v>402</v>
      </c>
      <c r="L36" s="12">
        <v>3</v>
      </c>
      <c r="M36" s="302">
        <v>628.8</v>
      </c>
      <c r="N36" s="12"/>
      <c r="O36" s="302"/>
      <c r="P36" s="12"/>
      <c r="Q36" s="302"/>
      <c r="R36" s="12"/>
      <c r="S36" s="302"/>
      <c r="T36" s="12"/>
      <c r="U36" s="302"/>
      <c r="V36" s="11">
        <v>1</v>
      </c>
      <c r="W36" s="297">
        <v>213.4</v>
      </c>
      <c r="X36" s="11"/>
      <c r="Y36" s="297"/>
      <c r="Z36" s="11">
        <v>5</v>
      </c>
      <c r="AA36" s="297">
        <f>1440.3-221.6</f>
        <v>1218.7</v>
      </c>
      <c r="AB36" s="11"/>
      <c r="AC36" s="297"/>
      <c r="AD36" s="11"/>
      <c r="AE36" s="297"/>
      <c r="AF36" s="11">
        <v>1</v>
      </c>
      <c r="AG36" s="297">
        <v>238.8</v>
      </c>
      <c r="AH36" s="11"/>
      <c r="AI36" s="297"/>
      <c r="AJ36" s="240"/>
      <c r="AK36" s="240"/>
      <c r="AL36" s="677">
        <v>1</v>
      </c>
      <c r="AM36" s="240">
        <v>235.9</v>
      </c>
      <c r="AN36" s="313">
        <f t="shared" si="1"/>
        <v>14</v>
      </c>
      <c r="AO36" s="315">
        <f t="shared" si="2"/>
        <v>3183.7000000000003</v>
      </c>
    </row>
    <row r="37" spans="1:41" ht="21">
      <c r="A37" s="10" t="s">
        <v>295</v>
      </c>
      <c r="B37" s="124"/>
      <c r="C37" s="270"/>
      <c r="D37" s="12"/>
      <c r="E37" s="270"/>
      <c r="F37" s="124"/>
      <c r="G37" s="270"/>
      <c r="H37" s="14"/>
      <c r="I37" s="647"/>
      <c r="J37" s="12"/>
      <c r="K37" s="302"/>
      <c r="L37" s="12"/>
      <c r="M37" s="302"/>
      <c r="N37" s="12"/>
      <c r="O37" s="302"/>
      <c r="P37" s="12"/>
      <c r="Q37" s="302"/>
      <c r="R37" s="12"/>
      <c r="S37" s="302"/>
      <c r="T37" s="12"/>
      <c r="U37" s="302"/>
      <c r="V37" s="11"/>
      <c r="W37" s="297"/>
      <c r="Z37" s="11"/>
      <c r="AA37" s="297"/>
      <c r="AB37" s="11">
        <v>1</v>
      </c>
      <c r="AC37" s="297">
        <v>146.3</v>
      </c>
      <c r="AD37" s="11"/>
      <c r="AE37" s="297"/>
      <c r="AF37" s="11"/>
      <c r="AG37" s="297"/>
      <c r="AH37" s="11"/>
      <c r="AI37" s="297"/>
      <c r="AJ37" s="240"/>
      <c r="AK37" s="240"/>
      <c r="AL37" s="677"/>
      <c r="AM37" s="240"/>
      <c r="AN37" s="313">
        <f>SUM(B37,D37,F37,H37,J37,L37,N37,P37,R37,T37,V37,Z37,X37,AB37,AD37,AF37,AH37,AJ37,AL37)</f>
        <v>1</v>
      </c>
      <c r="AO37" s="315">
        <f>SUM(C37,E37,G37,I37,K37,M37,O37,Q37,S37,U37,W37,AA37,Y37,AC37,AE37,AG37,AI37,AK37,AM37)</f>
        <v>146.3</v>
      </c>
    </row>
    <row r="38" spans="1:41" ht="21">
      <c r="A38" s="10" t="s">
        <v>286</v>
      </c>
      <c r="B38" s="124">
        <v>1</v>
      </c>
      <c r="C38" s="270">
        <v>241.8</v>
      </c>
      <c r="D38" s="12"/>
      <c r="E38" s="270"/>
      <c r="F38" s="124"/>
      <c r="G38" s="270"/>
      <c r="H38" s="14"/>
      <c r="I38" s="647"/>
      <c r="J38" s="12">
        <v>1</v>
      </c>
      <c r="K38" s="302">
        <v>192.5</v>
      </c>
      <c r="L38" s="12">
        <v>1</v>
      </c>
      <c r="M38" s="302">
        <v>221.5</v>
      </c>
      <c r="N38" s="12"/>
      <c r="O38" s="302"/>
      <c r="P38" s="12"/>
      <c r="Q38" s="302"/>
      <c r="R38" s="12"/>
      <c r="S38" s="302"/>
      <c r="T38" s="12"/>
      <c r="U38" s="302"/>
      <c r="V38" s="11"/>
      <c r="W38" s="297"/>
      <c r="X38" s="11">
        <v>7</v>
      </c>
      <c r="Y38" s="297">
        <v>10419.6</v>
      </c>
      <c r="Z38" s="11">
        <v>3</v>
      </c>
      <c r="AA38" s="297">
        <v>678.9</v>
      </c>
      <c r="AB38" s="11"/>
      <c r="AC38" s="297"/>
      <c r="AD38" s="11"/>
      <c r="AE38" s="297"/>
      <c r="AF38" s="11"/>
      <c r="AG38" s="297"/>
      <c r="AH38" s="11"/>
      <c r="AI38" s="297"/>
      <c r="AJ38" s="240"/>
      <c r="AK38" s="240"/>
      <c r="AL38" s="677"/>
      <c r="AM38" s="240"/>
      <c r="AN38" s="313">
        <f>SUM(B38,D38,F38,H38,J38,L38,N38,P38,R38,T38,V38,Z38,X38,AB38,AD38,AF38,AH38,AJ38,AL38)</f>
        <v>13</v>
      </c>
      <c r="AO38" s="315">
        <f>SUM(C38,E38,G38,I38,K38,M38,O38,Q38,S38,U38,W38,AA38,Y38,AC38,AE38,AG38,AI38,AK38,AM38)</f>
        <v>11754.3</v>
      </c>
    </row>
    <row r="39" spans="1:41" s="185" customFormat="1" ht="21">
      <c r="A39" s="15" t="s">
        <v>219</v>
      </c>
      <c r="B39" s="179"/>
      <c r="C39" s="479"/>
      <c r="D39" s="468"/>
      <c r="E39" s="479"/>
      <c r="F39" s="179"/>
      <c r="G39" s="479"/>
      <c r="H39" s="17"/>
      <c r="I39" s="648"/>
      <c r="J39" s="468"/>
      <c r="K39" s="469"/>
      <c r="L39" s="468"/>
      <c r="M39" s="469"/>
      <c r="N39" s="468"/>
      <c r="O39" s="469"/>
      <c r="P39" s="468"/>
      <c r="Q39" s="469"/>
      <c r="R39" s="468"/>
      <c r="S39" s="469"/>
      <c r="T39" s="468"/>
      <c r="U39" s="469"/>
      <c r="V39" s="16">
        <v>1</v>
      </c>
      <c r="W39" s="298">
        <v>237.9</v>
      </c>
      <c r="X39" s="16"/>
      <c r="Y39" s="298"/>
      <c r="Z39" s="16"/>
      <c r="AA39" s="298"/>
      <c r="AB39" s="16"/>
      <c r="AC39" s="298"/>
      <c r="AD39" s="16"/>
      <c r="AE39" s="298"/>
      <c r="AF39" s="16">
        <v>1</v>
      </c>
      <c r="AG39" s="298">
        <v>202.2</v>
      </c>
      <c r="AH39" s="16"/>
      <c r="AI39" s="298"/>
      <c r="AJ39" s="269"/>
      <c r="AK39" s="269"/>
      <c r="AL39" s="866"/>
      <c r="AM39" s="269"/>
      <c r="AN39" s="313">
        <f t="shared" si="1"/>
        <v>2</v>
      </c>
      <c r="AO39" s="315">
        <f t="shared" si="2"/>
        <v>440.1</v>
      </c>
    </row>
    <row r="40" spans="1:41" ht="21">
      <c r="A40" s="1240" t="s">
        <v>61</v>
      </c>
      <c r="B40" s="1241"/>
      <c r="C40" s="1242"/>
      <c r="D40" s="1243"/>
      <c r="E40" s="1242"/>
      <c r="F40" s="1243"/>
      <c r="G40" s="1242"/>
      <c r="H40" s="1243"/>
      <c r="I40" s="1244"/>
      <c r="J40" s="1243"/>
      <c r="K40" s="1244"/>
      <c r="L40" s="1243"/>
      <c r="M40" s="1244"/>
      <c r="N40" s="1243"/>
      <c r="O40" s="1244"/>
      <c r="P40" s="1243"/>
      <c r="Q40" s="1244"/>
      <c r="R40" s="1243"/>
      <c r="S40" s="1244"/>
      <c r="T40" s="1243"/>
      <c r="U40" s="1244"/>
      <c r="V40" s="1243"/>
      <c r="W40" s="1244"/>
      <c r="X40" s="1243"/>
      <c r="Y40" s="1244"/>
      <c r="Z40" s="1243"/>
      <c r="AA40" s="1244"/>
      <c r="AB40" s="1243"/>
      <c r="AC40" s="1244"/>
      <c r="AD40" s="1243"/>
      <c r="AE40" s="1244"/>
      <c r="AF40" s="1243"/>
      <c r="AG40" s="1244"/>
      <c r="AH40" s="1243"/>
      <c r="AI40" s="1244"/>
      <c r="AJ40" s="1242"/>
      <c r="AK40" s="1242"/>
      <c r="AL40" s="1245"/>
      <c r="AM40" s="1242"/>
      <c r="AN40" s="1246"/>
      <c r="AO40" s="1248"/>
    </row>
    <row r="41" spans="1:41" ht="21">
      <c r="A41" s="684" t="s">
        <v>401</v>
      </c>
      <c r="B41" s="124">
        <v>1</v>
      </c>
      <c r="C41" s="270">
        <v>164.3</v>
      </c>
      <c r="D41" s="12"/>
      <c r="E41" s="270"/>
      <c r="F41" s="124"/>
      <c r="G41" s="270"/>
      <c r="H41" s="14"/>
      <c r="I41" s="647"/>
      <c r="J41" s="12"/>
      <c r="K41" s="302"/>
      <c r="L41" s="12"/>
      <c r="M41" s="302"/>
      <c r="N41" s="12"/>
      <c r="O41" s="302"/>
      <c r="P41" s="12"/>
      <c r="Q41" s="302"/>
      <c r="R41" s="12"/>
      <c r="S41" s="302"/>
      <c r="T41" s="12"/>
      <c r="U41" s="302"/>
      <c r="V41" s="11"/>
      <c r="W41" s="297"/>
      <c r="X41" s="11"/>
      <c r="Y41" s="297"/>
      <c r="Z41" s="11">
        <v>2</v>
      </c>
      <c r="AA41" s="297">
        <v>269.6</v>
      </c>
      <c r="AB41" s="11"/>
      <c r="AC41" s="297"/>
      <c r="AD41" s="11"/>
      <c r="AE41" s="297"/>
      <c r="AF41" s="11"/>
      <c r="AG41" s="297"/>
      <c r="AH41" s="11"/>
      <c r="AI41" s="297"/>
      <c r="AJ41" s="240"/>
      <c r="AK41" s="240"/>
      <c r="AL41" s="677"/>
      <c r="AM41" s="240"/>
      <c r="AN41" s="313">
        <f t="shared" si="1"/>
        <v>3</v>
      </c>
      <c r="AO41" s="315">
        <f t="shared" si="2"/>
        <v>433.90000000000003</v>
      </c>
    </row>
    <row r="42" spans="1:41" ht="21">
      <c r="A42" s="684" t="s">
        <v>332</v>
      </c>
      <c r="B42" s="124"/>
      <c r="C42" s="270"/>
      <c r="D42" s="12"/>
      <c r="E42" s="270"/>
      <c r="F42" s="124"/>
      <c r="G42" s="270"/>
      <c r="H42" s="14"/>
      <c r="I42" s="647"/>
      <c r="J42" s="12"/>
      <c r="K42" s="302"/>
      <c r="L42" s="12"/>
      <c r="M42" s="302"/>
      <c r="N42" s="12"/>
      <c r="O42" s="302"/>
      <c r="P42" s="12"/>
      <c r="Q42" s="302"/>
      <c r="R42" s="12"/>
      <c r="S42" s="302"/>
      <c r="T42" s="12"/>
      <c r="U42" s="302"/>
      <c r="V42" s="11"/>
      <c r="W42" s="297"/>
      <c r="X42" s="11"/>
      <c r="Y42" s="297">
        <v>1243.6</v>
      </c>
      <c r="Z42" s="11"/>
      <c r="AA42" s="297"/>
      <c r="AB42" s="11"/>
      <c r="AC42" s="297"/>
      <c r="AD42" s="11"/>
      <c r="AE42" s="297"/>
      <c r="AF42" s="11">
        <v>6</v>
      </c>
      <c r="AG42" s="297">
        <v>2049.6</v>
      </c>
      <c r="AH42" s="11"/>
      <c r="AI42" s="297"/>
      <c r="AJ42" s="240"/>
      <c r="AK42" s="240"/>
      <c r="AL42" s="677"/>
      <c r="AM42" s="240"/>
      <c r="AN42" s="313">
        <f t="shared" si="1"/>
        <v>6</v>
      </c>
      <c r="AO42" s="315">
        <f t="shared" si="2"/>
        <v>3293.2</v>
      </c>
    </row>
    <row r="43" spans="1:41" ht="21">
      <c r="A43" s="684" t="s">
        <v>584</v>
      </c>
      <c r="B43" s="124"/>
      <c r="C43" s="270"/>
      <c r="D43" s="12"/>
      <c r="E43" s="270"/>
      <c r="F43" s="124"/>
      <c r="G43" s="270"/>
      <c r="H43" s="14"/>
      <c r="I43" s="647"/>
      <c r="J43" s="12"/>
      <c r="K43" s="302"/>
      <c r="L43" s="12"/>
      <c r="M43" s="302"/>
      <c r="N43" s="12"/>
      <c r="O43" s="302"/>
      <c r="P43" s="12"/>
      <c r="Q43" s="302"/>
      <c r="R43" s="12"/>
      <c r="S43" s="302"/>
      <c r="T43" s="12"/>
      <c r="U43" s="302"/>
      <c r="V43" s="11">
        <v>1</v>
      </c>
      <c r="W43" s="297">
        <v>208.1</v>
      </c>
      <c r="X43" s="11"/>
      <c r="Y43" s="297"/>
      <c r="Z43" s="11"/>
      <c r="AA43" s="297"/>
      <c r="AB43" s="11"/>
      <c r="AC43" s="297"/>
      <c r="AD43" s="11"/>
      <c r="AE43" s="297"/>
      <c r="AF43" s="11"/>
      <c r="AG43" s="297"/>
      <c r="AH43" s="11"/>
      <c r="AI43" s="297"/>
      <c r="AJ43" s="240"/>
      <c r="AK43" s="240"/>
      <c r="AL43" s="677"/>
      <c r="AM43" s="240"/>
      <c r="AN43" s="313">
        <f t="shared" si="1"/>
        <v>1</v>
      </c>
      <c r="AO43" s="315">
        <f t="shared" si="2"/>
        <v>208.1</v>
      </c>
    </row>
    <row r="44" spans="1:41" ht="21">
      <c r="A44" s="684" t="s">
        <v>334</v>
      </c>
      <c r="B44" s="124">
        <v>1</v>
      </c>
      <c r="C44" s="270">
        <v>134.4</v>
      </c>
      <c r="D44" s="12"/>
      <c r="E44" s="270"/>
      <c r="F44" s="124"/>
      <c r="G44" s="270"/>
      <c r="H44" s="14"/>
      <c r="I44" s="647"/>
      <c r="J44" s="12"/>
      <c r="K44" s="302"/>
      <c r="L44" s="12">
        <v>1</v>
      </c>
      <c r="M44" s="302">
        <v>174.3</v>
      </c>
      <c r="N44" s="12">
        <v>1</v>
      </c>
      <c r="O44" s="302">
        <v>152</v>
      </c>
      <c r="P44" s="12"/>
      <c r="Q44" s="302"/>
      <c r="R44" s="12"/>
      <c r="S44" s="302"/>
      <c r="T44" s="12"/>
      <c r="U44" s="302"/>
      <c r="V44" s="11"/>
      <c r="W44" s="297"/>
      <c r="X44" s="11"/>
      <c r="Y44" s="297"/>
      <c r="Z44" s="11">
        <v>5</v>
      </c>
      <c r="AA44" s="297">
        <f>2300.3-144.2</f>
        <v>2156.1000000000004</v>
      </c>
      <c r="AB44" s="11"/>
      <c r="AC44" s="297"/>
      <c r="AD44" s="11"/>
      <c r="AE44" s="297"/>
      <c r="AF44" s="11"/>
      <c r="AG44" s="297"/>
      <c r="AH44" s="11"/>
      <c r="AI44" s="297"/>
      <c r="AJ44" s="240"/>
      <c r="AK44" s="240"/>
      <c r="AL44" s="677">
        <v>1</v>
      </c>
      <c r="AM44" s="240">
        <v>194.1</v>
      </c>
      <c r="AN44" s="313">
        <f t="shared" si="1"/>
        <v>9</v>
      </c>
      <c r="AO44" s="315">
        <f t="shared" si="2"/>
        <v>2810.9</v>
      </c>
    </row>
    <row r="45" spans="1:41" ht="21">
      <c r="A45" s="684" t="s">
        <v>296</v>
      </c>
      <c r="B45" s="124"/>
      <c r="C45" s="270"/>
      <c r="D45" s="12"/>
      <c r="E45" s="270"/>
      <c r="F45" s="124"/>
      <c r="G45" s="270"/>
      <c r="H45" s="14"/>
      <c r="I45" s="647"/>
      <c r="J45" s="12"/>
      <c r="K45" s="302"/>
      <c r="L45" s="12"/>
      <c r="M45" s="302"/>
      <c r="N45" s="12"/>
      <c r="O45" s="302"/>
      <c r="P45" s="12"/>
      <c r="Q45" s="302"/>
      <c r="R45" s="12"/>
      <c r="S45" s="302"/>
      <c r="T45" s="12"/>
      <c r="U45" s="302"/>
      <c r="V45" s="11"/>
      <c r="W45" s="297"/>
      <c r="X45" s="11">
        <v>2</v>
      </c>
      <c r="Y45" s="297">
        <v>340.1</v>
      </c>
      <c r="Z45" s="11"/>
      <c r="AA45" s="297"/>
      <c r="AB45" s="11"/>
      <c r="AC45" s="297"/>
      <c r="AD45" s="11"/>
      <c r="AE45" s="297"/>
      <c r="AF45" s="11"/>
      <c r="AG45" s="297"/>
      <c r="AH45" s="11"/>
      <c r="AI45" s="297"/>
      <c r="AJ45" s="240"/>
      <c r="AK45" s="240"/>
      <c r="AL45" s="677"/>
      <c r="AM45" s="240"/>
      <c r="AN45" s="313">
        <f t="shared" si="1"/>
        <v>2</v>
      </c>
      <c r="AO45" s="315">
        <f t="shared" si="2"/>
        <v>340.1</v>
      </c>
    </row>
    <row r="46" spans="1:41" ht="21">
      <c r="A46" s="684" t="s">
        <v>290</v>
      </c>
      <c r="B46" s="124"/>
      <c r="C46" s="270"/>
      <c r="D46" s="12"/>
      <c r="E46" s="270"/>
      <c r="F46" s="124"/>
      <c r="G46" s="270"/>
      <c r="H46" s="14"/>
      <c r="I46" s="647"/>
      <c r="J46" s="12"/>
      <c r="K46" s="302"/>
      <c r="L46" s="12"/>
      <c r="M46" s="302"/>
      <c r="N46" s="12"/>
      <c r="O46" s="302"/>
      <c r="P46" s="12"/>
      <c r="Q46" s="302"/>
      <c r="R46" s="12"/>
      <c r="S46" s="302"/>
      <c r="T46" s="12"/>
      <c r="U46" s="302"/>
      <c r="V46" s="11"/>
      <c r="W46" s="297">
        <v>100.9</v>
      </c>
      <c r="X46" s="11"/>
      <c r="Y46" s="297"/>
      <c r="Z46" s="11"/>
      <c r="AA46" s="297"/>
      <c r="AB46" s="11"/>
      <c r="AC46" s="297"/>
      <c r="AD46" s="11"/>
      <c r="AE46" s="297"/>
      <c r="AF46" s="11"/>
      <c r="AG46" s="297"/>
      <c r="AH46" s="11"/>
      <c r="AI46" s="297"/>
      <c r="AJ46" s="240"/>
      <c r="AK46" s="240"/>
      <c r="AL46" s="677"/>
      <c r="AM46" s="240"/>
      <c r="AN46" s="313">
        <f t="shared" si="1"/>
        <v>0</v>
      </c>
      <c r="AO46" s="315">
        <f t="shared" si="2"/>
        <v>100.9</v>
      </c>
    </row>
    <row r="47" spans="1:41" ht="21">
      <c r="A47" s="684" t="s">
        <v>298</v>
      </c>
      <c r="B47" s="124"/>
      <c r="C47" s="270"/>
      <c r="D47" s="12"/>
      <c r="E47" s="270"/>
      <c r="F47" s="124"/>
      <c r="G47" s="270"/>
      <c r="H47" s="14"/>
      <c r="I47" s="647"/>
      <c r="J47" s="12"/>
      <c r="K47" s="302"/>
      <c r="L47" s="12"/>
      <c r="M47" s="302"/>
      <c r="N47" s="12"/>
      <c r="O47" s="302"/>
      <c r="P47" s="12"/>
      <c r="Q47" s="302"/>
      <c r="R47" s="12"/>
      <c r="S47" s="302"/>
      <c r="T47" s="12"/>
      <c r="U47" s="302"/>
      <c r="V47" s="11">
        <v>1</v>
      </c>
      <c r="W47" s="297">
        <v>216.9</v>
      </c>
      <c r="X47" s="11">
        <v>1</v>
      </c>
      <c r="Y47" s="297">
        <v>138.6</v>
      </c>
      <c r="Z47" s="11">
        <v>1</v>
      </c>
      <c r="AA47" s="297">
        <v>177.9</v>
      </c>
      <c r="AB47" s="11"/>
      <c r="AC47" s="297"/>
      <c r="AD47" s="11"/>
      <c r="AE47" s="297"/>
      <c r="AF47" s="11"/>
      <c r="AG47" s="297"/>
      <c r="AH47" s="11"/>
      <c r="AI47" s="297"/>
      <c r="AJ47" s="240"/>
      <c r="AK47" s="240"/>
      <c r="AL47" s="677"/>
      <c r="AM47" s="240"/>
      <c r="AN47" s="313">
        <f t="shared" si="1"/>
        <v>3</v>
      </c>
      <c r="AO47" s="315">
        <f t="shared" si="2"/>
        <v>533.4</v>
      </c>
    </row>
    <row r="48" spans="1:41" ht="21">
      <c r="A48" s="684" t="s">
        <v>315</v>
      </c>
      <c r="B48" s="124"/>
      <c r="C48" s="270"/>
      <c r="D48" s="12"/>
      <c r="E48" s="270"/>
      <c r="F48" s="124"/>
      <c r="G48" s="270"/>
      <c r="H48" s="14"/>
      <c r="I48" s="647"/>
      <c r="J48" s="12"/>
      <c r="K48" s="302"/>
      <c r="L48" s="12"/>
      <c r="M48" s="302"/>
      <c r="N48" s="12"/>
      <c r="O48" s="302"/>
      <c r="P48" s="12"/>
      <c r="Q48" s="302"/>
      <c r="R48" s="12"/>
      <c r="S48" s="302"/>
      <c r="T48" s="12"/>
      <c r="U48" s="302"/>
      <c r="V48" s="11">
        <v>1</v>
      </c>
      <c r="W48" s="297">
        <v>215.4</v>
      </c>
      <c r="X48" s="11">
        <v>1</v>
      </c>
      <c r="Y48" s="297">
        <v>162.5</v>
      </c>
      <c r="Z48" s="11">
        <v>1</v>
      </c>
      <c r="AA48" s="297">
        <v>233.6</v>
      </c>
      <c r="AB48" s="11"/>
      <c r="AC48" s="297"/>
      <c r="AD48" s="11"/>
      <c r="AE48" s="297"/>
      <c r="AF48" s="11"/>
      <c r="AG48" s="297"/>
      <c r="AH48" s="11">
        <v>1</v>
      </c>
      <c r="AI48" s="297">
        <v>208.5</v>
      </c>
      <c r="AJ48" s="240"/>
      <c r="AK48" s="240"/>
      <c r="AL48" s="677"/>
      <c r="AM48" s="240"/>
      <c r="AN48" s="313">
        <f t="shared" si="1"/>
        <v>4</v>
      </c>
      <c r="AO48" s="315">
        <f t="shared" si="2"/>
        <v>820</v>
      </c>
    </row>
    <row r="49" spans="1:41" ht="21">
      <c r="A49" s="684" t="s">
        <v>335</v>
      </c>
      <c r="B49" s="124"/>
      <c r="C49" s="270"/>
      <c r="D49" s="12"/>
      <c r="E49" s="270"/>
      <c r="F49" s="124"/>
      <c r="G49" s="270"/>
      <c r="H49" s="14"/>
      <c r="I49" s="647"/>
      <c r="J49" s="12"/>
      <c r="K49" s="302"/>
      <c r="L49" s="12"/>
      <c r="M49" s="302"/>
      <c r="N49" s="12"/>
      <c r="O49" s="302"/>
      <c r="P49" s="12"/>
      <c r="Q49" s="302"/>
      <c r="R49" s="12"/>
      <c r="S49" s="302"/>
      <c r="T49" s="12"/>
      <c r="U49" s="302"/>
      <c r="V49" s="11"/>
      <c r="W49" s="297"/>
      <c r="X49" s="11"/>
      <c r="Y49" s="297"/>
      <c r="Z49" s="11">
        <v>1</v>
      </c>
      <c r="AA49" s="297">
        <v>173.3</v>
      </c>
      <c r="AB49" s="11"/>
      <c r="AC49" s="297"/>
      <c r="AD49" s="11"/>
      <c r="AE49" s="297"/>
      <c r="AF49" s="11">
        <v>1</v>
      </c>
      <c r="AG49" s="297">
        <v>294.2</v>
      </c>
      <c r="AH49" s="11"/>
      <c r="AI49" s="297"/>
      <c r="AJ49" s="240"/>
      <c r="AK49" s="240"/>
      <c r="AL49" s="677"/>
      <c r="AM49" s="240"/>
      <c r="AN49" s="313">
        <f t="shared" si="1"/>
        <v>2</v>
      </c>
      <c r="AO49" s="315">
        <f t="shared" si="2"/>
        <v>467.5</v>
      </c>
    </row>
    <row r="50" spans="1:41" ht="21">
      <c r="A50" s="684" t="s">
        <v>35</v>
      </c>
      <c r="B50" s="124"/>
      <c r="C50" s="270"/>
      <c r="D50" s="12"/>
      <c r="E50" s="270"/>
      <c r="F50" s="124">
        <v>1</v>
      </c>
      <c r="G50" s="270">
        <v>161.6</v>
      </c>
      <c r="H50" s="14"/>
      <c r="I50" s="647"/>
      <c r="J50" s="12">
        <v>1</v>
      </c>
      <c r="K50" s="302">
        <v>145</v>
      </c>
      <c r="L50" s="12"/>
      <c r="M50" s="302"/>
      <c r="N50" s="12"/>
      <c r="O50" s="302"/>
      <c r="P50" s="12"/>
      <c r="Q50" s="302"/>
      <c r="R50" s="12"/>
      <c r="S50" s="302"/>
      <c r="T50" s="12"/>
      <c r="U50" s="302"/>
      <c r="V50" s="11">
        <v>1</v>
      </c>
      <c r="W50" s="297">
        <v>119.1</v>
      </c>
      <c r="X50" s="11"/>
      <c r="Y50" s="297"/>
      <c r="Z50" s="11">
        <v>3</v>
      </c>
      <c r="AA50" s="297">
        <v>433.29999999999995</v>
      </c>
      <c r="AB50" s="11"/>
      <c r="AC50" s="297"/>
      <c r="AD50" s="11"/>
      <c r="AE50" s="297"/>
      <c r="AF50" s="11"/>
      <c r="AG50" s="297"/>
      <c r="AH50" s="11">
        <v>2</v>
      </c>
      <c r="AI50" s="297">
        <v>371.4</v>
      </c>
      <c r="AJ50" s="677"/>
      <c r="AK50" s="240"/>
      <c r="AL50" s="677"/>
      <c r="AM50" s="240"/>
      <c r="AN50" s="313">
        <f t="shared" si="1"/>
        <v>8</v>
      </c>
      <c r="AO50" s="315">
        <f t="shared" si="2"/>
        <v>1230.4</v>
      </c>
    </row>
    <row r="51" spans="1:41" ht="21">
      <c r="A51" s="684" t="s">
        <v>178</v>
      </c>
      <c r="B51" s="124"/>
      <c r="C51" s="270"/>
      <c r="D51" s="12"/>
      <c r="E51" s="270"/>
      <c r="F51" s="124"/>
      <c r="G51" s="270"/>
      <c r="H51" s="14"/>
      <c r="I51" s="647"/>
      <c r="J51" s="12"/>
      <c r="K51" s="302">
        <v>309.6</v>
      </c>
      <c r="L51" s="12"/>
      <c r="M51" s="302"/>
      <c r="N51" s="12"/>
      <c r="O51" s="302"/>
      <c r="P51" s="12"/>
      <c r="Q51" s="302"/>
      <c r="R51" s="12"/>
      <c r="S51" s="302"/>
      <c r="T51" s="12"/>
      <c r="U51" s="302"/>
      <c r="V51" s="11"/>
      <c r="W51" s="297"/>
      <c r="X51" s="11"/>
      <c r="Y51" s="297"/>
      <c r="Z51" s="11"/>
      <c r="AA51" s="297"/>
      <c r="AB51" s="11"/>
      <c r="AC51" s="297">
        <v>259.5</v>
      </c>
      <c r="AD51" s="11">
        <v>1</v>
      </c>
      <c r="AE51" s="297">
        <v>175.7</v>
      </c>
      <c r="AF51" s="11"/>
      <c r="AG51" s="297"/>
      <c r="AH51" s="11"/>
      <c r="AI51" s="297"/>
      <c r="AJ51" s="240"/>
      <c r="AK51" s="240"/>
      <c r="AL51" s="677"/>
      <c r="AM51" s="240"/>
      <c r="AN51" s="313">
        <f t="shared" si="1"/>
        <v>1</v>
      </c>
      <c r="AO51" s="315">
        <f t="shared" si="2"/>
        <v>744.8</v>
      </c>
    </row>
    <row r="52" spans="1:41" ht="21">
      <c r="A52" s="684" t="s">
        <v>468</v>
      </c>
      <c r="B52" s="124">
        <v>1</v>
      </c>
      <c r="C52" s="270">
        <v>174.3</v>
      </c>
      <c r="D52" s="12"/>
      <c r="E52" s="270"/>
      <c r="F52" s="124"/>
      <c r="G52" s="270"/>
      <c r="H52" s="14"/>
      <c r="I52" s="647"/>
      <c r="J52" s="12"/>
      <c r="K52" s="302"/>
      <c r="L52" s="12"/>
      <c r="M52" s="302"/>
      <c r="N52" s="12"/>
      <c r="O52" s="302"/>
      <c r="P52" s="12"/>
      <c r="Q52" s="302"/>
      <c r="R52" s="12"/>
      <c r="S52" s="302"/>
      <c r="T52" s="12"/>
      <c r="U52" s="302"/>
      <c r="V52" s="11"/>
      <c r="W52" s="297">
        <v>314.5</v>
      </c>
      <c r="X52" s="11">
        <v>2</v>
      </c>
      <c r="Y52" s="297">
        <v>280.8</v>
      </c>
      <c r="Z52" s="11">
        <v>2</v>
      </c>
      <c r="AA52" s="297">
        <f>759.3-393.7</f>
        <v>365.59999999999997</v>
      </c>
      <c r="AB52" s="11"/>
      <c r="AC52" s="297">
        <v>308</v>
      </c>
      <c r="AD52" s="11"/>
      <c r="AE52" s="297"/>
      <c r="AF52" s="11">
        <v>1</v>
      </c>
      <c r="AG52" s="297">
        <v>155.4</v>
      </c>
      <c r="AH52" s="11"/>
      <c r="AI52" s="297"/>
      <c r="AJ52" s="240"/>
      <c r="AK52" s="240"/>
      <c r="AL52" s="677"/>
      <c r="AM52" s="240"/>
      <c r="AN52" s="313">
        <f t="shared" si="1"/>
        <v>6</v>
      </c>
      <c r="AO52" s="315">
        <f t="shared" si="2"/>
        <v>1598.6000000000001</v>
      </c>
    </row>
    <row r="53" spans="1:41" ht="21">
      <c r="A53" s="10" t="s">
        <v>156</v>
      </c>
      <c r="B53" s="124"/>
      <c r="C53" s="270"/>
      <c r="D53" s="12"/>
      <c r="E53" s="270"/>
      <c r="F53" s="124">
        <v>1</v>
      </c>
      <c r="G53" s="270">
        <v>168.2</v>
      </c>
      <c r="H53" s="14"/>
      <c r="I53" s="647"/>
      <c r="J53" s="12"/>
      <c r="K53" s="302"/>
      <c r="L53" s="12"/>
      <c r="M53" s="302">
        <v>309.9</v>
      </c>
      <c r="N53" s="12"/>
      <c r="O53" s="302"/>
      <c r="P53" s="12"/>
      <c r="Q53" s="302"/>
      <c r="R53" s="12"/>
      <c r="S53" s="302"/>
      <c r="T53" s="12"/>
      <c r="U53" s="302"/>
      <c r="V53" s="11">
        <v>2</v>
      </c>
      <c r="W53" s="297">
        <v>313.4</v>
      </c>
      <c r="X53" s="11">
        <v>2</v>
      </c>
      <c r="Y53" s="297">
        <v>383</v>
      </c>
      <c r="Z53" s="11">
        <v>1</v>
      </c>
      <c r="AA53" s="297">
        <f>782.6-138.5</f>
        <v>644.1</v>
      </c>
      <c r="AB53" s="11"/>
      <c r="AC53" s="297"/>
      <c r="AD53" s="11"/>
      <c r="AE53" s="297"/>
      <c r="AF53" s="11"/>
      <c r="AG53" s="297"/>
      <c r="AH53" s="11"/>
      <c r="AI53" s="297"/>
      <c r="AJ53" s="240"/>
      <c r="AK53" s="240"/>
      <c r="AL53" s="677">
        <v>1</v>
      </c>
      <c r="AM53" s="240">
        <v>145.2</v>
      </c>
      <c r="AN53" s="313">
        <f t="shared" si="1"/>
        <v>7</v>
      </c>
      <c r="AO53" s="315">
        <f t="shared" si="2"/>
        <v>1963.8</v>
      </c>
    </row>
    <row r="54" spans="1:41" ht="21">
      <c r="A54" s="10" t="s">
        <v>336</v>
      </c>
      <c r="B54" s="124"/>
      <c r="C54" s="270"/>
      <c r="D54" s="12"/>
      <c r="E54" s="270"/>
      <c r="F54" s="124">
        <v>1</v>
      </c>
      <c r="G54" s="270">
        <v>235.3</v>
      </c>
      <c r="H54" s="14"/>
      <c r="I54" s="647"/>
      <c r="J54" s="12"/>
      <c r="K54" s="302"/>
      <c r="L54" s="12"/>
      <c r="M54" s="302"/>
      <c r="N54" s="12"/>
      <c r="O54" s="302"/>
      <c r="P54" s="12"/>
      <c r="Q54" s="302"/>
      <c r="R54" s="12"/>
      <c r="S54" s="302"/>
      <c r="T54" s="12"/>
      <c r="U54" s="302"/>
      <c r="V54" s="11"/>
      <c r="W54" s="297"/>
      <c r="X54" s="11"/>
      <c r="Y54" s="297"/>
      <c r="Z54" s="11">
        <v>2</v>
      </c>
      <c r="AA54" s="297">
        <v>456.6</v>
      </c>
      <c r="AB54" s="11"/>
      <c r="AC54" s="297"/>
      <c r="AD54" s="11"/>
      <c r="AE54" s="297"/>
      <c r="AF54" s="11"/>
      <c r="AG54" s="297"/>
      <c r="AH54" s="11"/>
      <c r="AI54" s="297"/>
      <c r="AJ54" s="240"/>
      <c r="AK54" s="240"/>
      <c r="AL54" s="677"/>
      <c r="AM54" s="240"/>
      <c r="AN54" s="313">
        <f t="shared" si="1"/>
        <v>3</v>
      </c>
      <c r="AO54" s="315">
        <f t="shared" si="2"/>
        <v>691.9000000000001</v>
      </c>
    </row>
    <row r="55" spans="1:41" ht="21">
      <c r="A55" s="10" t="s">
        <v>36</v>
      </c>
      <c r="B55" s="124">
        <v>2</v>
      </c>
      <c r="C55" s="270">
        <v>260</v>
      </c>
      <c r="D55" s="12"/>
      <c r="E55" s="270"/>
      <c r="F55" s="124"/>
      <c r="G55" s="270"/>
      <c r="H55" s="14"/>
      <c r="I55" s="647"/>
      <c r="J55" s="12"/>
      <c r="K55" s="302"/>
      <c r="L55" s="12"/>
      <c r="M55" s="302"/>
      <c r="N55" s="12"/>
      <c r="O55" s="302"/>
      <c r="P55" s="12"/>
      <c r="Q55" s="302"/>
      <c r="R55" s="12"/>
      <c r="S55" s="302"/>
      <c r="T55" s="12"/>
      <c r="U55" s="302"/>
      <c r="V55" s="11"/>
      <c r="W55" s="297"/>
      <c r="X55" s="11"/>
      <c r="Y55" s="297"/>
      <c r="Z55" s="11">
        <v>6</v>
      </c>
      <c r="AA55" s="297">
        <v>1372.3</v>
      </c>
      <c r="AB55" s="11"/>
      <c r="AC55" s="297"/>
      <c r="AD55" s="11"/>
      <c r="AE55" s="297"/>
      <c r="AF55" s="11">
        <v>1</v>
      </c>
      <c r="AG55" s="297">
        <v>180.9</v>
      </c>
      <c r="AH55" s="11"/>
      <c r="AI55" s="297"/>
      <c r="AJ55" s="240"/>
      <c r="AK55" s="240"/>
      <c r="AL55" s="677"/>
      <c r="AM55" s="240"/>
      <c r="AN55" s="313">
        <f t="shared" si="1"/>
        <v>9</v>
      </c>
      <c r="AO55" s="315">
        <f t="shared" si="2"/>
        <v>1813.2</v>
      </c>
    </row>
    <row r="56" spans="1:41" ht="21">
      <c r="A56" s="10" t="s">
        <v>224</v>
      </c>
      <c r="B56" s="124"/>
      <c r="C56" s="270"/>
      <c r="D56" s="12"/>
      <c r="E56" s="270"/>
      <c r="F56" s="124"/>
      <c r="G56" s="270"/>
      <c r="H56" s="14"/>
      <c r="I56" s="647"/>
      <c r="J56" s="12"/>
      <c r="K56" s="302"/>
      <c r="L56" s="12"/>
      <c r="M56" s="302"/>
      <c r="N56" s="12"/>
      <c r="O56" s="302"/>
      <c r="P56" s="12"/>
      <c r="Q56" s="302"/>
      <c r="R56" s="12"/>
      <c r="S56" s="302"/>
      <c r="T56" s="12"/>
      <c r="U56" s="302"/>
      <c r="V56" s="11"/>
      <c r="W56" s="297"/>
      <c r="X56" s="11">
        <v>2</v>
      </c>
      <c r="Y56" s="297">
        <v>326.6</v>
      </c>
      <c r="Z56" s="11"/>
      <c r="AA56" s="297"/>
      <c r="AB56" s="11"/>
      <c r="AC56" s="297"/>
      <c r="AD56" s="11"/>
      <c r="AE56" s="297"/>
      <c r="AF56" s="11"/>
      <c r="AG56" s="297"/>
      <c r="AH56" s="11"/>
      <c r="AI56" s="297"/>
      <c r="AJ56" s="240"/>
      <c r="AK56" s="240"/>
      <c r="AL56" s="677"/>
      <c r="AM56" s="240"/>
      <c r="AN56" s="313">
        <f t="shared" si="1"/>
        <v>2</v>
      </c>
      <c r="AO56" s="315">
        <f t="shared" si="2"/>
        <v>326.6</v>
      </c>
    </row>
    <row r="57" spans="1:41" ht="21">
      <c r="A57" s="10" t="s">
        <v>179</v>
      </c>
      <c r="B57" s="124"/>
      <c r="C57" s="270"/>
      <c r="D57" s="12"/>
      <c r="E57" s="270"/>
      <c r="F57" s="124"/>
      <c r="G57" s="270"/>
      <c r="H57" s="14"/>
      <c r="I57" s="647"/>
      <c r="J57" s="12"/>
      <c r="K57" s="302"/>
      <c r="L57" s="12"/>
      <c r="M57" s="302"/>
      <c r="N57" s="12"/>
      <c r="O57" s="302"/>
      <c r="P57" s="12"/>
      <c r="Q57" s="302"/>
      <c r="R57" s="12"/>
      <c r="S57" s="302"/>
      <c r="T57" s="12"/>
      <c r="U57" s="302"/>
      <c r="V57" s="11">
        <v>1</v>
      </c>
      <c r="W57" s="297">
        <v>201.8</v>
      </c>
      <c r="X57" s="11"/>
      <c r="Y57" s="297"/>
      <c r="Z57" s="11">
        <v>2</v>
      </c>
      <c r="AA57" s="297">
        <v>80.7</v>
      </c>
      <c r="AB57" s="11"/>
      <c r="AC57" s="297">
        <v>83.2</v>
      </c>
      <c r="AD57" s="11"/>
      <c r="AE57" s="297"/>
      <c r="AF57" s="11"/>
      <c r="AG57" s="297"/>
      <c r="AH57" s="11"/>
      <c r="AI57" s="297"/>
      <c r="AJ57" s="240"/>
      <c r="AK57" s="240"/>
      <c r="AL57" s="677"/>
      <c r="AM57" s="240"/>
      <c r="AN57" s="313">
        <f t="shared" si="1"/>
        <v>3</v>
      </c>
      <c r="AO57" s="315">
        <f t="shared" si="2"/>
        <v>365.7</v>
      </c>
    </row>
    <row r="58" spans="1:41" ht="21">
      <c r="A58" s="10" t="s">
        <v>586</v>
      </c>
      <c r="B58" s="124"/>
      <c r="C58" s="270"/>
      <c r="D58" s="12"/>
      <c r="E58" s="270"/>
      <c r="F58" s="124"/>
      <c r="G58" s="270"/>
      <c r="H58" s="14"/>
      <c r="I58" s="647"/>
      <c r="J58" s="12"/>
      <c r="K58" s="302"/>
      <c r="L58" s="12"/>
      <c r="M58" s="302"/>
      <c r="N58" s="12"/>
      <c r="O58" s="302"/>
      <c r="P58" s="12"/>
      <c r="Q58" s="302"/>
      <c r="R58" s="12"/>
      <c r="S58" s="302"/>
      <c r="T58" s="12"/>
      <c r="U58" s="302"/>
      <c r="V58" s="11"/>
      <c r="W58" s="297"/>
      <c r="X58" s="11"/>
      <c r="Y58" s="297"/>
      <c r="Z58" s="11">
        <v>1</v>
      </c>
      <c r="AA58" s="297">
        <v>200</v>
      </c>
      <c r="AB58" s="11"/>
      <c r="AC58" s="297"/>
      <c r="AD58" s="11"/>
      <c r="AE58" s="297"/>
      <c r="AF58" s="11"/>
      <c r="AG58" s="297"/>
      <c r="AH58" s="11"/>
      <c r="AI58" s="297"/>
      <c r="AJ58" s="240"/>
      <c r="AK58" s="240"/>
      <c r="AL58" s="677"/>
      <c r="AM58" s="240"/>
      <c r="AN58" s="313">
        <f t="shared" si="1"/>
        <v>1</v>
      </c>
      <c r="AO58" s="315">
        <f t="shared" si="2"/>
        <v>200</v>
      </c>
    </row>
    <row r="59" spans="1:41" ht="21">
      <c r="A59" s="684" t="s">
        <v>37</v>
      </c>
      <c r="B59" s="124">
        <v>1</v>
      </c>
      <c r="C59" s="270">
        <v>137.1</v>
      </c>
      <c r="D59" s="12"/>
      <c r="E59" s="270"/>
      <c r="F59" s="124"/>
      <c r="G59" s="270"/>
      <c r="H59" s="14"/>
      <c r="I59" s="647"/>
      <c r="J59" s="12"/>
      <c r="K59" s="302">
        <v>577.8</v>
      </c>
      <c r="L59" s="12">
        <v>1</v>
      </c>
      <c r="M59" s="302">
        <v>168.1</v>
      </c>
      <c r="N59" s="12"/>
      <c r="O59" s="302"/>
      <c r="P59" s="12"/>
      <c r="Q59" s="302"/>
      <c r="R59" s="12"/>
      <c r="S59" s="302"/>
      <c r="T59" s="12"/>
      <c r="U59" s="302"/>
      <c r="V59" s="11">
        <v>1</v>
      </c>
      <c r="W59" s="297">
        <v>515.5</v>
      </c>
      <c r="X59" s="11">
        <v>3</v>
      </c>
      <c r="Y59" s="297">
        <v>432.8</v>
      </c>
      <c r="Z59" s="11">
        <v>7</v>
      </c>
      <c r="AA59" s="297">
        <f>1537.9-406.9</f>
        <v>1131</v>
      </c>
      <c r="AB59" s="11">
        <v>1</v>
      </c>
      <c r="AC59" s="297">
        <v>712.8</v>
      </c>
      <c r="AD59" s="11">
        <v>1</v>
      </c>
      <c r="AE59" s="297">
        <v>130.7</v>
      </c>
      <c r="AF59" s="11"/>
      <c r="AG59" s="297"/>
      <c r="AH59" s="11"/>
      <c r="AI59" s="297"/>
      <c r="AJ59" s="240"/>
      <c r="AK59" s="240"/>
      <c r="AL59" s="677"/>
      <c r="AM59" s="240"/>
      <c r="AN59" s="313">
        <f t="shared" si="1"/>
        <v>15</v>
      </c>
      <c r="AO59" s="315">
        <f t="shared" si="2"/>
        <v>3805.8</v>
      </c>
    </row>
    <row r="60" spans="1:41" ht="21">
      <c r="A60" s="684" t="s">
        <v>291</v>
      </c>
      <c r="B60" s="124"/>
      <c r="C60" s="270">
        <v>487.8</v>
      </c>
      <c r="D60" s="12"/>
      <c r="E60" s="270"/>
      <c r="F60" s="124"/>
      <c r="G60" s="270"/>
      <c r="H60" s="14"/>
      <c r="I60" s="647"/>
      <c r="J60" s="12"/>
      <c r="K60" s="302"/>
      <c r="L60" s="12"/>
      <c r="M60" s="302"/>
      <c r="N60" s="12"/>
      <c r="O60" s="302"/>
      <c r="P60" s="12"/>
      <c r="Q60" s="302"/>
      <c r="R60" s="12"/>
      <c r="S60" s="302"/>
      <c r="T60" s="12"/>
      <c r="U60" s="302"/>
      <c r="V60" s="11"/>
      <c r="W60" s="297"/>
      <c r="X60" s="11"/>
      <c r="Y60" s="297">
        <v>1324.1</v>
      </c>
      <c r="Z60" s="11"/>
      <c r="AA60" s="297"/>
      <c r="AB60" s="11"/>
      <c r="AC60" s="297"/>
      <c r="AD60" s="11"/>
      <c r="AE60" s="297"/>
      <c r="AF60" s="11"/>
      <c r="AG60" s="297"/>
      <c r="AH60" s="11"/>
      <c r="AI60" s="297"/>
      <c r="AJ60" s="240"/>
      <c r="AK60" s="240"/>
      <c r="AL60" s="677"/>
      <c r="AM60" s="240"/>
      <c r="AN60" s="313">
        <f t="shared" si="1"/>
        <v>0</v>
      </c>
      <c r="AO60" s="315">
        <f t="shared" si="2"/>
        <v>1811.8999999999999</v>
      </c>
    </row>
    <row r="61" spans="1:41" ht="21">
      <c r="A61" s="684" t="s">
        <v>337</v>
      </c>
      <c r="B61" s="124"/>
      <c r="C61" s="270">
        <v>365.1</v>
      </c>
      <c r="D61" s="12"/>
      <c r="E61" s="270"/>
      <c r="F61" s="124"/>
      <c r="G61" s="270"/>
      <c r="H61" s="14"/>
      <c r="I61" s="647"/>
      <c r="J61" s="12"/>
      <c r="K61" s="302"/>
      <c r="L61" s="12"/>
      <c r="M61" s="302"/>
      <c r="N61" s="12"/>
      <c r="O61" s="302"/>
      <c r="P61" s="12"/>
      <c r="Q61" s="302"/>
      <c r="R61" s="12"/>
      <c r="S61" s="302"/>
      <c r="T61" s="12"/>
      <c r="U61" s="302"/>
      <c r="V61" s="11"/>
      <c r="W61" s="297">
        <v>331.4</v>
      </c>
      <c r="X61" s="11"/>
      <c r="Y61" s="297"/>
      <c r="Z61" s="11"/>
      <c r="AA61" s="297">
        <v>256.4</v>
      </c>
      <c r="AB61" s="11"/>
      <c r="AC61" s="297"/>
      <c r="AD61" s="11"/>
      <c r="AE61" s="297"/>
      <c r="AF61" s="11"/>
      <c r="AG61" s="297"/>
      <c r="AH61" s="11"/>
      <c r="AI61" s="297"/>
      <c r="AJ61" s="240"/>
      <c r="AK61" s="240"/>
      <c r="AL61" s="677"/>
      <c r="AM61" s="240"/>
      <c r="AN61" s="313">
        <f t="shared" si="1"/>
        <v>0</v>
      </c>
      <c r="AO61" s="315">
        <f t="shared" si="2"/>
        <v>952.9</v>
      </c>
    </row>
    <row r="62" spans="1:41" ht="21">
      <c r="A62" s="684" t="s">
        <v>338</v>
      </c>
      <c r="B62" s="124"/>
      <c r="C62" s="270"/>
      <c r="D62" s="12"/>
      <c r="E62" s="270"/>
      <c r="F62" s="124"/>
      <c r="G62" s="270"/>
      <c r="H62" s="14"/>
      <c r="I62" s="647"/>
      <c r="J62" s="12"/>
      <c r="K62" s="302"/>
      <c r="L62" s="12"/>
      <c r="M62" s="302"/>
      <c r="N62" s="12"/>
      <c r="O62" s="302"/>
      <c r="P62" s="12"/>
      <c r="Q62" s="302"/>
      <c r="R62" s="12"/>
      <c r="S62" s="302"/>
      <c r="T62" s="12"/>
      <c r="U62" s="302"/>
      <c r="V62" s="11"/>
      <c r="W62" s="297"/>
      <c r="X62" s="11"/>
      <c r="Y62" s="297"/>
      <c r="Z62" s="11"/>
      <c r="AA62" s="297"/>
      <c r="AB62" s="11"/>
      <c r="AC62" s="297"/>
      <c r="AD62" s="11"/>
      <c r="AE62" s="297"/>
      <c r="AF62" s="11">
        <v>1</v>
      </c>
      <c r="AG62" s="297">
        <v>181.1</v>
      </c>
      <c r="AH62" s="11"/>
      <c r="AI62" s="297"/>
      <c r="AJ62" s="240"/>
      <c r="AK62" s="240"/>
      <c r="AL62" s="677"/>
      <c r="AM62" s="240"/>
      <c r="AN62" s="313">
        <f t="shared" si="1"/>
        <v>1</v>
      </c>
      <c r="AO62" s="315">
        <f t="shared" si="2"/>
        <v>181.1</v>
      </c>
    </row>
    <row r="63" spans="1:41" ht="21">
      <c r="A63" s="10" t="s">
        <v>38</v>
      </c>
      <c r="B63" s="124">
        <v>1</v>
      </c>
      <c r="C63" s="270">
        <v>199.1</v>
      </c>
      <c r="D63" s="12"/>
      <c r="E63" s="270"/>
      <c r="F63" s="124"/>
      <c r="G63" s="270"/>
      <c r="H63" s="14"/>
      <c r="I63" s="647"/>
      <c r="J63" s="12">
        <v>1</v>
      </c>
      <c r="K63" s="302">
        <v>177.9</v>
      </c>
      <c r="L63" s="12"/>
      <c r="M63" s="302"/>
      <c r="N63" s="12"/>
      <c r="O63" s="302"/>
      <c r="P63" s="12"/>
      <c r="Q63" s="302"/>
      <c r="R63" s="12"/>
      <c r="S63" s="302"/>
      <c r="T63" s="12"/>
      <c r="U63" s="302"/>
      <c r="V63" s="11"/>
      <c r="W63" s="297"/>
      <c r="X63" s="11">
        <v>3</v>
      </c>
      <c r="Y63" s="297">
        <v>434.79999999999995</v>
      </c>
      <c r="Z63" s="11">
        <v>2</v>
      </c>
      <c r="AA63" s="297">
        <v>396.2</v>
      </c>
      <c r="AB63" s="11"/>
      <c r="AC63" s="297">
        <v>313.5</v>
      </c>
      <c r="AD63" s="11">
        <v>1</v>
      </c>
      <c r="AE63" s="297">
        <v>136.7</v>
      </c>
      <c r="AF63" s="11">
        <v>1</v>
      </c>
      <c r="AG63" s="297">
        <v>228.9</v>
      </c>
      <c r="AH63" s="11">
        <v>1</v>
      </c>
      <c r="AI63" s="297">
        <v>232.3</v>
      </c>
      <c r="AJ63" s="240"/>
      <c r="AK63" s="240"/>
      <c r="AL63" s="677"/>
      <c r="AM63" s="240"/>
      <c r="AN63" s="313">
        <f t="shared" si="1"/>
        <v>10</v>
      </c>
      <c r="AO63" s="315">
        <f t="shared" si="2"/>
        <v>2119.4</v>
      </c>
    </row>
    <row r="64" spans="1:41" ht="21">
      <c r="A64" s="10" t="s">
        <v>39</v>
      </c>
      <c r="B64" s="124">
        <v>1</v>
      </c>
      <c r="C64" s="270">
        <v>129.1</v>
      </c>
      <c r="D64" s="12"/>
      <c r="E64" s="270"/>
      <c r="F64" s="124"/>
      <c r="G64" s="270"/>
      <c r="H64" s="14"/>
      <c r="I64" s="647"/>
      <c r="J64" s="12">
        <v>1</v>
      </c>
      <c r="K64" s="302">
        <v>159</v>
      </c>
      <c r="L64" s="12">
        <v>1</v>
      </c>
      <c r="M64" s="302">
        <v>175.1</v>
      </c>
      <c r="N64" s="12"/>
      <c r="O64" s="302">
        <v>280.4</v>
      </c>
      <c r="P64" s="12"/>
      <c r="Q64" s="302"/>
      <c r="R64" s="12"/>
      <c r="S64" s="302"/>
      <c r="T64" s="12"/>
      <c r="U64" s="302"/>
      <c r="V64" s="11"/>
      <c r="W64" s="297"/>
      <c r="X64" s="11"/>
      <c r="Y64" s="297"/>
      <c r="Z64" s="11">
        <v>2</v>
      </c>
      <c r="AA64" s="297">
        <v>1179.8</v>
      </c>
      <c r="AB64" s="11"/>
      <c r="AC64" s="297">
        <v>369.9</v>
      </c>
      <c r="AD64" s="11">
        <v>1</v>
      </c>
      <c r="AE64" s="297">
        <v>349.1</v>
      </c>
      <c r="AF64" s="11"/>
      <c r="AG64" s="297"/>
      <c r="AH64" s="11">
        <v>2</v>
      </c>
      <c r="AI64" s="297">
        <v>432.2</v>
      </c>
      <c r="AJ64" s="240"/>
      <c r="AK64" s="240"/>
      <c r="AL64" s="677"/>
      <c r="AM64" s="240"/>
      <c r="AN64" s="313">
        <f t="shared" si="1"/>
        <v>8</v>
      </c>
      <c r="AO64" s="315">
        <f t="shared" si="2"/>
        <v>3074.6</v>
      </c>
    </row>
    <row r="65" spans="1:41" ht="21">
      <c r="A65" s="10" t="s">
        <v>339</v>
      </c>
      <c r="B65" s="124">
        <v>1</v>
      </c>
      <c r="C65" s="270">
        <v>203.8</v>
      </c>
      <c r="D65" s="12"/>
      <c r="E65" s="270"/>
      <c r="F65" s="124">
        <v>1</v>
      </c>
      <c r="G65" s="270">
        <v>246.5</v>
      </c>
      <c r="H65" s="14"/>
      <c r="I65" s="647"/>
      <c r="J65" s="12"/>
      <c r="K65" s="302"/>
      <c r="L65" s="12"/>
      <c r="M65" s="302"/>
      <c r="N65" s="12"/>
      <c r="O65" s="302"/>
      <c r="P65" s="12"/>
      <c r="Q65" s="302"/>
      <c r="R65" s="12"/>
      <c r="S65" s="302"/>
      <c r="T65" s="12"/>
      <c r="U65" s="302"/>
      <c r="V65" s="11"/>
      <c r="W65" s="297"/>
      <c r="X65" s="11"/>
      <c r="Y65" s="297"/>
      <c r="Z65" s="11"/>
      <c r="AA65" s="297"/>
      <c r="AB65" s="11"/>
      <c r="AC65" s="297"/>
      <c r="AD65" s="11"/>
      <c r="AE65" s="297"/>
      <c r="AF65" s="11"/>
      <c r="AG65" s="297"/>
      <c r="AH65" s="11"/>
      <c r="AI65" s="297"/>
      <c r="AJ65" s="240"/>
      <c r="AK65" s="240"/>
      <c r="AL65" s="677"/>
      <c r="AM65" s="240"/>
      <c r="AN65" s="313">
        <f t="shared" si="1"/>
        <v>2</v>
      </c>
      <c r="AO65" s="315">
        <f t="shared" si="2"/>
        <v>450.3</v>
      </c>
    </row>
    <row r="66" spans="1:41" ht="21">
      <c r="A66" s="684" t="s">
        <v>40</v>
      </c>
      <c r="B66" s="124">
        <v>1</v>
      </c>
      <c r="C66" s="270">
        <v>144.5</v>
      </c>
      <c r="D66" s="12"/>
      <c r="E66" s="270"/>
      <c r="F66" s="124">
        <v>1</v>
      </c>
      <c r="G66" s="270">
        <v>178.4</v>
      </c>
      <c r="H66" s="14"/>
      <c r="I66" s="647"/>
      <c r="J66" s="12"/>
      <c r="K66" s="302"/>
      <c r="L66" s="12"/>
      <c r="M66" s="302"/>
      <c r="N66" s="12"/>
      <c r="O66" s="302"/>
      <c r="P66" s="12"/>
      <c r="Q66" s="302"/>
      <c r="R66" s="12"/>
      <c r="S66" s="302"/>
      <c r="T66" s="12"/>
      <c r="U66" s="302"/>
      <c r="V66" s="11">
        <v>1</v>
      </c>
      <c r="W66" s="297">
        <v>164.8</v>
      </c>
      <c r="X66" s="11">
        <v>3</v>
      </c>
      <c r="Y66" s="297">
        <v>442.6</v>
      </c>
      <c r="Z66" s="11">
        <v>7</v>
      </c>
      <c r="AA66" s="297">
        <f>1320.3-150.6</f>
        <v>1169.7</v>
      </c>
      <c r="AB66" s="11"/>
      <c r="AC66" s="297"/>
      <c r="AD66" s="11">
        <v>1</v>
      </c>
      <c r="AE66" s="297">
        <v>133.4</v>
      </c>
      <c r="AF66" s="11"/>
      <c r="AG66" s="297"/>
      <c r="AH66" s="11">
        <v>1</v>
      </c>
      <c r="AI66" s="297">
        <v>171.2</v>
      </c>
      <c r="AJ66" s="240"/>
      <c r="AK66" s="240"/>
      <c r="AL66" s="677">
        <v>1</v>
      </c>
      <c r="AM66" s="240">
        <v>156.2</v>
      </c>
      <c r="AN66" s="313">
        <f t="shared" si="1"/>
        <v>16</v>
      </c>
      <c r="AO66" s="315">
        <f t="shared" si="2"/>
        <v>2560.7999999999997</v>
      </c>
    </row>
    <row r="67" spans="1:41" ht="21">
      <c r="A67" s="10" t="s">
        <v>41</v>
      </c>
      <c r="B67" s="124"/>
      <c r="C67" s="270"/>
      <c r="D67" s="12"/>
      <c r="E67" s="270"/>
      <c r="F67" s="124"/>
      <c r="G67" s="270"/>
      <c r="H67" s="14"/>
      <c r="I67" s="647"/>
      <c r="J67" s="12">
        <v>2</v>
      </c>
      <c r="K67" s="302">
        <v>332.8</v>
      </c>
      <c r="L67" s="12">
        <v>1</v>
      </c>
      <c r="M67" s="302">
        <v>172.3</v>
      </c>
      <c r="N67" s="12"/>
      <c r="O67" s="302"/>
      <c r="P67" s="12"/>
      <c r="Q67" s="302"/>
      <c r="R67" s="12"/>
      <c r="S67" s="302"/>
      <c r="T67" s="12"/>
      <c r="U67" s="302"/>
      <c r="V67" s="11">
        <v>2</v>
      </c>
      <c r="W67" s="297">
        <v>315.2</v>
      </c>
      <c r="X67" s="11">
        <v>1</v>
      </c>
      <c r="Y67" s="297">
        <v>160.5</v>
      </c>
      <c r="Z67" s="11">
        <v>4</v>
      </c>
      <c r="AA67" s="297">
        <v>654.8</v>
      </c>
      <c r="AB67" s="11"/>
      <c r="AC67" s="297">
        <v>447.1</v>
      </c>
      <c r="AD67" s="11"/>
      <c r="AE67" s="297"/>
      <c r="AF67" s="11">
        <v>1</v>
      </c>
      <c r="AG67" s="297">
        <v>158.6</v>
      </c>
      <c r="AH67" s="11"/>
      <c r="AI67" s="297"/>
      <c r="AJ67" s="240"/>
      <c r="AK67" s="240"/>
      <c r="AL67" s="677">
        <v>1</v>
      </c>
      <c r="AM67" s="240">
        <v>145.7</v>
      </c>
      <c r="AN67" s="313">
        <f t="shared" si="1"/>
        <v>12</v>
      </c>
      <c r="AO67" s="315">
        <f t="shared" si="2"/>
        <v>2386.9999999999995</v>
      </c>
    </row>
    <row r="68" spans="1:41" ht="21">
      <c r="A68" s="684" t="s">
        <v>42</v>
      </c>
      <c r="B68" s="124"/>
      <c r="C68" s="270"/>
      <c r="D68" s="12"/>
      <c r="E68" s="270"/>
      <c r="F68" s="124"/>
      <c r="G68" s="270"/>
      <c r="H68" s="14"/>
      <c r="I68" s="647"/>
      <c r="J68" s="12"/>
      <c r="K68" s="302"/>
      <c r="L68" s="12"/>
      <c r="M68" s="302"/>
      <c r="N68" s="12"/>
      <c r="O68" s="302"/>
      <c r="P68" s="12"/>
      <c r="Q68" s="302"/>
      <c r="R68" s="12"/>
      <c r="S68" s="302"/>
      <c r="T68" s="12"/>
      <c r="U68" s="302"/>
      <c r="V68" s="11"/>
      <c r="W68" s="297"/>
      <c r="X68" s="11">
        <v>3</v>
      </c>
      <c r="Y68" s="297">
        <v>1153</v>
      </c>
      <c r="Z68" s="11"/>
      <c r="AA68" s="297"/>
      <c r="AB68" s="11"/>
      <c r="AC68" s="297"/>
      <c r="AD68" s="11"/>
      <c r="AE68" s="297">
        <v>596.6</v>
      </c>
      <c r="AF68" s="11"/>
      <c r="AG68" s="297">
        <v>6983.2</v>
      </c>
      <c r="AH68" s="11"/>
      <c r="AI68" s="297"/>
      <c r="AJ68" s="240"/>
      <c r="AK68" s="240"/>
      <c r="AL68" s="677"/>
      <c r="AM68" s="240"/>
      <c r="AN68" s="313">
        <f t="shared" si="1"/>
        <v>3</v>
      </c>
      <c r="AO68" s="315">
        <f t="shared" si="2"/>
        <v>8732.8</v>
      </c>
    </row>
    <row r="69" spans="1:41" ht="21">
      <c r="A69" s="684" t="s">
        <v>340</v>
      </c>
      <c r="B69" s="124"/>
      <c r="C69" s="270"/>
      <c r="D69" s="12"/>
      <c r="E69" s="270"/>
      <c r="F69" s="124"/>
      <c r="G69" s="270"/>
      <c r="H69" s="14"/>
      <c r="I69" s="647"/>
      <c r="J69" s="12"/>
      <c r="K69" s="302"/>
      <c r="L69" s="12"/>
      <c r="M69" s="302"/>
      <c r="N69" s="12"/>
      <c r="O69" s="302"/>
      <c r="P69" s="12"/>
      <c r="Q69" s="302"/>
      <c r="R69" s="12"/>
      <c r="S69" s="302"/>
      <c r="T69" s="12"/>
      <c r="U69" s="302"/>
      <c r="V69" s="11"/>
      <c r="W69" s="297"/>
      <c r="X69" s="11"/>
      <c r="Y69" s="297"/>
      <c r="Z69" s="11"/>
      <c r="AA69" s="297"/>
      <c r="AB69" s="11"/>
      <c r="AC69" s="297"/>
      <c r="AD69" s="11"/>
      <c r="AE69" s="297"/>
      <c r="AF69" s="11"/>
      <c r="AG69" s="297"/>
      <c r="AH69" s="11">
        <v>1</v>
      </c>
      <c r="AI69" s="297">
        <v>177</v>
      </c>
      <c r="AJ69" s="240"/>
      <c r="AK69" s="240"/>
      <c r="AL69" s="677"/>
      <c r="AM69" s="240"/>
      <c r="AN69" s="313">
        <f t="shared" si="1"/>
        <v>1</v>
      </c>
      <c r="AO69" s="315">
        <f t="shared" si="2"/>
        <v>177</v>
      </c>
    </row>
    <row r="70" spans="1:41" ht="21">
      <c r="A70" s="684" t="s">
        <v>402</v>
      </c>
      <c r="B70" s="124">
        <v>1</v>
      </c>
      <c r="C70" s="240">
        <v>185.1</v>
      </c>
      <c r="D70" s="11"/>
      <c r="E70" s="240"/>
      <c r="F70" s="11"/>
      <c r="G70" s="240"/>
      <c r="H70" s="11"/>
      <c r="I70" s="297"/>
      <c r="J70" s="11"/>
      <c r="K70" s="297"/>
      <c r="L70" s="11"/>
      <c r="M70" s="297"/>
      <c r="N70" s="11"/>
      <c r="O70" s="297"/>
      <c r="P70" s="11"/>
      <c r="Q70" s="297"/>
      <c r="R70" s="11"/>
      <c r="S70" s="297"/>
      <c r="T70" s="11"/>
      <c r="U70" s="297"/>
      <c r="V70" s="11"/>
      <c r="W70" s="297"/>
      <c r="X70" s="11">
        <v>1</v>
      </c>
      <c r="Y70" s="297">
        <v>194.4</v>
      </c>
      <c r="Z70" s="11"/>
      <c r="AA70" s="297"/>
      <c r="AB70" s="11"/>
      <c r="AC70" s="297"/>
      <c r="AD70" s="11"/>
      <c r="AE70" s="297"/>
      <c r="AF70" s="11">
        <v>1</v>
      </c>
      <c r="AG70" s="297">
        <v>217.2</v>
      </c>
      <c r="AH70" s="11">
        <v>2</v>
      </c>
      <c r="AI70" s="297">
        <v>483.7</v>
      </c>
      <c r="AJ70" s="240"/>
      <c r="AK70" s="240"/>
      <c r="AL70" s="677"/>
      <c r="AM70" s="240"/>
      <c r="AN70" s="313">
        <f t="shared" si="1"/>
        <v>5</v>
      </c>
      <c r="AO70" s="315">
        <f t="shared" si="2"/>
        <v>1080.4</v>
      </c>
    </row>
    <row r="71" spans="1:41" ht="21">
      <c r="A71" s="684" t="s">
        <v>43</v>
      </c>
      <c r="B71" s="124">
        <v>2</v>
      </c>
      <c r="C71" s="240">
        <v>340.1</v>
      </c>
      <c r="D71" s="11"/>
      <c r="E71" s="240"/>
      <c r="F71" s="11">
        <v>1</v>
      </c>
      <c r="G71" s="240">
        <v>178.5</v>
      </c>
      <c r="H71" s="11"/>
      <c r="I71" s="297"/>
      <c r="J71" s="11">
        <v>2</v>
      </c>
      <c r="K71" s="297">
        <v>491.7</v>
      </c>
      <c r="L71" s="11">
        <v>2</v>
      </c>
      <c r="M71" s="297">
        <v>355.8</v>
      </c>
      <c r="N71" s="11"/>
      <c r="O71" s="297"/>
      <c r="P71" s="11"/>
      <c r="Q71" s="297"/>
      <c r="R71" s="11"/>
      <c r="S71" s="297"/>
      <c r="T71" s="11"/>
      <c r="U71" s="297"/>
      <c r="V71" s="11">
        <v>3</v>
      </c>
      <c r="W71" s="297">
        <v>437.8</v>
      </c>
      <c r="X71" s="11">
        <v>1</v>
      </c>
      <c r="Y71" s="297">
        <v>146.5</v>
      </c>
      <c r="Z71" s="11">
        <v>7</v>
      </c>
      <c r="AA71" s="297">
        <f>1350.3-139</f>
        <v>1211.3</v>
      </c>
      <c r="AB71" s="11"/>
      <c r="AC71" s="297"/>
      <c r="AD71" s="11">
        <v>1</v>
      </c>
      <c r="AE71" s="297">
        <v>131.2</v>
      </c>
      <c r="AF71" s="11">
        <v>3</v>
      </c>
      <c r="AG71" s="297">
        <v>558.9</v>
      </c>
      <c r="AH71" s="11"/>
      <c r="AI71" s="297"/>
      <c r="AJ71" s="240"/>
      <c r="AK71" s="240"/>
      <c r="AL71" s="677">
        <v>1</v>
      </c>
      <c r="AM71" s="240">
        <v>154</v>
      </c>
      <c r="AN71" s="313">
        <f t="shared" si="1"/>
        <v>23</v>
      </c>
      <c r="AO71" s="315">
        <f t="shared" si="2"/>
        <v>4005.7999999999997</v>
      </c>
    </row>
    <row r="72" spans="1:41" ht="21">
      <c r="A72" s="684" t="s">
        <v>342</v>
      </c>
      <c r="B72" s="124"/>
      <c r="C72" s="240"/>
      <c r="D72" s="11"/>
      <c r="E72" s="240"/>
      <c r="F72" s="11"/>
      <c r="G72" s="240"/>
      <c r="H72" s="11"/>
      <c r="I72" s="297"/>
      <c r="J72" s="11">
        <v>1</v>
      </c>
      <c r="K72" s="297">
        <v>111.6</v>
      </c>
      <c r="L72" s="11"/>
      <c r="M72" s="297"/>
      <c r="N72" s="11"/>
      <c r="O72" s="297"/>
      <c r="P72" s="11"/>
      <c r="Q72" s="297"/>
      <c r="R72" s="11"/>
      <c r="S72" s="297"/>
      <c r="T72" s="11"/>
      <c r="U72" s="297"/>
      <c r="V72" s="11"/>
      <c r="W72" s="297"/>
      <c r="X72" s="11"/>
      <c r="Y72" s="297"/>
      <c r="Z72" s="11"/>
      <c r="AA72" s="297">
        <v>214.9</v>
      </c>
      <c r="AB72" s="11"/>
      <c r="AC72" s="297"/>
      <c r="AD72" s="11"/>
      <c r="AE72" s="297"/>
      <c r="AF72" s="11">
        <v>1</v>
      </c>
      <c r="AG72" s="297">
        <v>223.2</v>
      </c>
      <c r="AH72" s="11"/>
      <c r="AI72" s="297"/>
      <c r="AJ72" s="240"/>
      <c r="AK72" s="240"/>
      <c r="AL72" s="677"/>
      <c r="AM72" s="240"/>
      <c r="AN72" s="313">
        <f t="shared" si="1"/>
        <v>2</v>
      </c>
      <c r="AO72" s="315">
        <f t="shared" si="2"/>
        <v>549.7</v>
      </c>
    </row>
    <row r="73" spans="1:41" ht="21">
      <c r="A73" s="10" t="s">
        <v>44</v>
      </c>
      <c r="B73" s="124"/>
      <c r="C73" s="270"/>
      <c r="D73" s="12"/>
      <c r="E73" s="270"/>
      <c r="F73" s="124"/>
      <c r="G73" s="270"/>
      <c r="H73" s="14"/>
      <c r="I73" s="647"/>
      <c r="J73" s="12"/>
      <c r="K73" s="302"/>
      <c r="L73" s="12"/>
      <c r="M73" s="302"/>
      <c r="N73" s="12"/>
      <c r="O73" s="302"/>
      <c r="P73" s="12"/>
      <c r="Q73" s="302"/>
      <c r="R73" s="12"/>
      <c r="S73" s="302"/>
      <c r="T73" s="12"/>
      <c r="U73" s="302"/>
      <c r="V73" s="11"/>
      <c r="W73" s="297"/>
      <c r="X73" s="11">
        <v>1</v>
      </c>
      <c r="Y73" s="297">
        <v>119.1</v>
      </c>
      <c r="Z73" s="11"/>
      <c r="AA73" s="297">
        <v>851.9</v>
      </c>
      <c r="AB73" s="11"/>
      <c r="AC73" s="297"/>
      <c r="AD73" s="11"/>
      <c r="AE73" s="297"/>
      <c r="AF73" s="11">
        <v>1</v>
      </c>
      <c r="AG73" s="297">
        <v>125.1</v>
      </c>
      <c r="AH73" s="11"/>
      <c r="AI73" s="297"/>
      <c r="AJ73" s="240"/>
      <c r="AK73" s="240"/>
      <c r="AL73" s="677"/>
      <c r="AM73" s="240"/>
      <c r="AN73" s="313">
        <f aca="true" t="shared" si="3" ref="AN73:AN124">SUM(B73,D73,F73,H73,J73,L73,N73,P73,R73,T73,V73,Z73,X73,AB73,AD73,AF73,AH73,AJ73,AL73)</f>
        <v>2</v>
      </c>
      <c r="AO73" s="315">
        <f aca="true" t="shared" si="4" ref="AO73:AO125">SUM(C73,E73,G73,I73,K73,M73,O73,Q73,S73,U73,W73,AA73,Y73,AC73,AE73,AG73,AI73,AK73,AM73)</f>
        <v>1096.1</v>
      </c>
    </row>
    <row r="74" spans="1:41" ht="21">
      <c r="A74" s="10" t="s">
        <v>161</v>
      </c>
      <c r="B74" s="124"/>
      <c r="C74" s="270"/>
      <c r="D74" s="12"/>
      <c r="E74" s="270"/>
      <c r="F74" s="124"/>
      <c r="G74" s="270"/>
      <c r="H74" s="14"/>
      <c r="I74" s="647"/>
      <c r="J74" s="12"/>
      <c r="K74" s="302"/>
      <c r="L74" s="12"/>
      <c r="M74" s="302"/>
      <c r="N74" s="12"/>
      <c r="O74" s="302"/>
      <c r="P74" s="12"/>
      <c r="Q74" s="302"/>
      <c r="R74" s="12"/>
      <c r="S74" s="302"/>
      <c r="T74" s="12"/>
      <c r="U74" s="302"/>
      <c r="V74" s="11"/>
      <c r="W74" s="297"/>
      <c r="X74" s="11"/>
      <c r="Y74" s="297"/>
      <c r="Z74" s="11"/>
      <c r="AA74" s="297"/>
      <c r="AB74" s="11">
        <v>2</v>
      </c>
      <c r="AC74" s="297">
        <v>491.4</v>
      </c>
      <c r="AD74" s="11"/>
      <c r="AE74" s="297"/>
      <c r="AF74" s="11"/>
      <c r="AG74" s="297"/>
      <c r="AH74" s="11"/>
      <c r="AI74" s="297"/>
      <c r="AJ74" s="240"/>
      <c r="AK74" s="240"/>
      <c r="AL74" s="677"/>
      <c r="AM74" s="240"/>
      <c r="AN74" s="313">
        <f t="shared" si="3"/>
        <v>2</v>
      </c>
      <c r="AO74" s="315">
        <f t="shared" si="4"/>
        <v>491.4</v>
      </c>
    </row>
    <row r="75" spans="1:41" ht="21">
      <c r="A75" s="10" t="s">
        <v>403</v>
      </c>
      <c r="B75" s="124"/>
      <c r="C75" s="270"/>
      <c r="D75" s="12"/>
      <c r="E75" s="270"/>
      <c r="F75" s="124"/>
      <c r="G75" s="270"/>
      <c r="H75" s="14"/>
      <c r="I75" s="647"/>
      <c r="J75" s="12"/>
      <c r="K75" s="302"/>
      <c r="L75" s="12"/>
      <c r="M75" s="302"/>
      <c r="N75" s="12"/>
      <c r="O75" s="302"/>
      <c r="P75" s="12"/>
      <c r="Q75" s="302"/>
      <c r="R75" s="12"/>
      <c r="S75" s="302"/>
      <c r="T75" s="12"/>
      <c r="U75" s="302"/>
      <c r="V75" s="11"/>
      <c r="W75" s="297"/>
      <c r="X75" s="11">
        <v>1</v>
      </c>
      <c r="Y75" s="297">
        <v>233.3</v>
      </c>
      <c r="Z75" s="11">
        <v>2</v>
      </c>
      <c r="AA75" s="297">
        <v>517.1</v>
      </c>
      <c r="AB75" s="11"/>
      <c r="AC75" s="297"/>
      <c r="AD75" s="11"/>
      <c r="AE75" s="297"/>
      <c r="AF75" s="11">
        <v>1</v>
      </c>
      <c r="AG75" s="297">
        <v>210.3</v>
      </c>
      <c r="AH75" s="11"/>
      <c r="AI75" s="297"/>
      <c r="AJ75" s="240"/>
      <c r="AK75" s="240"/>
      <c r="AL75" s="677"/>
      <c r="AM75" s="240"/>
      <c r="AN75" s="313">
        <f t="shared" si="3"/>
        <v>4</v>
      </c>
      <c r="AO75" s="315">
        <f t="shared" si="4"/>
        <v>960.7</v>
      </c>
    </row>
    <row r="76" spans="1:41" ht="21">
      <c r="A76" s="10" t="s">
        <v>343</v>
      </c>
      <c r="B76" s="124">
        <v>1</v>
      </c>
      <c r="C76" s="270">
        <v>172.1</v>
      </c>
      <c r="D76" s="12"/>
      <c r="E76" s="270"/>
      <c r="F76" s="124"/>
      <c r="G76" s="270"/>
      <c r="H76" s="14"/>
      <c r="I76" s="647"/>
      <c r="J76" s="12"/>
      <c r="K76" s="302"/>
      <c r="L76" s="12"/>
      <c r="M76" s="302"/>
      <c r="N76" s="12"/>
      <c r="O76" s="302"/>
      <c r="P76" s="12"/>
      <c r="Q76" s="302"/>
      <c r="R76" s="12"/>
      <c r="S76" s="302"/>
      <c r="T76" s="12"/>
      <c r="U76" s="302"/>
      <c r="V76" s="11"/>
      <c r="W76" s="297"/>
      <c r="X76" s="11"/>
      <c r="Y76" s="297"/>
      <c r="Z76" s="11">
        <v>1</v>
      </c>
      <c r="AA76" s="297">
        <v>183.2</v>
      </c>
      <c r="AB76" s="11"/>
      <c r="AC76" s="297"/>
      <c r="AD76" s="11"/>
      <c r="AE76" s="297"/>
      <c r="AF76" s="11"/>
      <c r="AG76" s="297"/>
      <c r="AH76" s="11"/>
      <c r="AI76" s="297"/>
      <c r="AJ76" s="240"/>
      <c r="AK76" s="240"/>
      <c r="AL76" s="677"/>
      <c r="AM76" s="240"/>
      <c r="AN76" s="313">
        <f t="shared" si="3"/>
        <v>2</v>
      </c>
      <c r="AO76" s="315">
        <f t="shared" si="4"/>
        <v>355.29999999999995</v>
      </c>
    </row>
    <row r="77" spans="1:41" ht="21">
      <c r="A77" s="10" t="s">
        <v>366</v>
      </c>
      <c r="B77" s="124"/>
      <c r="C77" s="270">
        <v>268.8</v>
      </c>
      <c r="D77" s="12"/>
      <c r="E77" s="270"/>
      <c r="F77" s="124"/>
      <c r="G77" s="270"/>
      <c r="H77" s="14"/>
      <c r="I77" s="647"/>
      <c r="J77" s="12"/>
      <c r="K77" s="302"/>
      <c r="L77" s="12"/>
      <c r="M77" s="302"/>
      <c r="N77" s="12"/>
      <c r="O77" s="302"/>
      <c r="P77" s="12"/>
      <c r="Q77" s="302"/>
      <c r="R77" s="12"/>
      <c r="S77" s="302"/>
      <c r="T77" s="12"/>
      <c r="U77" s="302"/>
      <c r="V77" s="11"/>
      <c r="W77" s="297"/>
      <c r="X77" s="11">
        <v>2</v>
      </c>
      <c r="Y77" s="297">
        <v>279.8</v>
      </c>
      <c r="Z77" s="11"/>
      <c r="AA77" s="297">
        <v>358.6</v>
      </c>
      <c r="AB77" s="11"/>
      <c r="AC77" s="297"/>
      <c r="AD77" s="11"/>
      <c r="AE77" s="297"/>
      <c r="AF77" s="11">
        <v>1</v>
      </c>
      <c r="AG77" s="297">
        <v>234.2</v>
      </c>
      <c r="AH77" s="11"/>
      <c r="AI77" s="297"/>
      <c r="AJ77" s="240"/>
      <c r="AK77" s="240"/>
      <c r="AL77" s="677"/>
      <c r="AM77" s="240"/>
      <c r="AN77" s="313">
        <f t="shared" si="3"/>
        <v>3</v>
      </c>
      <c r="AO77" s="315">
        <f t="shared" si="4"/>
        <v>1141.4</v>
      </c>
    </row>
    <row r="78" spans="1:41" ht="21">
      <c r="A78" s="684" t="s">
        <v>45</v>
      </c>
      <c r="B78" s="124"/>
      <c r="C78" s="270"/>
      <c r="D78" s="12"/>
      <c r="E78" s="270"/>
      <c r="F78" s="124"/>
      <c r="G78" s="270"/>
      <c r="H78" s="14"/>
      <c r="I78" s="647"/>
      <c r="J78" s="12">
        <v>1</v>
      </c>
      <c r="K78" s="302">
        <v>114.5</v>
      </c>
      <c r="L78" s="12"/>
      <c r="M78" s="302"/>
      <c r="N78" s="12"/>
      <c r="O78" s="302"/>
      <c r="P78" s="12"/>
      <c r="Q78" s="302"/>
      <c r="R78" s="12"/>
      <c r="S78" s="302"/>
      <c r="T78" s="12"/>
      <c r="U78" s="302"/>
      <c r="V78" s="11">
        <v>2</v>
      </c>
      <c r="W78" s="297">
        <v>318.3</v>
      </c>
      <c r="X78" s="11">
        <v>2</v>
      </c>
      <c r="Y78" s="297">
        <v>226.2</v>
      </c>
      <c r="Z78" s="11">
        <v>3</v>
      </c>
      <c r="AA78" s="297">
        <f>787.2-190.7</f>
        <v>596.5</v>
      </c>
      <c r="AB78" s="11"/>
      <c r="AC78" s="297"/>
      <c r="AD78" s="11"/>
      <c r="AE78" s="297"/>
      <c r="AF78" s="11">
        <v>1</v>
      </c>
      <c r="AG78" s="297">
        <v>201</v>
      </c>
      <c r="AH78" s="11"/>
      <c r="AI78" s="297"/>
      <c r="AJ78" s="240"/>
      <c r="AK78" s="240"/>
      <c r="AL78" s="677"/>
      <c r="AM78" s="240"/>
      <c r="AN78" s="313">
        <f t="shared" si="3"/>
        <v>9</v>
      </c>
      <c r="AO78" s="315">
        <f t="shared" si="4"/>
        <v>1456.5</v>
      </c>
    </row>
    <row r="79" spans="1:41" ht="21">
      <c r="A79" s="10" t="s">
        <v>46</v>
      </c>
      <c r="B79" s="124">
        <v>1</v>
      </c>
      <c r="C79" s="270">
        <v>754.8</v>
      </c>
      <c r="D79" s="12"/>
      <c r="E79" s="270"/>
      <c r="F79" s="124">
        <v>1</v>
      </c>
      <c r="G79" s="270">
        <v>514.3</v>
      </c>
      <c r="H79" s="14"/>
      <c r="I79" s="647"/>
      <c r="J79" s="12"/>
      <c r="K79" s="302">
        <v>287.6</v>
      </c>
      <c r="L79" s="12"/>
      <c r="M79" s="302"/>
      <c r="N79" s="12"/>
      <c r="O79" s="302"/>
      <c r="P79" s="12"/>
      <c r="Q79" s="302"/>
      <c r="R79" s="12"/>
      <c r="S79" s="302"/>
      <c r="T79" s="12"/>
      <c r="U79" s="302"/>
      <c r="V79" s="11"/>
      <c r="W79" s="297">
        <v>304.1</v>
      </c>
      <c r="X79" s="11">
        <v>1</v>
      </c>
      <c r="Y79" s="297">
        <v>542.8</v>
      </c>
      <c r="Z79" s="11"/>
      <c r="AA79" s="297"/>
      <c r="AB79" s="11"/>
      <c r="AC79" s="297">
        <v>285.5</v>
      </c>
      <c r="AD79" s="11">
        <v>1</v>
      </c>
      <c r="AE79" s="297">
        <v>130.7</v>
      </c>
      <c r="AF79" s="11"/>
      <c r="AG79" s="297"/>
      <c r="AH79" s="11"/>
      <c r="AI79" s="297"/>
      <c r="AJ79" s="240"/>
      <c r="AK79" s="240"/>
      <c r="AL79" s="677"/>
      <c r="AM79" s="240"/>
      <c r="AN79" s="313">
        <f t="shared" si="3"/>
        <v>4</v>
      </c>
      <c r="AO79" s="315">
        <f t="shared" si="4"/>
        <v>2819.7999999999993</v>
      </c>
    </row>
    <row r="80" spans="1:41" ht="21">
      <c r="A80" s="10" t="s">
        <v>297</v>
      </c>
      <c r="B80" s="124"/>
      <c r="C80" s="270"/>
      <c r="D80" s="12"/>
      <c r="E80" s="270"/>
      <c r="F80" s="124"/>
      <c r="G80" s="270"/>
      <c r="H80" s="14"/>
      <c r="I80" s="647"/>
      <c r="J80" s="12"/>
      <c r="K80" s="302"/>
      <c r="L80" s="12"/>
      <c r="M80" s="302"/>
      <c r="N80" s="12"/>
      <c r="O80" s="302"/>
      <c r="P80" s="12"/>
      <c r="Q80" s="302"/>
      <c r="R80" s="12"/>
      <c r="S80" s="302"/>
      <c r="T80" s="12"/>
      <c r="U80" s="302"/>
      <c r="V80" s="11"/>
      <c r="W80" s="297"/>
      <c r="X80" s="11">
        <v>1</v>
      </c>
      <c r="Y80" s="297">
        <v>204.8</v>
      </c>
      <c r="Z80" s="11">
        <v>2</v>
      </c>
      <c r="AA80" s="297">
        <v>480.9</v>
      </c>
      <c r="AB80" s="11"/>
      <c r="AC80" s="297"/>
      <c r="AD80" s="11">
        <v>1</v>
      </c>
      <c r="AE80" s="297">
        <v>198.8</v>
      </c>
      <c r="AF80" s="11">
        <v>3</v>
      </c>
      <c r="AG80" s="297">
        <v>687.9</v>
      </c>
      <c r="AH80" s="11">
        <v>2</v>
      </c>
      <c r="AI80" s="297">
        <v>477.3</v>
      </c>
      <c r="AJ80" s="240"/>
      <c r="AK80" s="240"/>
      <c r="AL80" s="677"/>
      <c r="AM80" s="240"/>
      <c r="AN80" s="313">
        <f t="shared" si="3"/>
        <v>9</v>
      </c>
      <c r="AO80" s="315">
        <f t="shared" si="4"/>
        <v>2049.7000000000003</v>
      </c>
    </row>
    <row r="81" spans="1:41" s="134" customFormat="1" ht="21">
      <c r="A81" s="10" t="s">
        <v>345</v>
      </c>
      <c r="B81" s="124"/>
      <c r="C81" s="270"/>
      <c r="D81" s="12"/>
      <c r="E81" s="270"/>
      <c r="F81" s="124">
        <v>1</v>
      </c>
      <c r="G81" s="270">
        <v>160.5</v>
      </c>
      <c r="H81" s="14"/>
      <c r="I81" s="647"/>
      <c r="J81" s="12">
        <v>2</v>
      </c>
      <c r="K81" s="302">
        <v>230.8</v>
      </c>
      <c r="L81" s="12">
        <v>3</v>
      </c>
      <c r="M81" s="302">
        <v>476.5</v>
      </c>
      <c r="N81" s="12"/>
      <c r="O81" s="302"/>
      <c r="P81" s="12"/>
      <c r="Q81" s="302"/>
      <c r="R81" s="12"/>
      <c r="S81" s="302"/>
      <c r="T81" s="12"/>
      <c r="U81" s="302"/>
      <c r="V81" s="11">
        <v>2</v>
      </c>
      <c r="W81" s="297">
        <v>301.6</v>
      </c>
      <c r="X81" s="11">
        <v>1</v>
      </c>
      <c r="Y81" s="297">
        <v>138.9</v>
      </c>
      <c r="Z81" s="11">
        <v>1</v>
      </c>
      <c r="AA81" s="297">
        <v>176.9</v>
      </c>
      <c r="AB81" s="11"/>
      <c r="AC81" s="297"/>
      <c r="AD81" s="11">
        <v>1</v>
      </c>
      <c r="AE81" s="297">
        <v>118.5</v>
      </c>
      <c r="AF81" s="11"/>
      <c r="AG81" s="297"/>
      <c r="AH81" s="11"/>
      <c r="AI81" s="297"/>
      <c r="AJ81" s="240"/>
      <c r="AK81" s="240"/>
      <c r="AL81" s="677"/>
      <c r="AM81" s="240"/>
      <c r="AN81" s="313">
        <f t="shared" si="3"/>
        <v>11</v>
      </c>
      <c r="AO81" s="315">
        <f t="shared" si="4"/>
        <v>1603.7000000000003</v>
      </c>
    </row>
    <row r="82" spans="1:41" ht="21">
      <c r="A82" s="10" t="s">
        <v>47</v>
      </c>
      <c r="B82" s="124">
        <v>2</v>
      </c>
      <c r="C82" s="270">
        <v>534.7</v>
      </c>
      <c r="D82" s="12"/>
      <c r="E82" s="270"/>
      <c r="F82" s="124"/>
      <c r="G82" s="270"/>
      <c r="H82" s="14"/>
      <c r="I82" s="647"/>
      <c r="J82" s="12">
        <v>2</v>
      </c>
      <c r="K82" s="302">
        <v>239.7</v>
      </c>
      <c r="L82" s="12">
        <v>2</v>
      </c>
      <c r="M82" s="302">
        <v>339</v>
      </c>
      <c r="N82" s="12"/>
      <c r="O82" s="302"/>
      <c r="P82" s="12"/>
      <c r="Q82" s="302"/>
      <c r="R82" s="12"/>
      <c r="S82" s="302"/>
      <c r="T82" s="12"/>
      <c r="U82" s="302"/>
      <c r="V82" s="11">
        <v>1</v>
      </c>
      <c r="W82" s="297">
        <v>153.8</v>
      </c>
      <c r="X82" s="11">
        <v>4</v>
      </c>
      <c r="Y82" s="297">
        <v>689.2</v>
      </c>
      <c r="Z82" s="11">
        <v>3</v>
      </c>
      <c r="AA82" s="297">
        <v>410.8</v>
      </c>
      <c r="AB82" s="11"/>
      <c r="AC82" s="297"/>
      <c r="AD82" s="11">
        <v>1</v>
      </c>
      <c r="AE82" s="297">
        <v>127.8</v>
      </c>
      <c r="AF82" s="11">
        <v>2</v>
      </c>
      <c r="AG82" s="297">
        <v>342.2</v>
      </c>
      <c r="AH82" s="11"/>
      <c r="AI82" s="297"/>
      <c r="AJ82" s="240"/>
      <c r="AK82" s="240"/>
      <c r="AL82" s="677"/>
      <c r="AM82" s="240"/>
      <c r="AN82" s="313">
        <f t="shared" si="3"/>
        <v>17</v>
      </c>
      <c r="AO82" s="315">
        <f t="shared" si="4"/>
        <v>2837.2</v>
      </c>
    </row>
    <row r="83" spans="1:41" ht="21">
      <c r="A83" s="10" t="s">
        <v>48</v>
      </c>
      <c r="B83" s="124"/>
      <c r="C83" s="270"/>
      <c r="D83" s="12"/>
      <c r="E83" s="270"/>
      <c r="F83" s="124"/>
      <c r="G83" s="270"/>
      <c r="H83" s="14"/>
      <c r="I83" s="647"/>
      <c r="J83" s="12"/>
      <c r="K83" s="302"/>
      <c r="L83" s="12"/>
      <c r="M83" s="302"/>
      <c r="N83" s="12"/>
      <c r="O83" s="302"/>
      <c r="P83" s="12"/>
      <c r="Q83" s="302"/>
      <c r="R83" s="12"/>
      <c r="S83" s="302"/>
      <c r="T83" s="12"/>
      <c r="U83" s="302"/>
      <c r="V83" s="11"/>
      <c r="W83" s="297">
        <v>449.9</v>
      </c>
      <c r="X83" s="11"/>
      <c r="Y83" s="297"/>
      <c r="Z83" s="11">
        <v>1</v>
      </c>
      <c r="AA83" s="297">
        <f>357.9-151.2</f>
        <v>206.7</v>
      </c>
      <c r="AB83" s="11"/>
      <c r="AC83" s="297"/>
      <c r="AD83" s="11"/>
      <c r="AE83" s="297"/>
      <c r="AF83" s="11">
        <v>1</v>
      </c>
      <c r="AG83" s="297">
        <v>150.8</v>
      </c>
      <c r="AH83" s="11"/>
      <c r="AI83" s="297"/>
      <c r="AJ83" s="240"/>
      <c r="AK83" s="240"/>
      <c r="AL83" s="677"/>
      <c r="AM83" s="240"/>
      <c r="AN83" s="313">
        <f t="shared" si="3"/>
        <v>2</v>
      </c>
      <c r="AO83" s="315">
        <f t="shared" si="4"/>
        <v>807.3999999999999</v>
      </c>
    </row>
    <row r="84" spans="1:41" ht="21">
      <c r="A84" s="10" t="s">
        <v>302</v>
      </c>
      <c r="B84" s="124">
        <v>1</v>
      </c>
      <c r="C84" s="270">
        <v>148.3</v>
      </c>
      <c r="D84" s="12"/>
      <c r="E84" s="270"/>
      <c r="F84" s="124"/>
      <c r="G84" s="270"/>
      <c r="H84" s="14"/>
      <c r="I84" s="647"/>
      <c r="J84" s="12"/>
      <c r="K84" s="302"/>
      <c r="L84" s="12"/>
      <c r="M84" s="302"/>
      <c r="N84" s="12"/>
      <c r="O84" s="302"/>
      <c r="P84" s="12"/>
      <c r="Q84" s="302"/>
      <c r="R84" s="12"/>
      <c r="S84" s="302"/>
      <c r="T84" s="12"/>
      <c r="U84" s="302"/>
      <c r="V84" s="11"/>
      <c r="W84" s="297"/>
      <c r="X84" s="11"/>
      <c r="Y84" s="297"/>
      <c r="Z84" s="11"/>
      <c r="AA84" s="297"/>
      <c r="AB84" s="11"/>
      <c r="AC84" s="297"/>
      <c r="AD84" s="11"/>
      <c r="AE84" s="297"/>
      <c r="AF84" s="11"/>
      <c r="AG84" s="297"/>
      <c r="AH84" s="11">
        <v>1</v>
      </c>
      <c r="AI84" s="297">
        <v>164.4</v>
      </c>
      <c r="AJ84" s="240"/>
      <c r="AK84" s="240"/>
      <c r="AL84" s="677"/>
      <c r="AM84" s="240"/>
      <c r="AN84" s="313">
        <f t="shared" si="3"/>
        <v>2</v>
      </c>
      <c r="AO84" s="315">
        <f t="shared" si="4"/>
        <v>312.70000000000005</v>
      </c>
    </row>
    <row r="85" spans="1:41" ht="21">
      <c r="A85" s="1173" t="s">
        <v>120</v>
      </c>
      <c r="B85" s="1269"/>
      <c r="C85" s="1270"/>
      <c r="D85" s="1271"/>
      <c r="E85" s="1270"/>
      <c r="F85" s="1269"/>
      <c r="G85" s="1270"/>
      <c r="H85" s="1272"/>
      <c r="I85" s="1273"/>
      <c r="J85" s="1271"/>
      <c r="K85" s="1274"/>
      <c r="L85" s="1271"/>
      <c r="M85" s="1274"/>
      <c r="N85" s="1271"/>
      <c r="O85" s="1274"/>
      <c r="P85" s="1271"/>
      <c r="Q85" s="1274"/>
      <c r="R85" s="1271"/>
      <c r="S85" s="1274"/>
      <c r="T85" s="1271"/>
      <c r="U85" s="1274"/>
      <c r="V85" s="1162"/>
      <c r="W85" s="1163"/>
      <c r="X85" s="1162"/>
      <c r="Y85" s="1163"/>
      <c r="Z85" s="1162"/>
      <c r="AA85" s="1163"/>
      <c r="AB85" s="1162"/>
      <c r="AC85" s="1163"/>
      <c r="AD85" s="1162"/>
      <c r="AE85" s="1163"/>
      <c r="AF85" s="1162"/>
      <c r="AG85" s="1163"/>
      <c r="AH85" s="1162"/>
      <c r="AI85" s="1163"/>
      <c r="AJ85" s="1275"/>
      <c r="AK85" s="1275"/>
      <c r="AL85" s="1276"/>
      <c r="AM85" s="1275"/>
      <c r="AN85" s="1277"/>
      <c r="AO85" s="1278"/>
    </row>
    <row r="86" spans="1:41" ht="21">
      <c r="A86" s="10" t="s">
        <v>348</v>
      </c>
      <c r="B86" s="124"/>
      <c r="C86" s="270"/>
      <c r="D86" s="12"/>
      <c r="E86" s="270"/>
      <c r="F86" s="124"/>
      <c r="G86" s="270"/>
      <c r="H86" s="14"/>
      <c r="I86" s="647"/>
      <c r="J86" s="12"/>
      <c r="K86" s="302"/>
      <c r="L86" s="12"/>
      <c r="M86" s="302"/>
      <c r="N86" s="12"/>
      <c r="O86" s="302"/>
      <c r="P86" s="12"/>
      <c r="Q86" s="302"/>
      <c r="R86" s="12"/>
      <c r="S86" s="302"/>
      <c r="T86" s="12"/>
      <c r="U86" s="302"/>
      <c r="V86" s="11"/>
      <c r="W86" s="297"/>
      <c r="X86" s="11"/>
      <c r="Y86" s="297"/>
      <c r="Z86" s="11">
        <v>3</v>
      </c>
      <c r="AA86" s="297">
        <v>447.7</v>
      </c>
      <c r="AB86" s="11"/>
      <c r="AC86" s="297"/>
      <c r="AD86" s="11"/>
      <c r="AE86" s="297"/>
      <c r="AF86" s="11"/>
      <c r="AG86" s="297"/>
      <c r="AH86" s="11"/>
      <c r="AI86" s="297"/>
      <c r="AJ86" s="240"/>
      <c r="AK86" s="240"/>
      <c r="AL86" s="677"/>
      <c r="AM86" s="240"/>
      <c r="AN86" s="313">
        <f>SUM(B86,D86,F86,H86,J86,L86,N86,P86,R86,T86,V86,Z86,X86,AB86,AD86,AF86,AH86,AJ86,AL86)</f>
        <v>3</v>
      </c>
      <c r="AO86" s="315">
        <f>SUM(C86,E86,G86,I86,K86,M86,O86,Q86,S86,U86,W86,AA86,Y86,AC86,AE86,AG86,AI86,AK86,AM86)</f>
        <v>447.7</v>
      </c>
    </row>
    <row r="87" spans="1:41" ht="21">
      <c r="A87" s="10" t="s">
        <v>288</v>
      </c>
      <c r="B87" s="124"/>
      <c r="C87" s="270"/>
      <c r="D87" s="12"/>
      <c r="E87" s="270"/>
      <c r="F87" s="124"/>
      <c r="G87" s="270"/>
      <c r="H87" s="14"/>
      <c r="I87" s="647"/>
      <c r="J87" s="12"/>
      <c r="K87" s="302"/>
      <c r="L87" s="12"/>
      <c r="M87" s="302"/>
      <c r="N87" s="12"/>
      <c r="O87" s="302"/>
      <c r="P87" s="12"/>
      <c r="Q87" s="302"/>
      <c r="R87" s="12"/>
      <c r="S87" s="302"/>
      <c r="T87" s="12"/>
      <c r="U87" s="302"/>
      <c r="V87" s="11"/>
      <c r="W87" s="297"/>
      <c r="X87" s="11"/>
      <c r="Y87" s="297"/>
      <c r="Z87" s="130">
        <v>5</v>
      </c>
      <c r="AA87" s="211">
        <v>167.6</v>
      </c>
      <c r="AB87" s="11"/>
      <c r="AC87" s="297"/>
      <c r="AD87" s="11"/>
      <c r="AE87" s="297"/>
      <c r="AF87" s="11"/>
      <c r="AG87" s="297"/>
      <c r="AH87" s="11">
        <v>2</v>
      </c>
      <c r="AI87" s="297">
        <v>353.2</v>
      </c>
      <c r="AJ87" s="240"/>
      <c r="AK87" s="240"/>
      <c r="AL87" s="677"/>
      <c r="AM87" s="240"/>
      <c r="AN87" s="313">
        <f t="shared" si="3"/>
        <v>7</v>
      </c>
      <c r="AO87" s="315">
        <f t="shared" si="4"/>
        <v>520.8</v>
      </c>
    </row>
    <row r="88" spans="1:41" ht="21">
      <c r="A88" s="10" t="s">
        <v>289</v>
      </c>
      <c r="B88" s="124">
        <v>2</v>
      </c>
      <c r="C88" s="270">
        <v>318.6</v>
      </c>
      <c r="D88" s="12"/>
      <c r="E88" s="270"/>
      <c r="F88" s="124"/>
      <c r="G88" s="270"/>
      <c r="H88" s="14"/>
      <c r="I88" s="647"/>
      <c r="J88" s="12">
        <v>4</v>
      </c>
      <c r="K88" s="302">
        <v>539.5</v>
      </c>
      <c r="L88" s="12">
        <v>1</v>
      </c>
      <c r="M88" s="302">
        <v>163.9</v>
      </c>
      <c r="N88" s="12"/>
      <c r="O88" s="302"/>
      <c r="P88" s="12"/>
      <c r="Q88" s="302"/>
      <c r="R88" s="12"/>
      <c r="S88" s="302"/>
      <c r="T88" s="12"/>
      <c r="U88" s="302"/>
      <c r="V88" s="11">
        <v>2</v>
      </c>
      <c r="W88" s="297">
        <v>342.1</v>
      </c>
      <c r="X88" s="11"/>
      <c r="Y88" s="297"/>
      <c r="Z88" s="11">
        <v>2</v>
      </c>
      <c r="AA88" s="297">
        <v>365.9</v>
      </c>
      <c r="AB88" s="11"/>
      <c r="AC88" s="297"/>
      <c r="AD88" s="11">
        <v>1</v>
      </c>
      <c r="AE88" s="297">
        <v>121.5</v>
      </c>
      <c r="AF88" s="11">
        <v>1</v>
      </c>
      <c r="AG88" s="297">
        <v>150.5</v>
      </c>
      <c r="AH88" s="11"/>
      <c r="AI88" s="297"/>
      <c r="AJ88" s="240"/>
      <c r="AK88" s="240"/>
      <c r="AL88" s="677"/>
      <c r="AM88" s="240"/>
      <c r="AN88" s="313">
        <f t="shared" si="3"/>
        <v>13</v>
      </c>
      <c r="AO88" s="315">
        <f t="shared" si="4"/>
        <v>2002</v>
      </c>
    </row>
    <row r="89" spans="1:41" ht="21">
      <c r="A89" s="10" t="s">
        <v>690</v>
      </c>
      <c r="B89" s="124"/>
      <c r="C89" s="270"/>
      <c r="D89" s="12"/>
      <c r="E89" s="270"/>
      <c r="F89" s="124"/>
      <c r="G89" s="270"/>
      <c r="H89" s="14"/>
      <c r="I89" s="647"/>
      <c r="J89" s="12"/>
      <c r="K89" s="302"/>
      <c r="L89" s="12"/>
      <c r="M89" s="302"/>
      <c r="N89" s="12"/>
      <c r="O89" s="302"/>
      <c r="P89" s="12"/>
      <c r="Q89" s="302"/>
      <c r="R89" s="12"/>
      <c r="S89" s="302"/>
      <c r="T89" s="12"/>
      <c r="U89" s="302"/>
      <c r="V89" s="11"/>
      <c r="W89" s="297"/>
      <c r="X89" s="11">
        <v>1</v>
      </c>
      <c r="Y89" s="297">
        <v>150.2</v>
      </c>
      <c r="Z89" s="11"/>
      <c r="AA89" s="297"/>
      <c r="AB89" s="11"/>
      <c r="AC89" s="297"/>
      <c r="AD89" s="11"/>
      <c r="AE89" s="297"/>
      <c r="AF89" s="11"/>
      <c r="AG89" s="297"/>
      <c r="AH89" s="11"/>
      <c r="AI89" s="297"/>
      <c r="AJ89" s="240"/>
      <c r="AK89" s="240"/>
      <c r="AL89" s="677"/>
      <c r="AM89" s="240"/>
      <c r="AN89" s="313">
        <f>SUM(B89,D89,F89,H89,J89,L89,N89,P89,R89,T89,V89,Z89,X89,AB89,AD89,AF89,AH89,AJ89,AL89)</f>
        <v>1</v>
      </c>
      <c r="AO89" s="315">
        <f>SUM(C89,E89,G89,I89,K89,M89,O89,Q89,S89,U89,W89,AA89,Y89,AC89,AE89,AG89,AI89,AK89,AM89)</f>
        <v>150.2</v>
      </c>
    </row>
    <row r="90" spans="1:41" ht="21">
      <c r="A90" s="10" t="s">
        <v>300</v>
      </c>
      <c r="B90" s="124"/>
      <c r="C90" s="270"/>
      <c r="D90" s="12"/>
      <c r="E90" s="270"/>
      <c r="F90" s="124"/>
      <c r="G90" s="270"/>
      <c r="H90" s="14"/>
      <c r="I90" s="647"/>
      <c r="J90" s="12"/>
      <c r="K90" s="302"/>
      <c r="L90" s="12"/>
      <c r="M90" s="302"/>
      <c r="N90" s="12"/>
      <c r="O90" s="302"/>
      <c r="P90" s="12"/>
      <c r="Q90" s="302"/>
      <c r="R90" s="12"/>
      <c r="S90" s="302"/>
      <c r="T90" s="12"/>
      <c r="U90" s="302"/>
      <c r="V90" s="11"/>
      <c r="W90" s="297"/>
      <c r="X90" s="11"/>
      <c r="Y90" s="297"/>
      <c r="Z90" s="11"/>
      <c r="AA90" s="297"/>
      <c r="AB90" s="11"/>
      <c r="AC90" s="297"/>
      <c r="AD90" s="11"/>
      <c r="AE90" s="297"/>
      <c r="AF90" s="11">
        <v>1</v>
      </c>
      <c r="AG90" s="297">
        <v>93.4</v>
      </c>
      <c r="AH90" s="11"/>
      <c r="AI90" s="297"/>
      <c r="AJ90" s="240"/>
      <c r="AK90" s="240"/>
      <c r="AL90" s="677"/>
      <c r="AM90" s="240"/>
      <c r="AN90" s="313">
        <f>SUM(B90,D90,F90,H90,J90,L90,N90,P90,R90,T90,V90,Z90,X90,AB90,AD90,AF90,AH90,AJ90,AL90)</f>
        <v>1</v>
      </c>
      <c r="AO90" s="315">
        <f>SUM(C90,E90,G90,I90,K90,M90,O90,Q90,S90,U90,W90,AA90,Y90,AC90,AE90,AG90,AI90,AK90,AM90)</f>
        <v>93.4</v>
      </c>
    </row>
    <row r="91" spans="1:41" ht="21">
      <c r="A91" s="10" t="s">
        <v>33</v>
      </c>
      <c r="B91" s="124"/>
      <c r="C91" s="270"/>
      <c r="D91" s="12"/>
      <c r="E91" s="270"/>
      <c r="F91" s="124">
        <v>1</v>
      </c>
      <c r="G91" s="270">
        <v>203.8</v>
      </c>
      <c r="H91" s="14"/>
      <c r="I91" s="647"/>
      <c r="J91" s="12">
        <v>2</v>
      </c>
      <c r="K91" s="302">
        <v>382.5</v>
      </c>
      <c r="L91" s="12"/>
      <c r="M91" s="302"/>
      <c r="N91" s="12"/>
      <c r="O91" s="302"/>
      <c r="P91" s="12"/>
      <c r="Q91" s="302"/>
      <c r="R91" s="12"/>
      <c r="S91" s="302"/>
      <c r="T91" s="12"/>
      <c r="U91" s="302"/>
      <c r="V91" s="11">
        <v>2</v>
      </c>
      <c r="W91" s="297">
        <v>389.7</v>
      </c>
      <c r="X91" s="11">
        <v>1</v>
      </c>
      <c r="Y91" s="297">
        <v>190.2</v>
      </c>
      <c r="Z91" s="130">
        <v>5</v>
      </c>
      <c r="AA91" s="211">
        <v>167.6</v>
      </c>
      <c r="AB91" s="11"/>
      <c r="AC91" s="297"/>
      <c r="AD91" s="11"/>
      <c r="AE91" s="297"/>
      <c r="AF91" s="11">
        <v>1</v>
      </c>
      <c r="AG91" s="297">
        <v>178.9</v>
      </c>
      <c r="AH91" s="11"/>
      <c r="AI91" s="297"/>
      <c r="AJ91" s="240"/>
      <c r="AK91" s="240"/>
      <c r="AL91" s="677">
        <v>1</v>
      </c>
      <c r="AM91" s="240">
        <v>169.9</v>
      </c>
      <c r="AN91" s="313">
        <f t="shared" si="3"/>
        <v>13</v>
      </c>
      <c r="AO91" s="315">
        <f t="shared" si="4"/>
        <v>1682.6000000000001</v>
      </c>
    </row>
    <row r="92" spans="1:41" ht="21">
      <c r="A92" s="10" t="s">
        <v>34</v>
      </c>
      <c r="B92" s="124"/>
      <c r="C92" s="270"/>
      <c r="D92" s="12"/>
      <c r="E92" s="270"/>
      <c r="F92" s="124"/>
      <c r="G92" s="270"/>
      <c r="H92" s="14"/>
      <c r="I92" s="647"/>
      <c r="J92" s="12"/>
      <c r="K92" s="302"/>
      <c r="L92" s="12">
        <v>1</v>
      </c>
      <c r="M92" s="302">
        <v>132.4</v>
      </c>
      <c r="N92" s="12"/>
      <c r="O92" s="302"/>
      <c r="P92" s="12"/>
      <c r="Q92" s="302"/>
      <c r="R92" s="12"/>
      <c r="S92" s="302"/>
      <c r="T92" s="12"/>
      <c r="U92" s="302"/>
      <c r="V92" s="11"/>
      <c r="W92" s="297"/>
      <c r="X92" s="11"/>
      <c r="Y92" s="297"/>
      <c r="Z92" s="130">
        <v>8</v>
      </c>
      <c r="AA92" s="211">
        <v>269.7</v>
      </c>
      <c r="AB92" s="11"/>
      <c r="AC92" s="297"/>
      <c r="AD92" s="11"/>
      <c r="AE92" s="297"/>
      <c r="AF92" s="11"/>
      <c r="AG92" s="297"/>
      <c r="AH92" s="11"/>
      <c r="AI92" s="297"/>
      <c r="AJ92" s="240"/>
      <c r="AK92" s="240"/>
      <c r="AL92" s="677"/>
      <c r="AM92" s="240"/>
      <c r="AN92" s="313">
        <f t="shared" si="3"/>
        <v>9</v>
      </c>
      <c r="AO92" s="315">
        <f t="shared" si="4"/>
        <v>402.1</v>
      </c>
    </row>
    <row r="93" spans="1:41" ht="21">
      <c r="A93" s="1173" t="s">
        <v>121</v>
      </c>
      <c r="B93" s="1269"/>
      <c r="C93" s="1275"/>
      <c r="D93" s="1162"/>
      <c r="E93" s="1275"/>
      <c r="F93" s="1162"/>
      <c r="G93" s="1275"/>
      <c r="H93" s="1162"/>
      <c r="I93" s="1163"/>
      <c r="J93" s="1162"/>
      <c r="K93" s="1163"/>
      <c r="L93" s="1162"/>
      <c r="M93" s="1163"/>
      <c r="N93" s="1162"/>
      <c r="O93" s="1163"/>
      <c r="P93" s="1162"/>
      <c r="Q93" s="1163"/>
      <c r="R93" s="1162"/>
      <c r="S93" s="1163"/>
      <c r="T93" s="1162"/>
      <c r="U93" s="1163"/>
      <c r="V93" s="1162"/>
      <c r="W93" s="1163"/>
      <c r="X93" s="1162"/>
      <c r="Y93" s="1163"/>
      <c r="Z93" s="1162"/>
      <c r="AA93" s="1163"/>
      <c r="AB93" s="1162"/>
      <c r="AC93" s="1163"/>
      <c r="AD93" s="1162"/>
      <c r="AE93" s="1163"/>
      <c r="AF93" s="1162"/>
      <c r="AG93" s="1163"/>
      <c r="AH93" s="1162"/>
      <c r="AI93" s="1163"/>
      <c r="AJ93" s="1275"/>
      <c r="AK93" s="1275"/>
      <c r="AL93" s="1276"/>
      <c r="AM93" s="1275"/>
      <c r="AN93" s="1277"/>
      <c r="AO93" s="1278"/>
    </row>
    <row r="94" spans="1:41" ht="21">
      <c r="A94" s="684" t="s">
        <v>138</v>
      </c>
      <c r="B94" s="124">
        <v>2</v>
      </c>
      <c r="C94" s="270">
        <v>796.4</v>
      </c>
      <c r="D94" s="12"/>
      <c r="E94" s="270"/>
      <c r="F94" s="124"/>
      <c r="G94" s="270"/>
      <c r="H94" s="14"/>
      <c r="I94" s="647"/>
      <c r="J94" s="12"/>
      <c r="K94" s="302"/>
      <c r="L94" s="12"/>
      <c r="M94" s="302"/>
      <c r="N94" s="12"/>
      <c r="O94" s="302"/>
      <c r="P94" s="12"/>
      <c r="Q94" s="302"/>
      <c r="R94" s="12"/>
      <c r="S94" s="302"/>
      <c r="T94" s="12"/>
      <c r="U94" s="302"/>
      <c r="V94" s="11">
        <v>1</v>
      </c>
      <c r="W94" s="297">
        <v>173.4</v>
      </c>
      <c r="X94" s="11"/>
      <c r="Y94" s="297"/>
      <c r="Z94" s="11">
        <v>1</v>
      </c>
      <c r="AA94" s="297">
        <v>258.9</v>
      </c>
      <c r="AB94" s="11">
        <v>2</v>
      </c>
      <c r="AC94" s="297">
        <v>394.4</v>
      </c>
      <c r="AD94" s="11"/>
      <c r="AE94" s="297"/>
      <c r="AF94" s="11">
        <v>1</v>
      </c>
      <c r="AG94" s="297">
        <v>286</v>
      </c>
      <c r="AH94" s="11">
        <v>1</v>
      </c>
      <c r="AI94" s="297">
        <v>308.2</v>
      </c>
      <c r="AJ94" s="240"/>
      <c r="AK94" s="240"/>
      <c r="AL94" s="677"/>
      <c r="AM94" s="240"/>
      <c r="AN94" s="313">
        <f t="shared" si="3"/>
        <v>8</v>
      </c>
      <c r="AO94" s="315">
        <f t="shared" si="4"/>
        <v>2217.2999999999997</v>
      </c>
    </row>
    <row r="95" spans="1:41" ht="21">
      <c r="A95" s="684" t="s">
        <v>355</v>
      </c>
      <c r="B95" s="124"/>
      <c r="C95" s="270"/>
      <c r="D95" s="12"/>
      <c r="E95" s="270"/>
      <c r="F95" s="124"/>
      <c r="G95" s="270"/>
      <c r="H95" s="14"/>
      <c r="I95" s="647"/>
      <c r="J95" s="12"/>
      <c r="K95" s="302"/>
      <c r="L95" s="12"/>
      <c r="M95" s="302"/>
      <c r="N95" s="12"/>
      <c r="O95" s="302"/>
      <c r="P95" s="12"/>
      <c r="Q95" s="302"/>
      <c r="R95" s="12"/>
      <c r="S95" s="302"/>
      <c r="T95" s="12"/>
      <c r="U95" s="302"/>
      <c r="V95" s="11"/>
      <c r="W95" s="297"/>
      <c r="X95" s="11">
        <v>1</v>
      </c>
      <c r="Y95" s="297">
        <v>244.5</v>
      </c>
      <c r="Z95" s="11"/>
      <c r="AA95" s="297"/>
      <c r="AB95" s="11"/>
      <c r="AC95" s="297"/>
      <c r="AD95" s="11"/>
      <c r="AE95" s="297"/>
      <c r="AF95" s="11"/>
      <c r="AG95" s="297"/>
      <c r="AH95" s="11"/>
      <c r="AI95" s="297"/>
      <c r="AJ95" s="240"/>
      <c r="AK95" s="240"/>
      <c r="AL95" s="677"/>
      <c r="AM95" s="240"/>
      <c r="AN95" s="313">
        <f t="shared" si="3"/>
        <v>1</v>
      </c>
      <c r="AO95" s="315">
        <f t="shared" si="4"/>
        <v>244.5</v>
      </c>
    </row>
    <row r="96" spans="1:41" ht="21">
      <c r="A96" s="684" t="s">
        <v>49</v>
      </c>
      <c r="B96" s="124"/>
      <c r="C96" s="270"/>
      <c r="D96" s="12"/>
      <c r="E96" s="270"/>
      <c r="F96" s="124"/>
      <c r="G96" s="270"/>
      <c r="H96" s="14"/>
      <c r="I96" s="647"/>
      <c r="J96" s="12">
        <v>1</v>
      </c>
      <c r="K96" s="302">
        <v>248.8</v>
      </c>
      <c r="L96" s="12"/>
      <c r="M96" s="302"/>
      <c r="N96" s="12"/>
      <c r="O96" s="302"/>
      <c r="P96" s="12"/>
      <c r="Q96" s="302"/>
      <c r="R96" s="12"/>
      <c r="S96" s="302"/>
      <c r="T96" s="12"/>
      <c r="U96" s="302"/>
      <c r="V96" s="11">
        <v>1</v>
      </c>
      <c r="W96" s="297">
        <v>93.2</v>
      </c>
      <c r="X96" s="11">
        <v>2</v>
      </c>
      <c r="Y96" s="297">
        <v>287.5</v>
      </c>
      <c r="Z96" s="11">
        <v>1</v>
      </c>
      <c r="AA96" s="297">
        <v>101.4</v>
      </c>
      <c r="AB96" s="11"/>
      <c r="AC96" s="297"/>
      <c r="AD96" s="11"/>
      <c r="AE96" s="297"/>
      <c r="AF96" s="11"/>
      <c r="AG96" s="297"/>
      <c r="AH96" s="11">
        <v>1</v>
      </c>
      <c r="AI96" s="297">
        <v>245.1</v>
      </c>
      <c r="AJ96" s="240"/>
      <c r="AK96" s="240"/>
      <c r="AL96" s="677"/>
      <c r="AM96" s="240"/>
      <c r="AN96" s="313">
        <f t="shared" si="3"/>
        <v>6</v>
      </c>
      <c r="AO96" s="315">
        <f t="shared" si="4"/>
        <v>976</v>
      </c>
    </row>
    <row r="97" spans="1:41" ht="21">
      <c r="A97" s="684" t="s">
        <v>50</v>
      </c>
      <c r="B97" s="124"/>
      <c r="C97" s="270"/>
      <c r="D97" s="12"/>
      <c r="E97" s="270"/>
      <c r="F97" s="124"/>
      <c r="G97" s="270"/>
      <c r="H97" s="14"/>
      <c r="I97" s="647"/>
      <c r="J97" s="12"/>
      <c r="K97" s="302"/>
      <c r="L97" s="12"/>
      <c r="M97" s="302"/>
      <c r="N97" s="12"/>
      <c r="O97" s="302"/>
      <c r="P97" s="12"/>
      <c r="Q97" s="302"/>
      <c r="R97" s="12"/>
      <c r="S97" s="302"/>
      <c r="T97" s="12"/>
      <c r="U97" s="302"/>
      <c r="V97" s="11"/>
      <c r="W97" s="297"/>
      <c r="X97" s="11"/>
      <c r="Y97" s="297"/>
      <c r="Z97" s="11"/>
      <c r="AA97" s="297"/>
      <c r="AB97" s="11"/>
      <c r="AC97" s="297"/>
      <c r="AD97" s="11">
        <v>1</v>
      </c>
      <c r="AE97" s="297">
        <v>304.1</v>
      </c>
      <c r="AF97" s="11"/>
      <c r="AG97" s="297"/>
      <c r="AH97" s="11">
        <v>1</v>
      </c>
      <c r="AI97" s="297">
        <v>332.4</v>
      </c>
      <c r="AJ97" s="240"/>
      <c r="AK97" s="240"/>
      <c r="AL97" s="677"/>
      <c r="AM97" s="240"/>
      <c r="AN97" s="313">
        <f t="shared" si="3"/>
        <v>2</v>
      </c>
      <c r="AO97" s="315">
        <f t="shared" si="4"/>
        <v>636.5</v>
      </c>
    </row>
    <row r="98" spans="1:41" ht="21">
      <c r="A98" s="684" t="s">
        <v>148</v>
      </c>
      <c r="B98" s="124"/>
      <c r="C98" s="270"/>
      <c r="D98" s="12"/>
      <c r="E98" s="270"/>
      <c r="F98" s="124"/>
      <c r="G98" s="270"/>
      <c r="H98" s="14"/>
      <c r="I98" s="647"/>
      <c r="J98" s="12"/>
      <c r="K98" s="302"/>
      <c r="L98" s="12"/>
      <c r="M98" s="302"/>
      <c r="N98" s="12"/>
      <c r="O98" s="302"/>
      <c r="P98" s="12"/>
      <c r="Q98" s="302"/>
      <c r="R98" s="12"/>
      <c r="S98" s="302"/>
      <c r="T98" s="12"/>
      <c r="U98" s="302"/>
      <c r="V98" s="11">
        <v>1</v>
      </c>
      <c r="W98" s="297">
        <v>289.8</v>
      </c>
      <c r="X98" s="11"/>
      <c r="Y98" s="297"/>
      <c r="Z98" s="11">
        <v>1</v>
      </c>
      <c r="AA98" s="297">
        <v>320.5</v>
      </c>
      <c r="AB98" s="11"/>
      <c r="AC98" s="297"/>
      <c r="AD98" s="11"/>
      <c r="AE98" s="297"/>
      <c r="AF98" s="11"/>
      <c r="AG98" s="297"/>
      <c r="AH98" s="11"/>
      <c r="AI98" s="297"/>
      <c r="AJ98" s="240"/>
      <c r="AK98" s="240"/>
      <c r="AL98" s="677"/>
      <c r="AM98" s="240"/>
      <c r="AN98" s="313">
        <f t="shared" si="3"/>
        <v>2</v>
      </c>
      <c r="AO98" s="315">
        <f t="shared" si="4"/>
        <v>610.3</v>
      </c>
    </row>
    <row r="99" spans="1:41" ht="21">
      <c r="A99" s="684" t="s">
        <v>186</v>
      </c>
      <c r="B99" s="124"/>
      <c r="C99" s="270"/>
      <c r="D99" s="12"/>
      <c r="E99" s="270"/>
      <c r="F99" s="124"/>
      <c r="G99" s="270"/>
      <c r="H99" s="14"/>
      <c r="I99" s="647"/>
      <c r="J99" s="12"/>
      <c r="K99" s="302"/>
      <c r="L99" s="12"/>
      <c r="M99" s="302"/>
      <c r="N99" s="12"/>
      <c r="O99" s="302"/>
      <c r="P99" s="12"/>
      <c r="Q99" s="302"/>
      <c r="R99" s="12"/>
      <c r="S99" s="302"/>
      <c r="T99" s="12"/>
      <c r="U99" s="302"/>
      <c r="V99" s="11"/>
      <c r="W99" s="297"/>
      <c r="X99" s="11">
        <v>1</v>
      </c>
      <c r="Y99" s="297">
        <v>281.1</v>
      </c>
      <c r="Z99" s="11"/>
      <c r="AA99" s="297"/>
      <c r="AB99" s="11"/>
      <c r="AC99" s="297"/>
      <c r="AD99" s="11"/>
      <c r="AE99" s="297"/>
      <c r="AF99" s="11"/>
      <c r="AG99" s="297"/>
      <c r="AH99" s="11"/>
      <c r="AI99" s="297"/>
      <c r="AJ99" s="240"/>
      <c r="AK99" s="240"/>
      <c r="AL99" s="677"/>
      <c r="AM99" s="240"/>
      <c r="AN99" s="313">
        <f t="shared" si="3"/>
        <v>1</v>
      </c>
      <c r="AO99" s="315">
        <f t="shared" si="4"/>
        <v>281.1</v>
      </c>
    </row>
    <row r="100" spans="1:41" ht="21">
      <c r="A100" s="684" t="s">
        <v>359</v>
      </c>
      <c r="B100" s="124"/>
      <c r="C100" s="270"/>
      <c r="D100" s="12"/>
      <c r="E100" s="270"/>
      <c r="F100" s="124"/>
      <c r="G100" s="270"/>
      <c r="H100" s="14"/>
      <c r="I100" s="647"/>
      <c r="J100" s="12">
        <v>2</v>
      </c>
      <c r="K100" s="302">
        <v>535.3</v>
      </c>
      <c r="L100" s="12">
        <v>1</v>
      </c>
      <c r="M100" s="302">
        <v>314.1</v>
      </c>
      <c r="N100" s="12"/>
      <c r="O100" s="302"/>
      <c r="P100" s="12"/>
      <c r="Q100" s="302"/>
      <c r="R100" s="12"/>
      <c r="S100" s="302"/>
      <c r="T100" s="12"/>
      <c r="U100" s="302"/>
      <c r="V100" s="11">
        <v>2</v>
      </c>
      <c r="W100" s="297">
        <v>657.6</v>
      </c>
      <c r="X100" s="11">
        <v>2</v>
      </c>
      <c r="Y100" s="297">
        <v>534.5</v>
      </c>
      <c r="Z100" s="11"/>
      <c r="AA100" s="297"/>
      <c r="AB100" s="11"/>
      <c r="AC100" s="297"/>
      <c r="AD100" s="11"/>
      <c r="AE100" s="297"/>
      <c r="AF100" s="11">
        <v>1</v>
      </c>
      <c r="AG100" s="297">
        <v>291.5</v>
      </c>
      <c r="AH100" s="11"/>
      <c r="AI100" s="297"/>
      <c r="AJ100" s="240"/>
      <c r="AK100" s="240"/>
      <c r="AL100" s="677"/>
      <c r="AM100" s="240"/>
      <c r="AN100" s="313">
        <f t="shared" si="3"/>
        <v>8</v>
      </c>
      <c r="AO100" s="315">
        <f t="shared" si="4"/>
        <v>2333</v>
      </c>
    </row>
    <row r="101" spans="1:41" ht="21">
      <c r="A101" s="684" t="s">
        <v>152</v>
      </c>
      <c r="B101" s="124"/>
      <c r="C101" s="270">
        <v>121.1</v>
      </c>
      <c r="D101" s="12"/>
      <c r="E101" s="270"/>
      <c r="F101" s="124"/>
      <c r="G101" s="270"/>
      <c r="H101" s="14"/>
      <c r="I101" s="647"/>
      <c r="J101" s="12"/>
      <c r="K101" s="302"/>
      <c r="L101" s="12"/>
      <c r="M101" s="302"/>
      <c r="N101" s="12"/>
      <c r="O101" s="302"/>
      <c r="P101" s="12"/>
      <c r="Q101" s="302"/>
      <c r="R101" s="12"/>
      <c r="S101" s="302"/>
      <c r="T101" s="12"/>
      <c r="U101" s="302"/>
      <c r="V101" s="11">
        <v>1</v>
      </c>
      <c r="W101" s="297">
        <v>257.2</v>
      </c>
      <c r="X101" s="11"/>
      <c r="Y101" s="297"/>
      <c r="Z101" s="11">
        <v>1</v>
      </c>
      <c r="AA101" s="297">
        <v>406</v>
      </c>
      <c r="AB101" s="11"/>
      <c r="AC101" s="297"/>
      <c r="AD101" s="11"/>
      <c r="AE101" s="297"/>
      <c r="AF101" s="11"/>
      <c r="AG101" s="297"/>
      <c r="AH101" s="11"/>
      <c r="AI101" s="297"/>
      <c r="AJ101" s="240"/>
      <c r="AK101" s="240"/>
      <c r="AL101" s="677"/>
      <c r="AM101" s="240"/>
      <c r="AN101" s="313">
        <f t="shared" si="3"/>
        <v>2</v>
      </c>
      <c r="AO101" s="315">
        <f t="shared" si="4"/>
        <v>784.3</v>
      </c>
    </row>
    <row r="102" spans="1:41" ht="21">
      <c r="A102" s="684" t="s">
        <v>400</v>
      </c>
      <c r="B102" s="124"/>
      <c r="C102" s="270">
        <v>355.5</v>
      </c>
      <c r="D102" s="12"/>
      <c r="E102" s="270"/>
      <c r="F102" s="124"/>
      <c r="G102" s="270"/>
      <c r="H102" s="14"/>
      <c r="I102" s="647"/>
      <c r="J102" s="12"/>
      <c r="K102" s="302"/>
      <c r="L102" s="12"/>
      <c r="M102" s="302"/>
      <c r="N102" s="12"/>
      <c r="O102" s="302"/>
      <c r="P102" s="12"/>
      <c r="Q102" s="302"/>
      <c r="R102" s="12"/>
      <c r="S102" s="302"/>
      <c r="T102" s="12"/>
      <c r="U102" s="302"/>
      <c r="V102" s="11"/>
      <c r="W102" s="297"/>
      <c r="X102" s="11"/>
      <c r="Y102" s="297"/>
      <c r="Z102" s="11"/>
      <c r="AA102" s="297"/>
      <c r="AB102" s="11"/>
      <c r="AC102" s="297"/>
      <c r="AD102" s="11"/>
      <c r="AE102" s="297"/>
      <c r="AF102" s="11"/>
      <c r="AG102" s="297"/>
      <c r="AH102" s="11"/>
      <c r="AI102" s="297"/>
      <c r="AJ102" s="240"/>
      <c r="AK102" s="240"/>
      <c r="AL102" s="677"/>
      <c r="AM102" s="240"/>
      <c r="AN102" s="313">
        <f t="shared" si="3"/>
        <v>0</v>
      </c>
      <c r="AO102" s="315">
        <f t="shared" si="4"/>
        <v>355.5</v>
      </c>
    </row>
    <row r="103" spans="1:41" ht="21">
      <c r="A103" s="684" t="s">
        <v>437</v>
      </c>
      <c r="B103" s="124"/>
      <c r="C103" s="270">
        <v>251.6</v>
      </c>
      <c r="D103" s="12"/>
      <c r="E103" s="270"/>
      <c r="F103" s="124"/>
      <c r="G103" s="270"/>
      <c r="H103" s="14"/>
      <c r="I103" s="647"/>
      <c r="J103" s="12"/>
      <c r="K103" s="302"/>
      <c r="L103" s="12"/>
      <c r="M103" s="302"/>
      <c r="N103" s="12"/>
      <c r="O103" s="302"/>
      <c r="P103" s="12"/>
      <c r="Q103" s="302"/>
      <c r="R103" s="12"/>
      <c r="S103" s="302"/>
      <c r="T103" s="12"/>
      <c r="U103" s="302"/>
      <c r="V103" s="11"/>
      <c r="W103" s="297"/>
      <c r="X103" s="11"/>
      <c r="Y103" s="297"/>
      <c r="Z103" s="11"/>
      <c r="AA103" s="297"/>
      <c r="AB103" s="11"/>
      <c r="AC103" s="297"/>
      <c r="AD103" s="11"/>
      <c r="AE103" s="297"/>
      <c r="AF103" s="11"/>
      <c r="AG103" s="297"/>
      <c r="AH103" s="11"/>
      <c r="AI103" s="297"/>
      <c r="AJ103" s="240"/>
      <c r="AK103" s="240"/>
      <c r="AL103" s="677"/>
      <c r="AM103" s="240"/>
      <c r="AN103" s="313">
        <f t="shared" si="3"/>
        <v>0</v>
      </c>
      <c r="AO103" s="315">
        <f t="shared" si="4"/>
        <v>251.6</v>
      </c>
    </row>
    <row r="104" spans="1:41" ht="21">
      <c r="A104" s="684" t="s">
        <v>587</v>
      </c>
      <c r="B104" s="124"/>
      <c r="C104" s="270"/>
      <c r="D104" s="12"/>
      <c r="E104" s="270"/>
      <c r="F104" s="124"/>
      <c r="G104" s="270"/>
      <c r="H104" s="14"/>
      <c r="I104" s="647"/>
      <c r="J104" s="12">
        <v>1</v>
      </c>
      <c r="K104" s="302">
        <v>195.2</v>
      </c>
      <c r="L104" s="12"/>
      <c r="M104" s="302"/>
      <c r="N104" s="12"/>
      <c r="O104" s="302"/>
      <c r="P104" s="12"/>
      <c r="Q104" s="302"/>
      <c r="R104" s="12"/>
      <c r="S104" s="302"/>
      <c r="T104" s="12"/>
      <c r="U104" s="302"/>
      <c r="V104" s="11"/>
      <c r="W104" s="297"/>
      <c r="X104" s="11"/>
      <c r="Y104" s="297"/>
      <c r="Z104" s="11"/>
      <c r="AA104" s="297"/>
      <c r="AB104" s="11"/>
      <c r="AC104" s="297"/>
      <c r="AD104" s="11"/>
      <c r="AE104" s="297"/>
      <c r="AF104" s="11"/>
      <c r="AG104" s="297"/>
      <c r="AH104" s="11"/>
      <c r="AI104" s="297"/>
      <c r="AJ104" s="240"/>
      <c r="AK104" s="240"/>
      <c r="AL104" s="677"/>
      <c r="AM104" s="240"/>
      <c r="AN104" s="313">
        <f t="shared" si="3"/>
        <v>1</v>
      </c>
      <c r="AO104" s="315">
        <f t="shared" si="4"/>
        <v>195.2</v>
      </c>
    </row>
    <row r="105" spans="1:41" ht="21">
      <c r="A105" s="684" t="s">
        <v>51</v>
      </c>
      <c r="B105" s="124"/>
      <c r="C105" s="270"/>
      <c r="D105" s="12"/>
      <c r="E105" s="270"/>
      <c r="F105" s="124"/>
      <c r="G105" s="270"/>
      <c r="H105" s="14"/>
      <c r="I105" s="647"/>
      <c r="J105" s="12"/>
      <c r="K105" s="302"/>
      <c r="L105" s="12"/>
      <c r="M105" s="302"/>
      <c r="N105" s="12"/>
      <c r="O105" s="302"/>
      <c r="P105" s="12"/>
      <c r="Q105" s="302"/>
      <c r="R105" s="12"/>
      <c r="S105" s="302"/>
      <c r="T105" s="12"/>
      <c r="U105" s="302"/>
      <c r="V105" s="11"/>
      <c r="W105" s="297"/>
      <c r="X105" s="11"/>
      <c r="Y105" s="297"/>
      <c r="Z105" s="11">
        <v>4</v>
      </c>
      <c r="AA105" s="297">
        <f>1180.9-318.7</f>
        <v>862.2</v>
      </c>
      <c r="AB105" s="11"/>
      <c r="AC105" s="297"/>
      <c r="AD105" s="11"/>
      <c r="AE105" s="297"/>
      <c r="AF105" s="11"/>
      <c r="AG105" s="297"/>
      <c r="AH105" s="11">
        <v>1</v>
      </c>
      <c r="AI105" s="297">
        <v>314.8</v>
      </c>
      <c r="AJ105" s="240"/>
      <c r="AK105" s="240"/>
      <c r="AL105" s="677">
        <v>1</v>
      </c>
      <c r="AM105" s="240">
        <v>237.3</v>
      </c>
      <c r="AN105" s="313">
        <f t="shared" si="3"/>
        <v>6</v>
      </c>
      <c r="AO105" s="315">
        <f t="shared" si="4"/>
        <v>1414.3</v>
      </c>
    </row>
    <row r="106" spans="1:41" ht="21">
      <c r="A106" s="684" t="s">
        <v>588</v>
      </c>
      <c r="B106" s="124"/>
      <c r="C106" s="270"/>
      <c r="D106" s="12"/>
      <c r="E106" s="270"/>
      <c r="F106" s="124"/>
      <c r="G106" s="270"/>
      <c r="H106" s="14"/>
      <c r="I106" s="647"/>
      <c r="J106" s="12"/>
      <c r="K106" s="302"/>
      <c r="L106" s="12"/>
      <c r="M106" s="302"/>
      <c r="N106" s="12"/>
      <c r="O106" s="302"/>
      <c r="P106" s="12"/>
      <c r="Q106" s="302"/>
      <c r="R106" s="12"/>
      <c r="S106" s="302"/>
      <c r="T106" s="12"/>
      <c r="U106" s="302"/>
      <c r="V106" s="11"/>
      <c r="W106" s="297"/>
      <c r="X106" s="11"/>
      <c r="Y106" s="297"/>
      <c r="Z106" s="11"/>
      <c r="AA106" s="297"/>
      <c r="AB106" s="11"/>
      <c r="AC106" s="297"/>
      <c r="AD106" s="11"/>
      <c r="AE106" s="297"/>
      <c r="AF106" s="11"/>
      <c r="AG106" s="297"/>
      <c r="AH106" s="11">
        <v>1</v>
      </c>
      <c r="AI106" s="297">
        <v>427.6</v>
      </c>
      <c r="AJ106" s="240"/>
      <c r="AK106" s="240"/>
      <c r="AL106" s="677"/>
      <c r="AM106" s="240"/>
      <c r="AN106" s="313">
        <f t="shared" si="3"/>
        <v>1</v>
      </c>
      <c r="AO106" s="315">
        <f t="shared" si="4"/>
        <v>427.6</v>
      </c>
    </row>
    <row r="107" spans="1:41" ht="21">
      <c r="A107" s="684" t="s">
        <v>216</v>
      </c>
      <c r="B107" s="124"/>
      <c r="C107" s="270"/>
      <c r="D107" s="12"/>
      <c r="E107" s="270"/>
      <c r="F107" s="124"/>
      <c r="G107" s="270"/>
      <c r="H107" s="14"/>
      <c r="I107" s="647"/>
      <c r="J107" s="12">
        <v>1</v>
      </c>
      <c r="K107" s="302">
        <v>238.9</v>
      </c>
      <c r="L107" s="12"/>
      <c r="M107" s="302"/>
      <c r="N107" s="12"/>
      <c r="O107" s="302"/>
      <c r="P107" s="12"/>
      <c r="Q107" s="302"/>
      <c r="R107" s="12"/>
      <c r="S107" s="302"/>
      <c r="T107" s="12"/>
      <c r="U107" s="302"/>
      <c r="V107" s="11">
        <v>1</v>
      </c>
      <c r="W107" s="297">
        <v>275.5</v>
      </c>
      <c r="X107" s="11">
        <v>1</v>
      </c>
      <c r="Y107" s="297">
        <v>225.8</v>
      </c>
      <c r="Z107" s="11"/>
      <c r="AA107" s="297"/>
      <c r="AB107" s="11"/>
      <c r="AC107" s="297"/>
      <c r="AD107" s="11"/>
      <c r="AE107" s="297"/>
      <c r="AF107" s="11"/>
      <c r="AG107" s="297"/>
      <c r="AH107" s="11"/>
      <c r="AI107" s="297"/>
      <c r="AJ107" s="240"/>
      <c r="AK107" s="240"/>
      <c r="AL107" s="677"/>
      <c r="AM107" s="240"/>
      <c r="AN107" s="313">
        <f t="shared" si="3"/>
        <v>3</v>
      </c>
      <c r="AO107" s="315">
        <f t="shared" si="4"/>
        <v>740.2</v>
      </c>
    </row>
    <row r="108" spans="1:41" ht="21">
      <c r="A108" s="684" t="s">
        <v>153</v>
      </c>
      <c r="B108" s="124">
        <v>1</v>
      </c>
      <c r="C108" s="270">
        <v>278.4</v>
      </c>
      <c r="D108" s="12"/>
      <c r="E108" s="270"/>
      <c r="F108" s="124"/>
      <c r="G108" s="270"/>
      <c r="H108" s="14"/>
      <c r="I108" s="647"/>
      <c r="J108" s="12">
        <v>1</v>
      </c>
      <c r="K108" s="302">
        <v>212.4</v>
      </c>
      <c r="L108" s="12"/>
      <c r="M108" s="302"/>
      <c r="N108" s="12"/>
      <c r="O108" s="302"/>
      <c r="P108" s="12"/>
      <c r="Q108" s="302"/>
      <c r="R108" s="12"/>
      <c r="S108" s="302"/>
      <c r="T108" s="12"/>
      <c r="U108" s="302"/>
      <c r="V108" s="11"/>
      <c r="W108" s="297"/>
      <c r="X108" s="11"/>
      <c r="Y108" s="297"/>
      <c r="Z108" s="11">
        <v>1</v>
      </c>
      <c r="AA108" s="297">
        <v>265.2</v>
      </c>
      <c r="AB108" s="11"/>
      <c r="AC108" s="297"/>
      <c r="AD108" s="11"/>
      <c r="AE108" s="297"/>
      <c r="AF108" s="11">
        <v>3</v>
      </c>
      <c r="AG108" s="297">
        <v>688.2</v>
      </c>
      <c r="AH108" s="11"/>
      <c r="AI108" s="297"/>
      <c r="AJ108" s="240"/>
      <c r="AK108" s="240"/>
      <c r="AL108" s="677"/>
      <c r="AM108" s="240"/>
      <c r="AN108" s="313">
        <f t="shared" si="3"/>
        <v>6</v>
      </c>
      <c r="AO108" s="315">
        <f t="shared" si="4"/>
        <v>1444.2</v>
      </c>
    </row>
    <row r="109" spans="1:41" ht="21">
      <c r="A109" s="684" t="s">
        <v>52</v>
      </c>
      <c r="B109" s="124"/>
      <c r="C109" s="270"/>
      <c r="D109" s="12"/>
      <c r="E109" s="270"/>
      <c r="F109" s="124"/>
      <c r="G109" s="270"/>
      <c r="H109" s="14"/>
      <c r="I109" s="647"/>
      <c r="J109" s="12">
        <v>1</v>
      </c>
      <c r="K109" s="302">
        <v>266.8</v>
      </c>
      <c r="L109" s="12">
        <v>2</v>
      </c>
      <c r="M109" s="302">
        <v>637.7</v>
      </c>
      <c r="N109" s="12"/>
      <c r="O109" s="302"/>
      <c r="P109" s="12"/>
      <c r="Q109" s="302"/>
      <c r="R109" s="12"/>
      <c r="S109" s="302"/>
      <c r="T109" s="12"/>
      <c r="U109" s="302"/>
      <c r="V109" s="11"/>
      <c r="W109" s="297"/>
      <c r="X109" s="11"/>
      <c r="Y109" s="297"/>
      <c r="Z109" s="11">
        <v>2</v>
      </c>
      <c r="AA109" s="297">
        <v>581.5</v>
      </c>
      <c r="AB109" s="11"/>
      <c r="AC109" s="297"/>
      <c r="AD109" s="11"/>
      <c r="AE109" s="297"/>
      <c r="AF109" s="11"/>
      <c r="AG109" s="297"/>
      <c r="AH109" s="11"/>
      <c r="AI109" s="297">
        <v>296.9</v>
      </c>
      <c r="AJ109" s="240"/>
      <c r="AK109" s="240"/>
      <c r="AL109" s="677"/>
      <c r="AM109" s="240"/>
      <c r="AN109" s="313">
        <f t="shared" si="3"/>
        <v>5</v>
      </c>
      <c r="AO109" s="315">
        <f t="shared" si="4"/>
        <v>1782.9</v>
      </c>
    </row>
    <row r="110" spans="1:41" ht="21">
      <c r="A110" s="684" t="s">
        <v>689</v>
      </c>
      <c r="B110" s="124"/>
      <c r="C110" s="270"/>
      <c r="D110" s="12"/>
      <c r="E110" s="270"/>
      <c r="F110" s="124"/>
      <c r="G110" s="270"/>
      <c r="H110" s="14"/>
      <c r="I110" s="647"/>
      <c r="J110" s="12"/>
      <c r="K110" s="302"/>
      <c r="L110" s="12"/>
      <c r="M110" s="302"/>
      <c r="N110" s="12"/>
      <c r="O110" s="302"/>
      <c r="P110" s="12"/>
      <c r="Q110" s="302"/>
      <c r="R110" s="12"/>
      <c r="S110" s="302"/>
      <c r="T110" s="12"/>
      <c r="U110" s="302"/>
      <c r="V110" s="11"/>
      <c r="W110" s="297"/>
      <c r="X110" s="11"/>
      <c r="Y110" s="297"/>
      <c r="Z110" s="11">
        <v>1</v>
      </c>
      <c r="AA110" s="297">
        <v>279.6</v>
      </c>
      <c r="AB110" s="11"/>
      <c r="AC110" s="297"/>
      <c r="AD110" s="11"/>
      <c r="AE110" s="297"/>
      <c r="AF110" s="11"/>
      <c r="AG110" s="297"/>
      <c r="AH110" s="11"/>
      <c r="AI110" s="297"/>
      <c r="AJ110" s="240"/>
      <c r="AK110" s="240"/>
      <c r="AL110" s="677"/>
      <c r="AM110" s="240"/>
      <c r="AN110" s="313">
        <f t="shared" si="3"/>
        <v>1</v>
      </c>
      <c r="AO110" s="315">
        <f t="shared" si="4"/>
        <v>279.6</v>
      </c>
    </row>
    <row r="111" spans="1:41" ht="21">
      <c r="A111" s="684" t="s">
        <v>404</v>
      </c>
      <c r="B111" s="124"/>
      <c r="C111" s="270"/>
      <c r="D111" s="12"/>
      <c r="E111" s="270"/>
      <c r="F111" s="124">
        <v>1</v>
      </c>
      <c r="G111" s="270">
        <v>371.5</v>
      </c>
      <c r="H111" s="14"/>
      <c r="I111" s="647"/>
      <c r="J111" s="12"/>
      <c r="K111" s="302"/>
      <c r="L111" s="12"/>
      <c r="M111" s="302"/>
      <c r="N111" s="12"/>
      <c r="O111" s="302"/>
      <c r="P111" s="12"/>
      <c r="Q111" s="302"/>
      <c r="R111" s="12"/>
      <c r="S111" s="302"/>
      <c r="T111" s="12"/>
      <c r="U111" s="302"/>
      <c r="V111" s="11">
        <v>1</v>
      </c>
      <c r="W111" s="297">
        <v>334.7</v>
      </c>
      <c r="X111" s="11"/>
      <c r="Y111" s="297"/>
      <c r="Z111" s="11"/>
      <c r="AA111" s="297"/>
      <c r="AB111" s="11"/>
      <c r="AC111" s="297"/>
      <c r="AD111" s="11"/>
      <c r="AE111" s="297"/>
      <c r="AF111" s="11"/>
      <c r="AG111" s="297"/>
      <c r="AH111" s="11"/>
      <c r="AI111" s="297"/>
      <c r="AJ111" s="240"/>
      <c r="AK111" s="240"/>
      <c r="AL111" s="677"/>
      <c r="AM111" s="240"/>
      <c r="AN111" s="313">
        <f t="shared" si="3"/>
        <v>2</v>
      </c>
      <c r="AO111" s="315">
        <f t="shared" si="4"/>
        <v>706.2</v>
      </c>
    </row>
    <row r="112" spans="1:41" ht="21.75">
      <c r="A112" s="684" t="s">
        <v>438</v>
      </c>
      <c r="B112" s="449"/>
      <c r="C112" s="450"/>
      <c r="D112" s="451"/>
      <c r="E112" s="450"/>
      <c r="F112" s="449"/>
      <c r="G112" s="450"/>
      <c r="H112" s="451"/>
      <c r="I112" s="649"/>
      <c r="J112" s="453"/>
      <c r="K112" s="649"/>
      <c r="L112" s="453"/>
      <c r="M112" s="649"/>
      <c r="N112" s="453"/>
      <c r="O112" s="649"/>
      <c r="P112" s="451"/>
      <c r="Q112" s="649"/>
      <c r="R112" s="68"/>
      <c r="S112" s="302"/>
      <c r="T112" s="68"/>
      <c r="U112" s="302"/>
      <c r="V112" s="14"/>
      <c r="W112" s="302"/>
      <c r="X112" s="68"/>
      <c r="Y112" s="302"/>
      <c r="Z112" s="14">
        <v>1</v>
      </c>
      <c r="AA112" s="302">
        <f>385.9-270.1</f>
        <v>115.79999999999995</v>
      </c>
      <c r="AB112" s="12"/>
      <c r="AC112" s="302"/>
      <c r="AD112" s="452"/>
      <c r="AE112" s="649"/>
      <c r="AF112" s="750"/>
      <c r="AG112" s="651"/>
      <c r="AH112" s="452">
        <v>1</v>
      </c>
      <c r="AI112" s="649">
        <v>161.5</v>
      </c>
      <c r="AJ112" s="454"/>
      <c r="AK112" s="454"/>
      <c r="AL112" s="868"/>
      <c r="AM112" s="454"/>
      <c r="AN112" s="313">
        <f t="shared" si="3"/>
        <v>2</v>
      </c>
      <c r="AO112" s="315">
        <f t="shared" si="4"/>
        <v>277.29999999999995</v>
      </c>
    </row>
    <row r="113" spans="1:41" ht="21">
      <c r="A113" s="1173" t="s">
        <v>470</v>
      </c>
      <c r="B113" s="1269"/>
      <c r="C113" s="1270"/>
      <c r="D113" s="1271"/>
      <c r="E113" s="1270"/>
      <c r="F113" s="1269"/>
      <c r="G113" s="1270"/>
      <c r="H113" s="1272"/>
      <c r="I113" s="1273"/>
      <c r="J113" s="1271"/>
      <c r="K113" s="1274"/>
      <c r="L113" s="1271"/>
      <c r="M113" s="1274"/>
      <c r="N113" s="1271"/>
      <c r="O113" s="1274"/>
      <c r="P113" s="1271"/>
      <c r="Q113" s="1274"/>
      <c r="R113" s="1271"/>
      <c r="S113" s="1274"/>
      <c r="T113" s="1271"/>
      <c r="U113" s="1274"/>
      <c r="V113" s="1162"/>
      <c r="W113" s="1163"/>
      <c r="X113" s="1162"/>
      <c r="Y113" s="1163"/>
      <c r="Z113" s="1162"/>
      <c r="AA113" s="1163"/>
      <c r="AB113" s="1162"/>
      <c r="AC113" s="1163"/>
      <c r="AD113" s="1162"/>
      <c r="AE113" s="1163"/>
      <c r="AF113" s="1162"/>
      <c r="AG113" s="1163"/>
      <c r="AH113" s="1162"/>
      <c r="AI113" s="1163"/>
      <c r="AJ113" s="1275"/>
      <c r="AK113" s="1275"/>
      <c r="AL113" s="1276"/>
      <c r="AM113" s="1275"/>
      <c r="AN113" s="1277"/>
      <c r="AO113" s="1278"/>
    </row>
    <row r="114" spans="1:41" ht="21">
      <c r="A114" s="10" t="s">
        <v>434</v>
      </c>
      <c r="B114" s="124"/>
      <c r="C114" s="270"/>
      <c r="D114" s="12"/>
      <c r="E114" s="270"/>
      <c r="F114" s="124"/>
      <c r="G114" s="270"/>
      <c r="H114" s="14"/>
      <c r="I114" s="647"/>
      <c r="J114" s="12">
        <v>1</v>
      </c>
      <c r="K114" s="302">
        <v>110.1</v>
      </c>
      <c r="L114" s="12"/>
      <c r="M114" s="302"/>
      <c r="N114" s="12"/>
      <c r="O114" s="302"/>
      <c r="P114" s="12"/>
      <c r="Q114" s="302"/>
      <c r="R114" s="12"/>
      <c r="S114" s="302"/>
      <c r="T114" s="12"/>
      <c r="U114" s="302"/>
      <c r="V114" s="11">
        <v>1</v>
      </c>
      <c r="W114" s="297">
        <v>150.5</v>
      </c>
      <c r="X114" s="11"/>
      <c r="Y114" s="297"/>
      <c r="Z114" s="11"/>
      <c r="AA114" s="297"/>
      <c r="AB114" s="11"/>
      <c r="AC114" s="297"/>
      <c r="AD114" s="11"/>
      <c r="AE114" s="297"/>
      <c r="AF114" s="11"/>
      <c r="AG114" s="297"/>
      <c r="AH114" s="11"/>
      <c r="AI114" s="297"/>
      <c r="AJ114" s="240"/>
      <c r="AK114" s="240"/>
      <c r="AL114" s="677"/>
      <c r="AM114" s="240"/>
      <c r="AN114" s="313">
        <f t="shared" si="3"/>
        <v>2</v>
      </c>
      <c r="AO114" s="315">
        <f t="shared" si="4"/>
        <v>260.6</v>
      </c>
    </row>
    <row r="115" spans="1:41" ht="21">
      <c r="A115" s="10" t="s">
        <v>346</v>
      </c>
      <c r="B115" s="124"/>
      <c r="C115" s="270"/>
      <c r="D115" s="12"/>
      <c r="E115" s="270"/>
      <c r="F115" s="124"/>
      <c r="G115" s="270"/>
      <c r="H115" s="14"/>
      <c r="I115" s="647"/>
      <c r="J115" s="12">
        <v>1</v>
      </c>
      <c r="K115" s="302">
        <v>108.1</v>
      </c>
      <c r="L115" s="12">
        <v>1</v>
      </c>
      <c r="M115" s="302">
        <v>160.7</v>
      </c>
      <c r="N115" s="12"/>
      <c r="O115" s="302"/>
      <c r="P115" s="12"/>
      <c r="Q115" s="302"/>
      <c r="R115" s="12"/>
      <c r="S115" s="302"/>
      <c r="T115" s="12"/>
      <c r="U115" s="302"/>
      <c r="V115" s="11">
        <v>1</v>
      </c>
      <c r="W115" s="297">
        <v>159.3</v>
      </c>
      <c r="X115" s="11">
        <v>1</v>
      </c>
      <c r="Y115" s="297">
        <v>161.6</v>
      </c>
      <c r="Z115" s="11">
        <v>2</v>
      </c>
      <c r="AA115" s="297">
        <v>334.7</v>
      </c>
      <c r="AB115" s="11"/>
      <c r="AC115" s="297"/>
      <c r="AD115" s="11">
        <v>1</v>
      </c>
      <c r="AE115" s="297">
        <v>124</v>
      </c>
      <c r="AF115" s="11">
        <v>1</v>
      </c>
      <c r="AG115" s="297">
        <v>216.6</v>
      </c>
      <c r="AH115" s="11"/>
      <c r="AI115" s="297"/>
      <c r="AJ115" s="240"/>
      <c r="AK115" s="240"/>
      <c r="AL115" s="677"/>
      <c r="AM115" s="240"/>
      <c r="AN115" s="313">
        <f>SUM(B115,D115,F115,H115,J115,L115,N115,P115,R115,T115,V115,Z115,X115,AB115,AD115,AF115,AH115,AJ115,AL115)</f>
        <v>8</v>
      </c>
      <c r="AO115" s="315">
        <f>SUM(C115,E115,G115,I115,K115,M115,O115,Q115,S115,U115,W115,AA115,Y115,AC115,AE115,AG115,AI115,AK115,AM115)</f>
        <v>1265</v>
      </c>
    </row>
    <row r="116" spans="1:41" ht="21">
      <c r="A116" s="10" t="s">
        <v>347</v>
      </c>
      <c r="B116" s="124">
        <v>2</v>
      </c>
      <c r="C116" s="270">
        <v>312.8</v>
      </c>
      <c r="D116" s="12"/>
      <c r="E116" s="270"/>
      <c r="F116" s="124"/>
      <c r="G116" s="270"/>
      <c r="H116" s="14"/>
      <c r="I116" s="647"/>
      <c r="J116" s="12">
        <v>1</v>
      </c>
      <c r="K116" s="302">
        <v>154.2</v>
      </c>
      <c r="L116" s="12"/>
      <c r="M116" s="302"/>
      <c r="N116" s="12"/>
      <c r="O116" s="302"/>
      <c r="P116" s="12"/>
      <c r="Q116" s="302"/>
      <c r="R116" s="12"/>
      <c r="S116" s="302"/>
      <c r="T116" s="12"/>
      <c r="U116" s="302"/>
      <c r="V116" s="11"/>
      <c r="W116" s="297"/>
      <c r="X116" s="11"/>
      <c r="Y116" s="297"/>
      <c r="Z116" s="11">
        <v>1</v>
      </c>
      <c r="AA116" s="297">
        <v>170.5</v>
      </c>
      <c r="AB116" s="11"/>
      <c r="AC116" s="297"/>
      <c r="AD116" s="11"/>
      <c r="AE116" s="297"/>
      <c r="AF116" s="11"/>
      <c r="AG116" s="297"/>
      <c r="AH116" s="11"/>
      <c r="AI116" s="297"/>
      <c r="AJ116" s="240"/>
      <c r="AK116" s="240"/>
      <c r="AL116" s="677">
        <v>2</v>
      </c>
      <c r="AM116" s="240">
        <v>278.3</v>
      </c>
      <c r="AN116" s="313">
        <f>SUM(B116,D116,F116,H116,J116,L116,N116,P116,R116,T116,V116,Z116,X116,AB116,AD116,AF116,AH116,AJ116,AL116)</f>
        <v>6</v>
      </c>
      <c r="AO116" s="315">
        <f>SUM(C116,E116,G116,I116,K116,M116,O116,Q116,S116,U116,W116,AA116,Y116,AC116,AE116,AG116,AI116,AK116,AM116)</f>
        <v>915.8</v>
      </c>
    </row>
    <row r="117" spans="1:41" ht="21">
      <c r="A117" s="10" t="s">
        <v>435</v>
      </c>
      <c r="B117" s="124"/>
      <c r="C117" s="270"/>
      <c r="D117" s="12"/>
      <c r="E117" s="270"/>
      <c r="F117" s="124"/>
      <c r="G117" s="270"/>
      <c r="H117" s="14"/>
      <c r="I117" s="647"/>
      <c r="J117" s="12">
        <v>1</v>
      </c>
      <c r="K117" s="302">
        <v>155.5</v>
      </c>
      <c r="L117" s="12"/>
      <c r="M117" s="302"/>
      <c r="N117" s="12"/>
      <c r="O117" s="302"/>
      <c r="P117" s="12"/>
      <c r="Q117" s="302"/>
      <c r="R117" s="12"/>
      <c r="S117" s="302"/>
      <c r="T117" s="12"/>
      <c r="U117" s="302"/>
      <c r="V117" s="11"/>
      <c r="W117" s="297"/>
      <c r="X117" s="11"/>
      <c r="Y117" s="297"/>
      <c r="Z117" s="11">
        <v>4</v>
      </c>
      <c r="AA117" s="297">
        <v>571.2</v>
      </c>
      <c r="AB117" s="11"/>
      <c r="AC117" s="297"/>
      <c r="AD117" s="11"/>
      <c r="AE117" s="297"/>
      <c r="AF117" s="11"/>
      <c r="AG117" s="297"/>
      <c r="AH117" s="11"/>
      <c r="AI117" s="297"/>
      <c r="AJ117" s="240"/>
      <c r="AK117" s="240"/>
      <c r="AL117" s="677"/>
      <c r="AM117" s="240"/>
      <c r="AN117" s="313">
        <f t="shared" si="3"/>
        <v>5</v>
      </c>
      <c r="AO117" s="315">
        <f t="shared" si="4"/>
        <v>726.7</v>
      </c>
    </row>
    <row r="118" spans="1:41" ht="21">
      <c r="A118" s="10" t="s">
        <v>585</v>
      </c>
      <c r="B118" s="124"/>
      <c r="C118" s="270"/>
      <c r="D118" s="12"/>
      <c r="E118" s="270"/>
      <c r="F118" s="124"/>
      <c r="G118" s="270"/>
      <c r="H118" s="14"/>
      <c r="I118" s="647"/>
      <c r="J118" s="12"/>
      <c r="K118" s="302"/>
      <c r="L118" s="12">
        <v>1</v>
      </c>
      <c r="M118" s="302">
        <v>104.7</v>
      </c>
      <c r="N118" s="12"/>
      <c r="O118" s="302"/>
      <c r="P118" s="12"/>
      <c r="Q118" s="302"/>
      <c r="R118" s="12"/>
      <c r="S118" s="302"/>
      <c r="T118" s="12"/>
      <c r="U118" s="302"/>
      <c r="V118" s="11"/>
      <c r="W118" s="297"/>
      <c r="X118" s="11"/>
      <c r="Y118" s="297"/>
      <c r="Z118" s="11"/>
      <c r="AA118" s="297"/>
      <c r="AB118" s="11"/>
      <c r="AC118" s="297"/>
      <c r="AD118" s="11"/>
      <c r="AE118" s="297"/>
      <c r="AF118" s="11"/>
      <c r="AG118" s="297"/>
      <c r="AH118" s="11"/>
      <c r="AI118" s="297"/>
      <c r="AJ118" s="240"/>
      <c r="AK118" s="240"/>
      <c r="AL118" s="677"/>
      <c r="AM118" s="240"/>
      <c r="AN118" s="313">
        <f t="shared" si="3"/>
        <v>1</v>
      </c>
      <c r="AO118" s="315">
        <f t="shared" si="4"/>
        <v>104.7</v>
      </c>
    </row>
    <row r="119" spans="1:41" ht="21">
      <c r="A119" s="10" t="s">
        <v>642</v>
      </c>
      <c r="B119" s="124"/>
      <c r="C119" s="270"/>
      <c r="D119" s="12"/>
      <c r="E119" s="270"/>
      <c r="F119" s="124"/>
      <c r="G119" s="270"/>
      <c r="H119" s="14"/>
      <c r="I119" s="647"/>
      <c r="J119" s="12"/>
      <c r="K119" s="302"/>
      <c r="L119" s="12"/>
      <c r="M119" s="302"/>
      <c r="N119" s="12"/>
      <c r="O119" s="302"/>
      <c r="P119" s="12"/>
      <c r="Q119" s="302"/>
      <c r="R119" s="12"/>
      <c r="S119" s="302"/>
      <c r="T119" s="12"/>
      <c r="U119" s="302"/>
      <c r="V119" s="11"/>
      <c r="W119" s="297"/>
      <c r="X119" s="11"/>
      <c r="Y119" s="297"/>
      <c r="Z119" s="11"/>
      <c r="AA119" s="297"/>
      <c r="AB119" s="11"/>
      <c r="AC119" s="297"/>
      <c r="AD119" s="11"/>
      <c r="AE119" s="297"/>
      <c r="AF119" s="11">
        <v>1</v>
      </c>
      <c r="AG119" s="297">
        <v>302.7</v>
      </c>
      <c r="AH119" s="11"/>
      <c r="AI119" s="297"/>
      <c r="AJ119" s="240"/>
      <c r="AK119" s="240"/>
      <c r="AL119" s="677"/>
      <c r="AM119" s="240"/>
      <c r="AN119" s="313">
        <f t="shared" si="3"/>
        <v>1</v>
      </c>
      <c r="AO119" s="315">
        <f t="shared" si="4"/>
        <v>302.7</v>
      </c>
    </row>
    <row r="120" spans="1:41" ht="21">
      <c r="A120" s="10" t="s">
        <v>197</v>
      </c>
      <c r="B120" s="124"/>
      <c r="C120" s="270"/>
      <c r="D120" s="12"/>
      <c r="E120" s="270"/>
      <c r="F120" s="124"/>
      <c r="G120" s="270"/>
      <c r="H120" s="14"/>
      <c r="I120" s="647"/>
      <c r="J120" s="12"/>
      <c r="K120" s="302"/>
      <c r="L120" s="12">
        <v>1</v>
      </c>
      <c r="M120" s="302">
        <v>165</v>
      </c>
      <c r="N120" s="12"/>
      <c r="O120" s="302"/>
      <c r="P120" s="12"/>
      <c r="Q120" s="302"/>
      <c r="R120" s="12"/>
      <c r="S120" s="302"/>
      <c r="T120" s="12"/>
      <c r="U120" s="302"/>
      <c r="V120" s="11"/>
      <c r="W120" s="297"/>
      <c r="X120" s="11">
        <v>1</v>
      </c>
      <c r="Y120" s="297">
        <v>133.6</v>
      </c>
      <c r="Z120" s="11">
        <v>2</v>
      </c>
      <c r="AA120" s="297">
        <v>285.4</v>
      </c>
      <c r="AB120" s="11"/>
      <c r="AC120" s="297"/>
      <c r="AD120" s="11"/>
      <c r="AE120" s="297"/>
      <c r="AF120" s="11">
        <v>1</v>
      </c>
      <c r="AG120" s="297">
        <v>173.6</v>
      </c>
      <c r="AH120" s="11">
        <v>1</v>
      </c>
      <c r="AI120" s="297">
        <v>233.6</v>
      </c>
      <c r="AJ120" s="240"/>
      <c r="AK120" s="240"/>
      <c r="AL120" s="677"/>
      <c r="AM120" s="240"/>
      <c r="AN120" s="313">
        <f t="shared" si="3"/>
        <v>6</v>
      </c>
      <c r="AO120" s="315">
        <f t="shared" si="4"/>
        <v>991.2</v>
      </c>
    </row>
    <row r="121" spans="1:41" ht="21">
      <c r="A121" s="10" t="s">
        <v>415</v>
      </c>
      <c r="B121" s="124"/>
      <c r="C121" s="270"/>
      <c r="D121" s="12"/>
      <c r="E121" s="270"/>
      <c r="F121" s="124"/>
      <c r="G121" s="270"/>
      <c r="H121" s="14"/>
      <c r="I121" s="647"/>
      <c r="J121" s="12"/>
      <c r="K121" s="302"/>
      <c r="L121" s="12">
        <v>2</v>
      </c>
      <c r="M121" s="302">
        <v>343.4</v>
      </c>
      <c r="N121" s="12"/>
      <c r="O121" s="302"/>
      <c r="P121" s="12"/>
      <c r="Q121" s="302"/>
      <c r="R121" s="12"/>
      <c r="S121" s="302"/>
      <c r="T121" s="12"/>
      <c r="U121" s="302"/>
      <c r="V121" s="11"/>
      <c r="W121" s="297"/>
      <c r="X121" s="11"/>
      <c r="Y121" s="297"/>
      <c r="Z121" s="11">
        <v>2</v>
      </c>
      <c r="AA121" s="297">
        <v>317.5</v>
      </c>
      <c r="AB121" s="11"/>
      <c r="AC121" s="297"/>
      <c r="AD121" s="11"/>
      <c r="AE121" s="297"/>
      <c r="AF121" s="11"/>
      <c r="AG121" s="297"/>
      <c r="AH121" s="11"/>
      <c r="AI121" s="297"/>
      <c r="AJ121" s="240"/>
      <c r="AK121" s="240"/>
      <c r="AL121" s="677"/>
      <c r="AM121" s="240"/>
      <c r="AN121" s="313">
        <f t="shared" si="3"/>
        <v>4</v>
      </c>
      <c r="AO121" s="315">
        <f t="shared" si="4"/>
        <v>660.9</v>
      </c>
    </row>
    <row r="122" spans="1:41" ht="21">
      <c r="A122" s="10" t="s">
        <v>589</v>
      </c>
      <c r="B122" s="124"/>
      <c r="C122" s="270"/>
      <c r="D122" s="12"/>
      <c r="E122" s="270"/>
      <c r="F122" s="124"/>
      <c r="G122" s="270"/>
      <c r="H122" s="14"/>
      <c r="I122" s="647"/>
      <c r="J122" s="12"/>
      <c r="K122" s="302"/>
      <c r="L122" s="12">
        <v>1</v>
      </c>
      <c r="M122" s="302">
        <v>154.3</v>
      </c>
      <c r="N122" s="12"/>
      <c r="O122" s="302"/>
      <c r="P122" s="12"/>
      <c r="Q122" s="302"/>
      <c r="R122" s="12"/>
      <c r="S122" s="302"/>
      <c r="T122" s="12"/>
      <c r="U122" s="302"/>
      <c r="V122" s="11"/>
      <c r="W122" s="297"/>
      <c r="X122" s="11"/>
      <c r="Y122" s="297"/>
      <c r="Z122" s="11"/>
      <c r="AA122" s="297"/>
      <c r="AB122" s="11"/>
      <c r="AC122" s="297"/>
      <c r="AD122" s="11"/>
      <c r="AE122" s="297"/>
      <c r="AF122" s="11"/>
      <c r="AG122" s="297"/>
      <c r="AH122" s="11"/>
      <c r="AI122" s="297"/>
      <c r="AJ122" s="240"/>
      <c r="AK122" s="240"/>
      <c r="AL122" s="677"/>
      <c r="AM122" s="240"/>
      <c r="AN122" s="313">
        <f t="shared" si="3"/>
        <v>1</v>
      </c>
      <c r="AO122" s="315">
        <f t="shared" si="4"/>
        <v>154.3</v>
      </c>
    </row>
    <row r="123" spans="1:41" ht="21">
      <c r="A123" s="10" t="s">
        <v>324</v>
      </c>
      <c r="B123" s="124">
        <v>2</v>
      </c>
      <c r="C123" s="270">
        <v>332.9</v>
      </c>
      <c r="D123" s="12"/>
      <c r="E123" s="270"/>
      <c r="F123" s="124"/>
      <c r="G123" s="270"/>
      <c r="H123" s="14"/>
      <c r="I123" s="647"/>
      <c r="J123" s="12"/>
      <c r="K123" s="302"/>
      <c r="L123" s="12"/>
      <c r="M123" s="302"/>
      <c r="N123" s="12"/>
      <c r="O123" s="302"/>
      <c r="P123" s="12"/>
      <c r="Q123" s="302"/>
      <c r="R123" s="12"/>
      <c r="S123" s="302"/>
      <c r="T123" s="12"/>
      <c r="U123" s="302"/>
      <c r="V123" s="11">
        <v>3</v>
      </c>
      <c r="W123" s="297">
        <v>512.2</v>
      </c>
      <c r="X123" s="11"/>
      <c r="Y123" s="297"/>
      <c r="Z123" s="11"/>
      <c r="AA123" s="297"/>
      <c r="AB123" s="11"/>
      <c r="AC123" s="297"/>
      <c r="AD123" s="11"/>
      <c r="AE123" s="297"/>
      <c r="AF123" s="11"/>
      <c r="AG123" s="297"/>
      <c r="AH123" s="11"/>
      <c r="AI123" s="297"/>
      <c r="AJ123" s="240"/>
      <c r="AK123" s="240"/>
      <c r="AL123" s="677"/>
      <c r="AM123" s="240"/>
      <c r="AN123" s="313">
        <f t="shared" si="3"/>
        <v>5</v>
      </c>
      <c r="AO123" s="315">
        <f t="shared" si="4"/>
        <v>845.1</v>
      </c>
    </row>
    <row r="124" spans="1:41" ht="21">
      <c r="A124" s="10" t="s">
        <v>351</v>
      </c>
      <c r="B124" s="124">
        <v>1</v>
      </c>
      <c r="C124" s="270">
        <v>175.5</v>
      </c>
      <c r="D124" s="12"/>
      <c r="E124" s="270"/>
      <c r="F124" s="124"/>
      <c r="G124" s="270"/>
      <c r="H124" s="14"/>
      <c r="I124" s="647"/>
      <c r="J124" s="12">
        <v>2</v>
      </c>
      <c r="K124" s="302">
        <v>261.3</v>
      </c>
      <c r="L124" s="12"/>
      <c r="M124" s="302"/>
      <c r="N124" s="12"/>
      <c r="O124" s="302"/>
      <c r="P124" s="12"/>
      <c r="Q124" s="302"/>
      <c r="R124" s="12"/>
      <c r="S124" s="302"/>
      <c r="T124" s="12"/>
      <c r="U124" s="302"/>
      <c r="V124" s="11"/>
      <c r="W124" s="297"/>
      <c r="X124" s="11"/>
      <c r="Y124" s="297"/>
      <c r="Z124" s="11">
        <v>3</v>
      </c>
      <c r="AA124" s="297">
        <v>243.7</v>
      </c>
      <c r="AB124" s="11"/>
      <c r="AC124" s="297"/>
      <c r="AD124" s="11"/>
      <c r="AE124" s="297"/>
      <c r="AF124" s="11">
        <v>3</v>
      </c>
      <c r="AG124" s="297">
        <v>443.9</v>
      </c>
      <c r="AH124" s="11"/>
      <c r="AI124" s="297"/>
      <c r="AJ124" s="240"/>
      <c r="AK124" s="240"/>
      <c r="AL124" s="677"/>
      <c r="AM124" s="240"/>
      <c r="AN124" s="313">
        <f t="shared" si="3"/>
        <v>9</v>
      </c>
      <c r="AO124" s="315">
        <f t="shared" si="4"/>
        <v>1124.4</v>
      </c>
    </row>
    <row r="125" spans="1:41" ht="22.5" thickBot="1">
      <c r="A125" s="1167" t="s">
        <v>382</v>
      </c>
      <c r="B125" s="1279">
        <v>2</v>
      </c>
      <c r="C125" s="1280">
        <f>148.6+285.1</f>
        <v>433.70000000000005</v>
      </c>
      <c r="D125" s="1281"/>
      <c r="E125" s="1280"/>
      <c r="F125" s="1279">
        <v>1</v>
      </c>
      <c r="G125" s="1280">
        <v>96.3</v>
      </c>
      <c r="H125" s="1281">
        <v>4</v>
      </c>
      <c r="I125" s="1282">
        <v>28285.100000000002</v>
      </c>
      <c r="J125" s="1283">
        <v>2</v>
      </c>
      <c r="K125" s="1282">
        <f>125+140</f>
        <v>265</v>
      </c>
      <c r="L125" s="1283">
        <v>2</v>
      </c>
      <c r="M125" s="1282">
        <v>215.6</v>
      </c>
      <c r="N125" s="1283"/>
      <c r="O125" s="1282"/>
      <c r="P125" s="1281">
        <v>3</v>
      </c>
      <c r="Q125" s="1282">
        <v>135.3</v>
      </c>
      <c r="R125" s="1284"/>
      <c r="S125" s="1285"/>
      <c r="T125" s="1286">
        <v>4</v>
      </c>
      <c r="U125" s="1287">
        <v>379.7</v>
      </c>
      <c r="V125" s="1288">
        <v>2</v>
      </c>
      <c r="W125" s="1285">
        <v>100</v>
      </c>
      <c r="X125" s="1284">
        <v>597</v>
      </c>
      <c r="Y125" s="1285">
        <v>1334.3000000000002</v>
      </c>
      <c r="Z125" s="1288">
        <v>8</v>
      </c>
      <c r="AA125" s="1285">
        <f>858.8-88.3</f>
        <v>770.5</v>
      </c>
      <c r="AB125" s="1289"/>
      <c r="AC125" s="1285">
        <f>145.8+1495.1</f>
        <v>1640.8999999999999</v>
      </c>
      <c r="AD125" s="1290">
        <v>5</v>
      </c>
      <c r="AE125" s="1291">
        <v>355.9</v>
      </c>
      <c r="AF125" s="1283">
        <v>231</v>
      </c>
      <c r="AG125" s="1282">
        <v>17092.600000000006</v>
      </c>
      <c r="AH125" s="1290">
        <v>2</v>
      </c>
      <c r="AI125" s="1282">
        <v>250.3</v>
      </c>
      <c r="AJ125" s="1292"/>
      <c r="AK125" s="1293"/>
      <c r="AL125" s="1292"/>
      <c r="AM125" s="1293"/>
      <c r="AN125" s="1294">
        <f>SUM(B125,D125,F125,H125,J125,L125,N125,P125,R125,T125,V125,Z125,X125,AB125,AD125,AF125,AH125,AJ125,AL125)</f>
        <v>863</v>
      </c>
      <c r="AO125" s="1295">
        <f t="shared" si="4"/>
        <v>51355.20000000001</v>
      </c>
    </row>
    <row r="126" spans="1:41" ht="21.75" thickBot="1">
      <c r="A126" s="322" t="s">
        <v>53</v>
      </c>
      <c r="B126" s="476">
        <f aca="true" t="shared" si="5" ref="B126:AO126">SUM(B4:B125)</f>
        <v>204</v>
      </c>
      <c r="C126" s="475">
        <f t="shared" si="5"/>
        <v>34970.999999999985</v>
      </c>
      <c r="D126" s="476">
        <f t="shared" si="5"/>
        <v>13</v>
      </c>
      <c r="E126" s="475">
        <f t="shared" si="5"/>
        <v>2341.8</v>
      </c>
      <c r="F126" s="476">
        <f t="shared" si="5"/>
        <v>60</v>
      </c>
      <c r="G126" s="475">
        <f t="shared" si="5"/>
        <v>5044.200000000001</v>
      </c>
      <c r="H126" s="476">
        <f t="shared" si="5"/>
        <v>661</v>
      </c>
      <c r="I126" s="475">
        <f t="shared" si="5"/>
        <v>128309.10000000003</v>
      </c>
      <c r="J126" s="476">
        <f t="shared" si="5"/>
        <v>77</v>
      </c>
      <c r="K126" s="475">
        <f t="shared" si="5"/>
        <v>10959.8</v>
      </c>
      <c r="L126" s="476">
        <f t="shared" si="5"/>
        <v>70</v>
      </c>
      <c r="M126" s="475">
        <f t="shared" si="5"/>
        <v>9023</v>
      </c>
      <c r="N126" s="476">
        <f t="shared" si="5"/>
        <v>12</v>
      </c>
      <c r="O126" s="475">
        <f t="shared" si="5"/>
        <v>3632.2</v>
      </c>
      <c r="P126" s="476">
        <f t="shared" si="5"/>
        <v>23</v>
      </c>
      <c r="Q126" s="475">
        <f t="shared" si="5"/>
        <v>1037.3000000000002</v>
      </c>
      <c r="R126" s="476">
        <f t="shared" si="5"/>
        <v>1</v>
      </c>
      <c r="S126" s="475">
        <f t="shared" si="5"/>
        <v>451.9</v>
      </c>
      <c r="T126" s="476">
        <f t="shared" si="5"/>
        <v>243</v>
      </c>
      <c r="U126" s="475">
        <f t="shared" si="5"/>
        <v>4903.599999999999</v>
      </c>
      <c r="V126" s="476">
        <f t="shared" si="5"/>
        <v>69</v>
      </c>
      <c r="W126" s="475">
        <f t="shared" si="5"/>
        <v>19667.6</v>
      </c>
      <c r="X126" s="476">
        <f t="shared" si="5"/>
        <v>843</v>
      </c>
      <c r="Y126" s="475">
        <f t="shared" si="5"/>
        <v>60933.50000000001</v>
      </c>
      <c r="Z126" s="476">
        <f t="shared" si="5"/>
        <v>366</v>
      </c>
      <c r="AA126" s="475">
        <f t="shared" si="5"/>
        <v>64771.999999999985</v>
      </c>
      <c r="AB126" s="476">
        <f t="shared" si="5"/>
        <v>31</v>
      </c>
      <c r="AC126" s="475">
        <f t="shared" si="5"/>
        <v>19939.200000000004</v>
      </c>
      <c r="AD126" s="476">
        <f t="shared" si="5"/>
        <v>138</v>
      </c>
      <c r="AE126" s="475">
        <f t="shared" si="5"/>
        <v>29591.3</v>
      </c>
      <c r="AF126" s="476">
        <f t="shared" si="5"/>
        <v>448</v>
      </c>
      <c r="AG126" s="475">
        <f t="shared" si="5"/>
        <v>54713.100000000006</v>
      </c>
      <c r="AH126" s="476">
        <f t="shared" si="5"/>
        <v>57</v>
      </c>
      <c r="AI126" s="475">
        <f t="shared" si="5"/>
        <v>8707.499999999998</v>
      </c>
      <c r="AJ126" s="476">
        <f t="shared" si="5"/>
        <v>0</v>
      </c>
      <c r="AK126" s="475">
        <f t="shared" si="5"/>
        <v>1212.8</v>
      </c>
      <c r="AL126" s="476">
        <f t="shared" si="5"/>
        <v>24</v>
      </c>
      <c r="AM126" s="475">
        <f t="shared" si="5"/>
        <v>3853.2000000000003</v>
      </c>
      <c r="AN126" s="476">
        <f t="shared" si="5"/>
        <v>3340</v>
      </c>
      <c r="AO126" s="475">
        <f t="shared" si="5"/>
        <v>464064.10000000015</v>
      </c>
    </row>
    <row r="127" spans="1:41" ht="12.75">
      <c r="A127" s="58"/>
      <c r="B127" s="310"/>
      <c r="C127" s="655"/>
      <c r="D127" s="310"/>
      <c r="E127" s="655"/>
      <c r="F127" s="310"/>
      <c r="G127" s="308"/>
      <c r="H127" s="311"/>
      <c r="I127" s="312"/>
      <c r="J127" s="311"/>
      <c r="K127" s="312"/>
      <c r="L127" s="311"/>
      <c r="M127" s="312"/>
      <c r="N127" s="311"/>
      <c r="O127" s="312"/>
      <c r="P127" s="311"/>
      <c r="Q127" s="308"/>
      <c r="R127" s="311"/>
      <c r="S127" s="312"/>
      <c r="T127" s="311"/>
      <c r="U127" s="312"/>
      <c r="V127" s="311"/>
      <c r="W127" s="312"/>
      <c r="X127" s="311"/>
      <c r="Y127" s="312"/>
      <c r="Z127" s="310"/>
      <c r="AA127" s="308"/>
      <c r="AB127" s="310"/>
      <c r="AC127" s="308"/>
      <c r="AD127" s="310"/>
      <c r="AE127" s="308"/>
      <c r="AF127" s="310"/>
      <c r="AG127" s="308"/>
      <c r="AH127" s="310"/>
      <c r="AI127" s="308"/>
      <c r="AJ127" s="310"/>
      <c r="AK127" s="308"/>
      <c r="AL127" s="308"/>
      <c r="AM127" s="308"/>
      <c r="AN127" s="310"/>
      <c r="AO127" s="312"/>
    </row>
    <row r="128" spans="1:41" ht="12.75">
      <c r="A128" s="58"/>
      <c r="B128" s="310"/>
      <c r="C128" s="655"/>
      <c r="D128" s="310"/>
      <c r="E128" s="655"/>
      <c r="F128" s="310"/>
      <c r="G128" s="308"/>
      <c r="H128" s="311"/>
      <c r="I128" s="312"/>
      <c r="J128" s="311"/>
      <c r="K128" s="312"/>
      <c r="L128" s="311"/>
      <c r="M128" s="312"/>
      <c r="N128" s="311"/>
      <c r="O128" s="312"/>
      <c r="P128" s="311"/>
      <c r="Q128" s="308"/>
      <c r="R128" s="311"/>
      <c r="S128" s="312"/>
      <c r="T128" s="311"/>
      <c r="U128" s="312"/>
      <c r="V128" s="311"/>
      <c r="W128" s="312"/>
      <c r="X128" s="311"/>
      <c r="Y128" s="312"/>
      <c r="Z128" s="310"/>
      <c r="AA128" s="308"/>
      <c r="AB128" s="310"/>
      <c r="AC128" s="308"/>
      <c r="AD128" s="310"/>
      <c r="AE128" s="308"/>
      <c r="AF128" s="310"/>
      <c r="AG128" s="308"/>
      <c r="AH128" s="310"/>
      <c r="AI128" s="308"/>
      <c r="AJ128" s="310"/>
      <c r="AK128" s="308"/>
      <c r="AL128" s="308"/>
      <c r="AM128" s="308"/>
      <c r="AN128" s="310"/>
      <c r="AO128" s="312"/>
    </row>
    <row r="129" ht="12.75">
      <c r="AO129" s="213"/>
    </row>
  </sheetData>
  <sheetProtection/>
  <mergeCells count="21">
    <mergeCell ref="AN1:AO1"/>
    <mergeCell ref="X1:Y1"/>
    <mergeCell ref="Z1:AA1"/>
    <mergeCell ref="AB1:AC1"/>
    <mergeCell ref="AD1:AE1"/>
    <mergeCell ref="AJ1:AK1"/>
    <mergeCell ref="AH1:AI1"/>
    <mergeCell ref="P1:Q1"/>
    <mergeCell ref="V1:W1"/>
    <mergeCell ref="T1:U1"/>
    <mergeCell ref="N1:O1"/>
    <mergeCell ref="AL1:AM1"/>
    <mergeCell ref="R1:S1"/>
    <mergeCell ref="AF1:AG1"/>
    <mergeCell ref="L1:M1"/>
    <mergeCell ref="A1:A2"/>
    <mergeCell ref="B1:C1"/>
    <mergeCell ref="D1:E1"/>
    <mergeCell ref="F1:G1"/>
    <mergeCell ref="H1:I1"/>
    <mergeCell ref="J1:K1"/>
  </mergeCells>
  <printOptions/>
  <pageMargins left="0" right="0" top="0.393700787401575" bottom="0.196850393700787" header="0.196850393700787" footer="0.196850393700787"/>
  <pageSetup horizontalDpi="600" verticalDpi="600" orientation="landscape" paperSize="9" scale="88" r:id="rId1"/>
  <headerFooter scaleWithDoc="0">
    <oddHeader>&amp;LAppendix II : Total Value of Thai International Cooperation Programme by Sector (TICP FY 2019)</oddHeader>
  </headerFooter>
  <colBreaks count="1" manualBreakCount="1">
    <brk id="21" max="89" man="1"/>
  </colBreaks>
</worksheet>
</file>

<file path=xl/worksheets/sheet3.xml><?xml version="1.0" encoding="utf-8"?>
<worksheet xmlns="http://schemas.openxmlformats.org/spreadsheetml/2006/main" xmlns:r="http://schemas.openxmlformats.org/officeDocument/2006/relationships">
  <sheetPr>
    <tabColor indexed="45"/>
  </sheetPr>
  <dimension ref="A1:U8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R37" sqref="R37"/>
    </sheetView>
  </sheetViews>
  <sheetFormatPr defaultColWidth="10.57421875" defaultRowHeight="12.75"/>
  <cols>
    <col min="1" max="1" width="15.140625" style="38" customWidth="1"/>
    <col min="2" max="2" width="4.28125" style="34" customWidth="1"/>
    <col min="3" max="3" width="8.00390625" style="272" customWidth="1"/>
    <col min="4" max="4" width="4.00390625" style="35" customWidth="1"/>
    <col min="5" max="5" width="7.8515625" style="272" customWidth="1"/>
    <col min="6" max="6" width="5.8515625" style="272" customWidth="1"/>
    <col min="7" max="7" width="8.140625" style="272" bestFit="1" customWidth="1"/>
    <col min="8" max="8" width="4.8515625" style="34" customWidth="1"/>
    <col min="9" max="9" width="8.140625" style="272" bestFit="1" customWidth="1"/>
    <col min="10" max="10" width="5.140625" style="272" customWidth="1"/>
    <col min="11" max="11" width="8.140625" style="272" customWidth="1"/>
    <col min="12" max="12" width="4.421875" style="36" customWidth="1"/>
    <col min="13" max="13" width="7.421875" style="272" customWidth="1"/>
    <col min="14" max="15" width="8.421875" style="272" customWidth="1"/>
    <col min="16" max="16" width="4.421875" style="35" customWidth="1"/>
    <col min="17" max="17" width="7.28125" style="35" bestFit="1" customWidth="1"/>
    <col min="18" max="18" width="9.57421875" style="73" customWidth="1"/>
    <col min="19" max="19" width="7.00390625" style="34" customWidth="1"/>
    <col min="20" max="20" width="5.8515625" style="35" customWidth="1"/>
    <col min="21" max="21" width="8.7109375" style="272" customWidth="1"/>
    <col min="22" max="16384" width="10.57421875" style="38" customWidth="1"/>
  </cols>
  <sheetData>
    <row r="1" spans="1:21" ht="18.75" customHeight="1" thickBot="1">
      <c r="A1" s="33" t="s">
        <v>475</v>
      </c>
      <c r="P1" s="34"/>
      <c r="S1" s="37"/>
      <c r="T1" s="37"/>
      <c r="U1" s="227" t="s">
        <v>0</v>
      </c>
    </row>
    <row r="2" spans="1:21" s="39" customFormat="1" ht="17.25" customHeight="1">
      <c r="A2" s="1349" t="s">
        <v>1</v>
      </c>
      <c r="B2" s="1352" t="s">
        <v>159</v>
      </c>
      <c r="C2" s="1353"/>
      <c r="D2" s="1353"/>
      <c r="E2" s="1354"/>
      <c r="F2" s="1339" t="s">
        <v>54</v>
      </c>
      <c r="G2" s="1340"/>
      <c r="H2" s="1340"/>
      <c r="I2" s="1340"/>
      <c r="J2" s="1340"/>
      <c r="K2" s="1340"/>
      <c r="L2" s="1340"/>
      <c r="M2" s="1340"/>
      <c r="N2" s="1340"/>
      <c r="O2" s="1341"/>
      <c r="P2" s="1345" t="s">
        <v>372</v>
      </c>
      <c r="Q2" s="1346"/>
      <c r="R2" s="1355" t="s">
        <v>55</v>
      </c>
      <c r="S2" s="1343" t="s">
        <v>56</v>
      </c>
      <c r="T2" s="1334" t="s">
        <v>57</v>
      </c>
      <c r="U2" s="1334"/>
    </row>
    <row r="3" spans="1:21" s="39" customFormat="1" ht="18" customHeight="1">
      <c r="A3" s="1350"/>
      <c r="B3" s="1338" t="s">
        <v>103</v>
      </c>
      <c r="C3" s="1336"/>
      <c r="D3" s="1336" t="s">
        <v>58</v>
      </c>
      <c r="E3" s="1337"/>
      <c r="F3" s="1338" t="s">
        <v>103</v>
      </c>
      <c r="G3" s="1336"/>
      <c r="H3" s="1336" t="s">
        <v>58</v>
      </c>
      <c r="I3" s="1337"/>
      <c r="J3" s="1342" t="s">
        <v>59</v>
      </c>
      <c r="K3" s="1342"/>
      <c r="L3" s="1342" t="s">
        <v>372</v>
      </c>
      <c r="M3" s="1342"/>
      <c r="N3" s="327" t="s">
        <v>55</v>
      </c>
      <c r="O3" s="328" t="s">
        <v>56</v>
      </c>
      <c r="P3" s="1347"/>
      <c r="Q3" s="1348"/>
      <c r="R3" s="1356"/>
      <c r="S3" s="1344"/>
      <c r="T3" s="1335"/>
      <c r="U3" s="1335"/>
    </row>
    <row r="4" spans="1:21" s="40" customFormat="1" ht="15.75" customHeight="1" thickBot="1">
      <c r="A4" s="1351"/>
      <c r="B4" s="329" t="s">
        <v>10</v>
      </c>
      <c r="C4" s="330" t="s">
        <v>9</v>
      </c>
      <c r="D4" s="331" t="s">
        <v>10</v>
      </c>
      <c r="E4" s="332" t="s">
        <v>9</v>
      </c>
      <c r="F4" s="329" t="s">
        <v>10</v>
      </c>
      <c r="G4" s="330" t="s">
        <v>9</v>
      </c>
      <c r="H4" s="331" t="s">
        <v>10</v>
      </c>
      <c r="I4" s="332" t="s">
        <v>9</v>
      </c>
      <c r="J4" s="331" t="s">
        <v>10</v>
      </c>
      <c r="K4" s="332" t="s">
        <v>9</v>
      </c>
      <c r="L4" s="331" t="s">
        <v>10</v>
      </c>
      <c r="M4" s="330" t="s">
        <v>9</v>
      </c>
      <c r="N4" s="330" t="s">
        <v>9</v>
      </c>
      <c r="O4" s="332" t="s">
        <v>9</v>
      </c>
      <c r="P4" s="329" t="s">
        <v>10</v>
      </c>
      <c r="Q4" s="333" t="s">
        <v>9</v>
      </c>
      <c r="R4" s="334" t="s">
        <v>9</v>
      </c>
      <c r="S4" s="335" t="s">
        <v>9</v>
      </c>
      <c r="T4" s="331" t="s">
        <v>8</v>
      </c>
      <c r="U4" s="330" t="s">
        <v>9</v>
      </c>
    </row>
    <row r="5" spans="1:21" ht="18" customHeight="1">
      <c r="A5" s="336" t="s">
        <v>60</v>
      </c>
      <c r="B5" s="337"/>
      <c r="C5" s="338"/>
      <c r="D5" s="339"/>
      <c r="E5" s="340"/>
      <c r="F5" s="337"/>
      <c r="G5" s="338"/>
      <c r="H5" s="339"/>
      <c r="I5" s="340"/>
      <c r="J5" s="338"/>
      <c r="K5" s="338"/>
      <c r="L5" s="342"/>
      <c r="M5" s="341"/>
      <c r="N5" s="341"/>
      <c r="O5" s="343"/>
      <c r="P5" s="337"/>
      <c r="Q5" s="339"/>
      <c r="R5" s="344"/>
      <c r="S5" s="345"/>
      <c r="T5" s="346"/>
      <c r="U5" s="347"/>
    </row>
    <row r="6" spans="1:21" ht="17.25" customHeight="1">
      <c r="A6" s="41" t="s">
        <v>11</v>
      </c>
      <c r="B6" s="277"/>
      <c r="C6" s="283"/>
      <c r="D6" s="44">
        <v>1</v>
      </c>
      <c r="E6" s="470">
        <v>1652.3</v>
      </c>
      <c r="F6" s="277">
        <f>ApV!D57</f>
        <v>788</v>
      </c>
      <c r="G6" s="283">
        <f>ApV!E57</f>
        <v>14502</v>
      </c>
      <c r="H6" s="44">
        <f>ApV!F57</f>
        <v>28</v>
      </c>
      <c r="I6" s="283">
        <f>ApV!G57</f>
        <v>2292.4</v>
      </c>
      <c r="J6" s="44">
        <f>ApV!H57</f>
        <v>163</v>
      </c>
      <c r="K6" s="283">
        <f>ApV!I57</f>
        <v>15630.500000000002</v>
      </c>
      <c r="L6" s="44">
        <f>ApV!J57</f>
        <v>3</v>
      </c>
      <c r="M6" s="283">
        <f>ApV!K57</f>
        <v>1283.3</v>
      </c>
      <c r="N6" s="283">
        <f>ApV!L57</f>
        <v>16497.6</v>
      </c>
      <c r="O6" s="289">
        <f>ApV!M57</f>
        <v>8334</v>
      </c>
      <c r="P6" s="277"/>
      <c r="Q6" s="283"/>
      <c r="R6" s="283"/>
      <c r="S6" s="289"/>
      <c r="T6" s="45">
        <f>SUM(B6,H6,D6,F6)</f>
        <v>817</v>
      </c>
      <c r="U6" s="471">
        <f>SUM(C6,E6,G6,K6,I6,M6,N6,O6,Q6,R6,S6)</f>
        <v>60192.100000000006</v>
      </c>
    </row>
    <row r="7" spans="1:21" ht="17.25" customHeight="1">
      <c r="A7" s="41" t="s">
        <v>12</v>
      </c>
      <c r="B7" s="277"/>
      <c r="C7" s="473"/>
      <c r="D7" s="44">
        <v>29</v>
      </c>
      <c r="E7" s="470">
        <f>10987.9+1047.6</f>
        <v>12035.5</v>
      </c>
      <c r="F7" s="277">
        <f>ApV!D97</f>
        <v>184</v>
      </c>
      <c r="G7" s="283">
        <f>ApV!E97</f>
        <v>4512.8</v>
      </c>
      <c r="H7" s="44">
        <f>ApV!F97</f>
        <v>7</v>
      </c>
      <c r="I7" s="283">
        <f>ApV!G97</f>
        <v>8383.5</v>
      </c>
      <c r="J7" s="44">
        <f>ApV!H97</f>
        <v>77</v>
      </c>
      <c r="K7" s="283">
        <f>ApV!I97</f>
        <v>3811</v>
      </c>
      <c r="L7" s="44">
        <f>ApV!J97</f>
        <v>1</v>
      </c>
      <c r="M7" s="283">
        <f>ApV!K97</f>
        <v>205.8</v>
      </c>
      <c r="N7" s="283">
        <f>ApV!L97</f>
        <v>26029.899999999998</v>
      </c>
      <c r="O7" s="289">
        <f>ApV!M97</f>
        <v>1932.9</v>
      </c>
      <c r="P7" s="277"/>
      <c r="Q7" s="283"/>
      <c r="R7" s="283"/>
      <c r="S7" s="289"/>
      <c r="T7" s="45">
        <f>SUM(B7,H7,D7,F7)</f>
        <v>220</v>
      </c>
      <c r="U7" s="471">
        <f>SUM(C7,E7,G7,K7,I7,M7,N7,O7,Q7,R7,S7)</f>
        <v>56911.4</v>
      </c>
    </row>
    <row r="8" spans="1:21" ht="17.25" customHeight="1">
      <c r="A8" s="41" t="s">
        <v>13</v>
      </c>
      <c r="B8" s="277"/>
      <c r="C8" s="473"/>
      <c r="D8" s="44">
        <v>25</v>
      </c>
      <c r="E8" s="470">
        <v>10938</v>
      </c>
      <c r="F8" s="277">
        <f>ApV!D131</f>
        <v>164</v>
      </c>
      <c r="G8" s="283">
        <f>ApV!E131</f>
        <v>4589.3</v>
      </c>
      <c r="H8" s="44">
        <f>ApV!F131</f>
        <v>0</v>
      </c>
      <c r="I8" s="283">
        <f>ApV!G131</f>
        <v>997.4000000000001</v>
      </c>
      <c r="J8" s="44">
        <f>ApV!H131</f>
        <v>87</v>
      </c>
      <c r="K8" s="283">
        <f>ApV!I131</f>
        <v>5770.3</v>
      </c>
      <c r="L8" s="44">
        <f>ApV!J131</f>
        <v>2</v>
      </c>
      <c r="M8" s="283">
        <f>ApV!K131</f>
        <v>989.4</v>
      </c>
      <c r="N8" s="283">
        <f>ApV!L131</f>
        <v>22431</v>
      </c>
      <c r="O8" s="289">
        <f>ApV!M131</f>
        <v>1307.9</v>
      </c>
      <c r="P8" s="277"/>
      <c r="Q8" s="283"/>
      <c r="R8" s="283"/>
      <c r="S8" s="289"/>
      <c r="T8" s="45">
        <f>SUM(B8,H8,D8,F8)</f>
        <v>189</v>
      </c>
      <c r="U8" s="471">
        <f>SUM(C8,E8,G8,K8,I8,M8,N8,O8,Q8,R8,S8)</f>
        <v>47023.3</v>
      </c>
    </row>
    <row r="9" spans="1:21" s="190" customFormat="1" ht="17.25" customHeight="1">
      <c r="A9" s="43" t="s">
        <v>14</v>
      </c>
      <c r="B9" s="278"/>
      <c r="C9" s="474"/>
      <c r="D9" s="581"/>
      <c r="E9" s="280">
        <v>519.7</v>
      </c>
      <c r="F9" s="277">
        <f>ApV!D163</f>
        <v>53</v>
      </c>
      <c r="G9" s="283">
        <f>ApV!E163</f>
        <v>4541.2</v>
      </c>
      <c r="H9" s="44">
        <f>ApV!F163</f>
        <v>1</v>
      </c>
      <c r="I9" s="283">
        <f>ApV!G163</f>
        <v>1650.9</v>
      </c>
      <c r="J9" s="44">
        <f>ApV!H163</f>
        <v>13</v>
      </c>
      <c r="K9" s="283">
        <f>ApV!I163</f>
        <v>563.2</v>
      </c>
      <c r="L9" s="44">
        <f>ApV!J163</f>
        <v>6</v>
      </c>
      <c r="M9" s="283">
        <f>ApV!K163</f>
        <v>2306.7000000000003</v>
      </c>
      <c r="N9" s="283">
        <f>ApV!L163</f>
        <v>0</v>
      </c>
      <c r="O9" s="289">
        <f>ApV!M163</f>
        <v>368.4</v>
      </c>
      <c r="P9" s="278"/>
      <c r="Q9" s="284"/>
      <c r="R9" s="284"/>
      <c r="S9" s="466"/>
      <c r="T9" s="45">
        <f>SUM(B9,H9,D9,F9)</f>
        <v>54</v>
      </c>
      <c r="U9" s="471">
        <f>SUM(C9,E9,G9,K9,I9,M9,N9,O9,Q9,R9,S9)</f>
        <v>9950.1</v>
      </c>
    </row>
    <row r="10" spans="1:21" ht="18" customHeight="1">
      <c r="A10" s="336" t="s">
        <v>15</v>
      </c>
      <c r="B10" s="460"/>
      <c r="C10" s="319"/>
      <c r="D10" s="462"/>
      <c r="E10" s="463"/>
      <c r="F10" s="460"/>
      <c r="G10" s="461"/>
      <c r="H10" s="462"/>
      <c r="I10" s="461"/>
      <c r="J10" s="461"/>
      <c r="K10" s="461"/>
      <c r="L10" s="462"/>
      <c r="M10" s="461"/>
      <c r="N10" s="461"/>
      <c r="O10" s="463"/>
      <c r="P10" s="460"/>
      <c r="Q10" s="462"/>
      <c r="R10" s="464"/>
      <c r="S10" s="465"/>
      <c r="T10" s="348"/>
      <c r="U10" s="319"/>
    </row>
    <row r="11" spans="1:21" s="190" customFormat="1" ht="17.25" customHeight="1">
      <c r="A11" s="41" t="s">
        <v>16</v>
      </c>
      <c r="B11" s="277"/>
      <c r="C11" s="473"/>
      <c r="D11" s="44">
        <v>2</v>
      </c>
      <c r="E11" s="279">
        <v>928.1</v>
      </c>
      <c r="F11" s="277"/>
      <c r="G11" s="283"/>
      <c r="H11" s="44"/>
      <c r="I11" s="44"/>
      <c r="J11" s="44"/>
      <c r="K11" s="44"/>
      <c r="L11" s="44"/>
      <c r="M11" s="283"/>
      <c r="N11" s="44"/>
      <c r="O11" s="290"/>
      <c r="P11" s="277"/>
      <c r="Q11" s="283"/>
      <c r="R11" s="283"/>
      <c r="S11" s="290"/>
      <c r="T11" s="45">
        <f>SUM(B11,H11,D11,F11)</f>
        <v>2</v>
      </c>
      <c r="U11" s="471">
        <f>SUM(C11,E11,G11,K11,I11,M11,N11,O11,Q11,R11,S11)</f>
        <v>928.1</v>
      </c>
    </row>
    <row r="12" spans="1:21" s="190" customFormat="1" ht="17.25" customHeight="1">
      <c r="A12" s="41" t="s">
        <v>18</v>
      </c>
      <c r="B12" s="277"/>
      <c r="C12" s="473"/>
      <c r="D12" s="44">
        <v>1</v>
      </c>
      <c r="E12" s="279">
        <v>1147.2</v>
      </c>
      <c r="F12" s="277">
        <f>ApV!D139</f>
        <v>0</v>
      </c>
      <c r="G12" s="44">
        <f>ApV!E139</f>
        <v>0</v>
      </c>
      <c r="H12" s="44">
        <f>ApV!F139</f>
        <v>0</v>
      </c>
      <c r="I12" s="44">
        <f>ApV!G139</f>
        <v>0</v>
      </c>
      <c r="J12" s="44">
        <f>ApV!H139</f>
        <v>7</v>
      </c>
      <c r="K12" s="283">
        <f>ApV!I139</f>
        <v>306</v>
      </c>
      <c r="L12" s="44">
        <f>ApV!J139</f>
        <v>0</v>
      </c>
      <c r="M12" s="44">
        <f>ApV!K139</f>
        <v>0</v>
      </c>
      <c r="N12" s="44">
        <f>ApV!L139</f>
        <v>0</v>
      </c>
      <c r="O12" s="290">
        <f>ApV!M139</f>
        <v>0</v>
      </c>
      <c r="P12" s="277"/>
      <c r="Q12" s="283"/>
      <c r="R12" s="283"/>
      <c r="S12" s="290"/>
      <c r="T12" s="45">
        <f>SUM(B12,H12,D12,F12)</f>
        <v>1</v>
      </c>
      <c r="U12" s="471">
        <f>SUM(C12,E12,G12,K12,I12,M12,N12,O12,Q12,R12,S12)</f>
        <v>1453.2</v>
      </c>
    </row>
    <row r="13" spans="1:21" s="231" customFormat="1" ht="17.25" customHeight="1">
      <c r="A13" s="41" t="s">
        <v>676</v>
      </c>
      <c r="B13" s="277"/>
      <c r="C13" s="473"/>
      <c r="D13" s="44"/>
      <c r="E13" s="279"/>
      <c r="F13" s="277">
        <f>ApV!D150</f>
        <v>0</v>
      </c>
      <c r="G13" s="44">
        <f>ApV!E150</f>
        <v>0</v>
      </c>
      <c r="H13" s="44">
        <f>ApV!F150</f>
        <v>0</v>
      </c>
      <c r="I13" s="44">
        <f>ApV!G150</f>
        <v>0</v>
      </c>
      <c r="J13" s="44">
        <f>ApV!H150</f>
        <v>10</v>
      </c>
      <c r="K13" s="283">
        <f>ApV!I150</f>
        <v>2621.5</v>
      </c>
      <c r="L13" s="44">
        <f>ApV!J150</f>
        <v>0</v>
      </c>
      <c r="M13" s="44">
        <f>ApV!K150</f>
        <v>0</v>
      </c>
      <c r="N13" s="44">
        <f>ApV!L150</f>
        <v>0</v>
      </c>
      <c r="O13" s="290">
        <f>ApV!M150</f>
        <v>0</v>
      </c>
      <c r="P13" s="277"/>
      <c r="Q13" s="283"/>
      <c r="R13" s="283"/>
      <c r="S13" s="290"/>
      <c r="T13" s="45">
        <f>SUM(B13,H13,D13,F13)</f>
        <v>0</v>
      </c>
      <c r="U13" s="471">
        <f>SUM(C13,E13,G13,K13,I13,M13,N13,O13,Q13,R13,S13)</f>
        <v>2621.5</v>
      </c>
    </row>
    <row r="14" spans="1:21" ht="17.25" customHeight="1">
      <c r="A14" s="336" t="s">
        <v>20</v>
      </c>
      <c r="B14" s="349"/>
      <c r="C14" s="320"/>
      <c r="D14" s="351"/>
      <c r="E14" s="352"/>
      <c r="F14" s="349"/>
      <c r="G14" s="350"/>
      <c r="H14" s="351"/>
      <c r="I14" s="350"/>
      <c r="J14" s="350"/>
      <c r="K14" s="350"/>
      <c r="L14" s="351"/>
      <c r="M14" s="350"/>
      <c r="N14" s="350"/>
      <c r="O14" s="352"/>
      <c r="P14" s="349"/>
      <c r="Q14" s="351"/>
      <c r="R14" s="353"/>
      <c r="S14" s="354"/>
      <c r="T14" s="348"/>
      <c r="U14" s="319"/>
    </row>
    <row r="15" spans="1:21" s="190" customFormat="1" ht="17.25" customHeight="1">
      <c r="A15" s="832" t="s">
        <v>22</v>
      </c>
      <c r="B15" s="745"/>
      <c r="C15" s="473"/>
      <c r="D15" s="746"/>
      <c r="E15" s="279"/>
      <c r="F15" s="277">
        <f>ApV!D106</f>
        <v>28</v>
      </c>
      <c r="G15" s="283">
        <f>ApV!E106</f>
        <v>1642.8</v>
      </c>
      <c r="H15" s="44">
        <f>ApV!F106</f>
        <v>0</v>
      </c>
      <c r="I15" s="283">
        <f>ApV!G106</f>
        <v>0</v>
      </c>
      <c r="J15" s="44"/>
      <c r="K15" s="44"/>
      <c r="L15" s="44"/>
      <c r="M15" s="44"/>
      <c r="N15" s="44"/>
      <c r="O15" s="289"/>
      <c r="P15" s="277"/>
      <c r="Q15" s="44"/>
      <c r="R15" s="283"/>
      <c r="S15" s="290"/>
      <c r="T15" s="45">
        <f>SUM(B15,H15,D15,F15)</f>
        <v>28</v>
      </c>
      <c r="U15" s="471">
        <f>SUM(C15,E15,G15,K15,I15,M15,N15,O15,Q15,R15,S15)</f>
        <v>1642.8</v>
      </c>
    </row>
    <row r="16" spans="1:21" ht="17.25" customHeight="1">
      <c r="A16" s="336" t="s">
        <v>23</v>
      </c>
      <c r="B16" s="460"/>
      <c r="C16" s="319"/>
      <c r="D16" s="462"/>
      <c r="E16" s="463"/>
      <c r="F16" s="460"/>
      <c r="G16" s="461"/>
      <c r="H16" s="462"/>
      <c r="I16" s="461"/>
      <c r="J16" s="461"/>
      <c r="K16" s="461"/>
      <c r="L16" s="462"/>
      <c r="M16" s="461"/>
      <c r="N16" s="461"/>
      <c r="O16" s="463"/>
      <c r="P16" s="460"/>
      <c r="Q16" s="462"/>
      <c r="R16" s="464"/>
      <c r="S16" s="465"/>
      <c r="T16" s="348"/>
      <c r="U16" s="319"/>
    </row>
    <row r="17" spans="1:21" ht="18" customHeight="1">
      <c r="A17" s="41" t="s">
        <v>24</v>
      </c>
      <c r="B17" s="277"/>
      <c r="C17" s="473"/>
      <c r="D17" s="44">
        <v>4</v>
      </c>
      <c r="E17" s="289">
        <v>592.6</v>
      </c>
      <c r="F17" s="277">
        <f>ApV!D11</f>
        <v>0</v>
      </c>
      <c r="G17" s="44">
        <f>ApV!E11</f>
        <v>0</v>
      </c>
      <c r="H17" s="44">
        <f>ApV!F11</f>
        <v>0</v>
      </c>
      <c r="I17" s="44">
        <f>ApV!G11</f>
        <v>0</v>
      </c>
      <c r="J17" s="44">
        <f>ApV!H11</f>
        <v>12</v>
      </c>
      <c r="K17" s="283">
        <f>ApV!I11</f>
        <v>937.5</v>
      </c>
      <c r="L17" s="44">
        <f>ApV!J11</f>
        <v>0</v>
      </c>
      <c r="M17" s="44">
        <f>ApV!K11</f>
        <v>0</v>
      </c>
      <c r="N17" s="44">
        <f>ApV!L11</f>
        <v>0</v>
      </c>
      <c r="O17" s="290">
        <f>ApV!M11</f>
        <v>0</v>
      </c>
      <c r="P17" s="277"/>
      <c r="Q17" s="44"/>
      <c r="R17" s="283"/>
      <c r="S17" s="290"/>
      <c r="T17" s="45">
        <f>SUM(B17,H17,D17,F17)</f>
        <v>4</v>
      </c>
      <c r="U17" s="471">
        <f>SUM(C17,E17,G17,K17,I17,M17,N17,O17,Q17,R17,S17)</f>
        <v>1530.1</v>
      </c>
    </row>
    <row r="18" spans="1:21" ht="18" customHeight="1">
      <c r="A18" s="41" t="s">
        <v>25</v>
      </c>
      <c r="B18" s="277"/>
      <c r="C18" s="473"/>
      <c r="D18" s="44">
        <v>35</v>
      </c>
      <c r="E18" s="470">
        <v>31032.1</v>
      </c>
      <c r="F18" s="277">
        <f>ApV!D23</f>
        <v>29</v>
      </c>
      <c r="G18" s="283">
        <f>ApV!E23</f>
        <v>1890.6</v>
      </c>
      <c r="H18" s="44">
        <f>ApV!F23</f>
        <v>0</v>
      </c>
      <c r="I18" s="283">
        <f>ApV!G23</f>
        <v>2483.9</v>
      </c>
      <c r="J18" s="44">
        <f>ApV!H23</f>
        <v>18</v>
      </c>
      <c r="K18" s="283">
        <f>ApV!I23</f>
        <v>2027.5</v>
      </c>
      <c r="L18" s="44"/>
      <c r="M18" s="283"/>
      <c r="N18" s="283">
        <f>ApV!L23</f>
        <v>562.3</v>
      </c>
      <c r="O18" s="289">
        <f>ApV!M23</f>
        <v>2978.5579000000007</v>
      </c>
      <c r="P18" s="277">
        <v>5</v>
      </c>
      <c r="Q18" s="283">
        <v>2922.1</v>
      </c>
      <c r="R18" s="283"/>
      <c r="S18" s="289"/>
      <c r="T18" s="45">
        <f>SUM(B18,H18,D18,F18)</f>
        <v>64</v>
      </c>
      <c r="U18" s="471">
        <f>SUM(C18,E18,G18,K18,I18,M18,N18,O18,Q18,R18,S18)</f>
        <v>43897.0579</v>
      </c>
    </row>
    <row r="19" spans="1:21" ht="18" customHeight="1">
      <c r="A19" s="41" t="s">
        <v>27</v>
      </c>
      <c r="B19" s="277"/>
      <c r="C19" s="473"/>
      <c r="D19" s="44"/>
      <c r="E19" s="279"/>
      <c r="F19" s="277">
        <f>ApV!D64</f>
        <v>3</v>
      </c>
      <c r="G19" s="283">
        <f>ApV!E64</f>
        <v>251.2</v>
      </c>
      <c r="H19" s="44">
        <f>ApV!F64</f>
        <v>0</v>
      </c>
      <c r="I19" s="44">
        <f>ApV!G64</f>
        <v>0</v>
      </c>
      <c r="J19" s="44">
        <f>ApV!H64</f>
        <v>9</v>
      </c>
      <c r="K19" s="283">
        <f>ApV!I64</f>
        <v>1688.5</v>
      </c>
      <c r="L19" s="44">
        <f>ApV!J64</f>
        <v>0</v>
      </c>
      <c r="M19" s="44">
        <f>ApV!K64</f>
        <v>0</v>
      </c>
      <c r="N19" s="44">
        <f>ApV!L64</f>
        <v>0</v>
      </c>
      <c r="O19" s="290">
        <f>ApV!M64</f>
        <v>0</v>
      </c>
      <c r="P19" s="277"/>
      <c r="Q19" s="44"/>
      <c r="R19" s="283"/>
      <c r="S19" s="290"/>
      <c r="T19" s="45">
        <f>SUM(B19,H19,D19,F19)</f>
        <v>3</v>
      </c>
      <c r="U19" s="471">
        <f>SUM(C19,E19,G19,K19,I19,M19,N19,O19,Q19,R19,S19)</f>
        <v>1939.7</v>
      </c>
    </row>
    <row r="20" spans="1:21" ht="19.5">
      <c r="A20" s="180" t="s">
        <v>31</v>
      </c>
      <c r="B20" s="277"/>
      <c r="C20" s="473"/>
      <c r="D20" s="825"/>
      <c r="E20" s="826"/>
      <c r="F20" s="827"/>
      <c r="G20" s="826"/>
      <c r="H20" s="826"/>
      <c r="I20" s="826"/>
      <c r="J20" s="1136">
        <f>ApV!H145</f>
        <v>5</v>
      </c>
      <c r="K20" s="826">
        <f>ApV!I145</f>
        <v>557.8</v>
      </c>
      <c r="L20" s="826"/>
      <c r="M20" s="826"/>
      <c r="N20" s="826"/>
      <c r="O20" s="828"/>
      <c r="P20" s="829"/>
      <c r="Q20" s="825"/>
      <c r="R20" s="830"/>
      <c r="S20" s="831"/>
      <c r="T20" s="45">
        <f>SUM(B20,H20,D20,F20)</f>
        <v>0</v>
      </c>
      <c r="U20" s="471">
        <f>SUM(C20,E20,G20,K20,I20,M20,N20,O20,Q20,R20,S20)</f>
        <v>557.8</v>
      </c>
    </row>
    <row r="21" spans="1:21" ht="18" customHeight="1">
      <c r="A21" s="336" t="s">
        <v>313</v>
      </c>
      <c r="B21" s="460"/>
      <c r="C21" s="319"/>
      <c r="D21" s="462"/>
      <c r="E21" s="463"/>
      <c r="F21" s="460"/>
      <c r="G21" s="461"/>
      <c r="H21" s="462"/>
      <c r="I21" s="461"/>
      <c r="J21" s="461"/>
      <c r="K21" s="461"/>
      <c r="L21" s="462"/>
      <c r="M21" s="461"/>
      <c r="N21" s="461"/>
      <c r="O21" s="463"/>
      <c r="P21" s="460"/>
      <c r="Q21" s="462"/>
      <c r="R21" s="464"/>
      <c r="S21" s="465"/>
      <c r="T21" s="348"/>
      <c r="U21" s="319"/>
    </row>
    <row r="22" spans="1:21" ht="17.25" customHeight="1">
      <c r="A22" s="41" t="s">
        <v>127</v>
      </c>
      <c r="B22" s="277"/>
      <c r="C22" s="473"/>
      <c r="D22" s="44">
        <v>2</v>
      </c>
      <c r="E22" s="279">
        <v>2239</v>
      </c>
      <c r="F22" s="277">
        <f>ApV!D61</f>
        <v>16</v>
      </c>
      <c r="G22" s="283">
        <f>ApV!E61</f>
        <v>2373.7</v>
      </c>
      <c r="H22" s="44">
        <f>ApV!F61</f>
        <v>0</v>
      </c>
      <c r="I22" s="283">
        <f>ApV!G61</f>
        <v>0</v>
      </c>
      <c r="J22" s="44">
        <f>ApV!H61</f>
        <v>0</v>
      </c>
      <c r="K22" s="283">
        <f>ApV!I61</f>
        <v>0</v>
      </c>
      <c r="L22" s="44">
        <f>ApV!J61</f>
        <v>0</v>
      </c>
      <c r="M22" s="283">
        <f>ApV!K61</f>
        <v>0</v>
      </c>
      <c r="N22" s="44">
        <f>ApV!L61</f>
        <v>0</v>
      </c>
      <c r="O22" s="289">
        <f>ApV!M61</f>
        <v>0</v>
      </c>
      <c r="P22" s="277"/>
      <c r="Q22" s="283"/>
      <c r="R22" s="283"/>
      <c r="S22" s="290"/>
      <c r="T22" s="45">
        <f>SUM(B22,H22,D22,F22)</f>
        <v>18</v>
      </c>
      <c r="U22" s="471">
        <f>SUM(C22,E22,G22,K22,I22,M22,N22,O22,Q22,R22,S22)</f>
        <v>4612.7</v>
      </c>
    </row>
    <row r="23" spans="1:21" ht="17.25" customHeight="1">
      <c r="A23" s="41" t="s">
        <v>286</v>
      </c>
      <c r="B23" s="277"/>
      <c r="C23" s="473"/>
      <c r="D23" s="44"/>
      <c r="E23" s="279"/>
      <c r="F23" s="277">
        <f>ApV!D153</f>
        <v>7</v>
      </c>
      <c r="G23" s="283">
        <f>ApV!E153</f>
        <v>1781.9</v>
      </c>
      <c r="H23" s="44">
        <f>ApV!F153</f>
        <v>0</v>
      </c>
      <c r="I23" s="44">
        <f>ApV!G153</f>
        <v>0</v>
      </c>
      <c r="J23" s="44">
        <f>ApV!H153</f>
        <v>5</v>
      </c>
      <c r="K23" s="283">
        <f>ApV!I153</f>
        <v>993.9</v>
      </c>
      <c r="L23" s="44">
        <f>ApV!J153</f>
        <v>0</v>
      </c>
      <c r="M23" s="44">
        <f>ApV!K153</f>
        <v>0</v>
      </c>
      <c r="N23" s="283">
        <f>ApV!L153</f>
        <v>7643.8</v>
      </c>
      <c r="O23" s="290">
        <f>ApV!M153</f>
        <v>0</v>
      </c>
      <c r="P23" s="277"/>
      <c r="Q23" s="283"/>
      <c r="R23" s="283"/>
      <c r="S23" s="290"/>
      <c r="T23" s="45">
        <f>SUM(B23,H23,D23,F23)</f>
        <v>7</v>
      </c>
      <c r="U23" s="471">
        <f>SUM(C23,E23,G23,K23,I23,M23,N23,O23,Q23,R23,S23)</f>
        <v>10419.6</v>
      </c>
    </row>
    <row r="24" spans="1:21" ht="18" customHeight="1">
      <c r="A24" s="336" t="s">
        <v>61</v>
      </c>
      <c r="B24" s="460"/>
      <c r="C24" s="319"/>
      <c r="D24" s="462"/>
      <c r="E24" s="463"/>
      <c r="F24" s="460"/>
      <c r="G24" s="461"/>
      <c r="H24" s="462"/>
      <c r="I24" s="461"/>
      <c r="J24" s="461"/>
      <c r="K24" s="461"/>
      <c r="L24" s="462"/>
      <c r="M24" s="461"/>
      <c r="N24" s="461"/>
      <c r="O24" s="463"/>
      <c r="P24" s="460"/>
      <c r="Q24" s="462"/>
      <c r="R24" s="464"/>
      <c r="S24" s="465"/>
      <c r="T24" s="348"/>
      <c r="U24" s="319"/>
    </row>
    <row r="25" spans="1:21" ht="17.25" customHeight="1">
      <c r="A25" s="41" t="s">
        <v>332</v>
      </c>
      <c r="B25" s="277"/>
      <c r="C25" s="473"/>
      <c r="D25" s="44"/>
      <c r="E25" s="279"/>
      <c r="F25" s="277">
        <f>ApV!D14</f>
        <v>5</v>
      </c>
      <c r="G25" s="283">
        <f>ApV!E14</f>
        <v>537.1</v>
      </c>
      <c r="H25" s="44">
        <f>ApV!F14</f>
        <v>0</v>
      </c>
      <c r="I25" s="44">
        <f>ApV!G14</f>
        <v>0</v>
      </c>
      <c r="J25" s="44">
        <f>ApV!H14</f>
        <v>5</v>
      </c>
      <c r="K25" s="283">
        <f>ApV!I14</f>
        <v>1352.6</v>
      </c>
      <c r="L25" s="44">
        <f>ApV!J14</f>
        <v>0</v>
      </c>
      <c r="M25" s="44"/>
      <c r="N25" s="283"/>
      <c r="O25" s="290"/>
      <c r="P25" s="277">
        <v>2</v>
      </c>
      <c r="Q25" s="283">
        <v>1243.6</v>
      </c>
      <c r="R25" s="283"/>
      <c r="S25" s="290"/>
      <c r="T25" s="45">
        <f>SUM(B25,H25,D25,F25)</f>
        <v>5</v>
      </c>
      <c r="U25" s="471">
        <f aca="true" t="shared" si="0" ref="U25:U37">SUM(C25,E25,G25,K25,I25,M25,N25,O25,Q25,R25,S25)</f>
        <v>3133.2999999999997</v>
      </c>
    </row>
    <row r="26" spans="1:21" ht="17.25" customHeight="1">
      <c r="A26" s="41" t="s">
        <v>296</v>
      </c>
      <c r="B26" s="277">
        <v>2</v>
      </c>
      <c r="C26" s="473">
        <v>340.1</v>
      </c>
      <c r="D26" s="44"/>
      <c r="E26" s="279"/>
      <c r="F26" s="277"/>
      <c r="G26" s="283"/>
      <c r="H26" s="44"/>
      <c r="I26" s="44"/>
      <c r="J26" s="44"/>
      <c r="K26" s="283"/>
      <c r="L26" s="44"/>
      <c r="M26" s="44"/>
      <c r="N26" s="283"/>
      <c r="O26" s="290"/>
      <c r="P26" s="277"/>
      <c r="Q26" s="283"/>
      <c r="R26" s="283"/>
      <c r="S26" s="290"/>
      <c r="T26" s="45">
        <f aca="true" t="shared" si="1" ref="T26:T37">SUM(B26,H26,D26,F26)</f>
        <v>2</v>
      </c>
      <c r="U26" s="471">
        <f t="shared" si="0"/>
        <v>340.1</v>
      </c>
    </row>
    <row r="27" spans="1:21" ht="17.25" customHeight="1">
      <c r="A27" s="684" t="s">
        <v>436</v>
      </c>
      <c r="B27" s="277">
        <v>1</v>
      </c>
      <c r="C27" s="473">
        <v>162.5</v>
      </c>
      <c r="D27" s="44"/>
      <c r="E27" s="279"/>
      <c r="F27" s="277"/>
      <c r="G27" s="283"/>
      <c r="H27" s="44"/>
      <c r="I27" s="44"/>
      <c r="J27" s="44"/>
      <c r="K27" s="283"/>
      <c r="L27" s="44"/>
      <c r="M27" s="44"/>
      <c r="N27" s="283"/>
      <c r="O27" s="290"/>
      <c r="P27" s="277"/>
      <c r="Q27" s="283"/>
      <c r="R27" s="283"/>
      <c r="S27" s="290"/>
      <c r="T27" s="45">
        <f t="shared" si="1"/>
        <v>1</v>
      </c>
      <c r="U27" s="471">
        <f t="shared" si="0"/>
        <v>162.5</v>
      </c>
    </row>
    <row r="28" spans="1:21" ht="17.25" customHeight="1">
      <c r="A28" s="685" t="s">
        <v>469</v>
      </c>
      <c r="B28" s="277">
        <v>2</v>
      </c>
      <c r="C28" s="473">
        <v>280.8</v>
      </c>
      <c r="D28" s="44"/>
      <c r="E28" s="279"/>
      <c r="F28" s="277"/>
      <c r="G28" s="283"/>
      <c r="H28" s="44"/>
      <c r="I28" s="44"/>
      <c r="J28" s="44"/>
      <c r="K28" s="283"/>
      <c r="L28" s="44"/>
      <c r="M28" s="44"/>
      <c r="N28" s="283"/>
      <c r="O28" s="290"/>
      <c r="P28" s="277"/>
      <c r="Q28" s="283"/>
      <c r="R28" s="283"/>
      <c r="S28" s="290"/>
      <c r="T28" s="45">
        <f t="shared" si="1"/>
        <v>2</v>
      </c>
      <c r="U28" s="471">
        <f t="shared" si="0"/>
        <v>280.8</v>
      </c>
    </row>
    <row r="29" spans="1:21" ht="17.25" customHeight="1">
      <c r="A29" s="10" t="s">
        <v>156</v>
      </c>
      <c r="B29" s="277">
        <v>2</v>
      </c>
      <c r="C29" s="473">
        <v>383</v>
      </c>
      <c r="D29" s="44"/>
      <c r="E29" s="279"/>
      <c r="F29" s="277"/>
      <c r="G29" s="283"/>
      <c r="H29" s="44"/>
      <c r="I29" s="44"/>
      <c r="J29" s="44"/>
      <c r="K29" s="283"/>
      <c r="L29" s="44"/>
      <c r="M29" s="44"/>
      <c r="N29" s="283"/>
      <c r="O29" s="290"/>
      <c r="P29" s="277"/>
      <c r="Q29" s="283"/>
      <c r="R29" s="283"/>
      <c r="S29" s="290"/>
      <c r="T29" s="45">
        <f t="shared" si="1"/>
        <v>2</v>
      </c>
      <c r="U29" s="471">
        <f t="shared" si="0"/>
        <v>383</v>
      </c>
    </row>
    <row r="30" spans="1:21" ht="17.25" customHeight="1">
      <c r="A30" s="10" t="s">
        <v>224</v>
      </c>
      <c r="B30" s="277">
        <v>2</v>
      </c>
      <c r="C30" s="473">
        <v>326.6</v>
      </c>
      <c r="D30" s="44"/>
      <c r="E30" s="279"/>
      <c r="F30" s="277"/>
      <c r="G30" s="283"/>
      <c r="H30" s="44"/>
      <c r="I30" s="44"/>
      <c r="J30" s="44"/>
      <c r="K30" s="283"/>
      <c r="L30" s="44"/>
      <c r="M30" s="44"/>
      <c r="N30" s="283"/>
      <c r="O30" s="290"/>
      <c r="P30" s="277"/>
      <c r="Q30" s="283"/>
      <c r="R30" s="283"/>
      <c r="S30" s="290"/>
      <c r="T30" s="45">
        <f t="shared" si="1"/>
        <v>2</v>
      </c>
      <c r="U30" s="471">
        <f t="shared" si="0"/>
        <v>326.6</v>
      </c>
    </row>
    <row r="31" spans="1:21" ht="17.25" customHeight="1">
      <c r="A31" s="41" t="s">
        <v>179</v>
      </c>
      <c r="B31" s="277"/>
      <c r="C31" s="473"/>
      <c r="D31" s="44"/>
      <c r="E31" s="279">
        <v>83.2</v>
      </c>
      <c r="F31" s="277"/>
      <c r="G31" s="273"/>
      <c r="H31" s="44"/>
      <c r="I31" s="273"/>
      <c r="J31" s="273"/>
      <c r="K31" s="273"/>
      <c r="L31" s="44"/>
      <c r="M31" s="273"/>
      <c r="N31" s="273"/>
      <c r="O31" s="279"/>
      <c r="P31" s="277"/>
      <c r="Q31" s="44"/>
      <c r="R31" s="283"/>
      <c r="S31" s="290"/>
      <c r="T31" s="45">
        <f t="shared" si="1"/>
        <v>0</v>
      </c>
      <c r="U31" s="471">
        <f t="shared" si="0"/>
        <v>83.2</v>
      </c>
    </row>
    <row r="32" spans="1:21" ht="17.25" customHeight="1">
      <c r="A32" s="41" t="s">
        <v>37</v>
      </c>
      <c r="B32" s="277">
        <v>2</v>
      </c>
      <c r="C32" s="473">
        <v>295</v>
      </c>
      <c r="D32" s="44"/>
      <c r="E32" s="279"/>
      <c r="F32" s="277"/>
      <c r="G32" s="273"/>
      <c r="H32" s="44"/>
      <c r="I32" s="273"/>
      <c r="J32" s="273"/>
      <c r="K32" s="273"/>
      <c r="L32" s="44"/>
      <c r="M32" s="273"/>
      <c r="N32" s="273"/>
      <c r="O32" s="279"/>
      <c r="P32" s="277"/>
      <c r="Q32" s="44"/>
      <c r="R32" s="283"/>
      <c r="S32" s="290"/>
      <c r="T32" s="45">
        <f t="shared" si="1"/>
        <v>2</v>
      </c>
      <c r="U32" s="471">
        <f t="shared" si="0"/>
        <v>295</v>
      </c>
    </row>
    <row r="33" spans="1:21" ht="17.25" customHeight="1">
      <c r="A33" s="41" t="s">
        <v>291</v>
      </c>
      <c r="B33" s="277"/>
      <c r="C33" s="473"/>
      <c r="D33" s="44"/>
      <c r="E33" s="279"/>
      <c r="F33" s="277">
        <f>ApV!D100</f>
        <v>0</v>
      </c>
      <c r="G33" s="44">
        <f>ApV!E100</f>
        <v>0</v>
      </c>
      <c r="H33" s="44">
        <f>ApV!F100</f>
        <v>0</v>
      </c>
      <c r="I33" s="44">
        <f>ApV!G100</f>
        <v>0</v>
      </c>
      <c r="J33" s="44">
        <f>ApV!H100</f>
        <v>4</v>
      </c>
      <c r="K33" s="283">
        <f>ApV!I100</f>
        <v>487.8</v>
      </c>
      <c r="L33" s="44">
        <f>ApV!J100</f>
        <v>0</v>
      </c>
      <c r="M33" s="44">
        <f>ApV!K100</f>
        <v>0</v>
      </c>
      <c r="N33" s="44">
        <f>ApV!L100</f>
        <v>0</v>
      </c>
      <c r="O33" s="290">
        <f>ApV!M100</f>
        <v>0</v>
      </c>
      <c r="P33" s="277">
        <v>2</v>
      </c>
      <c r="Q33" s="283">
        <v>1324.1</v>
      </c>
      <c r="R33" s="283"/>
      <c r="S33" s="290"/>
      <c r="T33" s="45">
        <f t="shared" si="1"/>
        <v>0</v>
      </c>
      <c r="U33" s="471">
        <f t="shared" si="0"/>
        <v>1811.8999999999999</v>
      </c>
    </row>
    <row r="34" spans="1:21" ht="17.25" customHeight="1">
      <c r="A34" s="41" t="s">
        <v>337</v>
      </c>
      <c r="B34" s="277"/>
      <c r="C34" s="473"/>
      <c r="D34" s="44"/>
      <c r="E34" s="279">
        <v>256.4</v>
      </c>
      <c r="F34" s="277"/>
      <c r="G34" s="273"/>
      <c r="H34" s="44"/>
      <c r="I34" s="273"/>
      <c r="J34" s="273"/>
      <c r="K34" s="273"/>
      <c r="L34" s="44"/>
      <c r="M34" s="273"/>
      <c r="N34" s="273"/>
      <c r="O34" s="279"/>
      <c r="P34" s="277"/>
      <c r="Q34" s="44"/>
      <c r="R34" s="283"/>
      <c r="S34" s="290"/>
      <c r="T34" s="45">
        <f t="shared" si="1"/>
        <v>0</v>
      </c>
      <c r="U34" s="471">
        <f t="shared" si="0"/>
        <v>256.4</v>
      </c>
    </row>
    <row r="35" spans="1:21" ht="17.25" customHeight="1">
      <c r="A35" s="10" t="s">
        <v>38</v>
      </c>
      <c r="B35" s="277">
        <v>2</v>
      </c>
      <c r="C35" s="473">
        <v>293.4</v>
      </c>
      <c r="D35" s="44"/>
      <c r="E35" s="279"/>
      <c r="F35" s="277"/>
      <c r="G35" s="273"/>
      <c r="H35" s="44"/>
      <c r="I35" s="273"/>
      <c r="J35" s="273"/>
      <c r="K35" s="273"/>
      <c r="L35" s="44"/>
      <c r="M35" s="273"/>
      <c r="N35" s="273"/>
      <c r="O35" s="279"/>
      <c r="P35" s="277"/>
      <c r="Q35" s="44"/>
      <c r="R35" s="283"/>
      <c r="S35" s="290"/>
      <c r="T35" s="45">
        <f t="shared" si="1"/>
        <v>2</v>
      </c>
      <c r="U35" s="471">
        <f t="shared" si="0"/>
        <v>293.4</v>
      </c>
    </row>
    <row r="36" spans="1:21" ht="17.25" customHeight="1">
      <c r="A36" s="684" t="s">
        <v>40</v>
      </c>
      <c r="B36" s="277">
        <v>1</v>
      </c>
      <c r="C36" s="473">
        <v>148.8</v>
      </c>
      <c r="D36" s="44"/>
      <c r="E36" s="279"/>
      <c r="F36" s="277"/>
      <c r="G36" s="273"/>
      <c r="H36" s="44"/>
      <c r="I36" s="273"/>
      <c r="J36" s="273"/>
      <c r="K36" s="273"/>
      <c r="L36" s="44"/>
      <c r="M36" s="273"/>
      <c r="N36" s="273"/>
      <c r="O36" s="279"/>
      <c r="P36" s="277"/>
      <c r="Q36" s="44"/>
      <c r="R36" s="283"/>
      <c r="S36" s="290"/>
      <c r="T36" s="45">
        <f t="shared" si="1"/>
        <v>1</v>
      </c>
      <c r="U36" s="471">
        <f t="shared" si="0"/>
        <v>148.8</v>
      </c>
    </row>
    <row r="37" spans="1:21" ht="17.25" customHeight="1">
      <c r="A37" s="41" t="s">
        <v>41</v>
      </c>
      <c r="B37" s="277"/>
      <c r="C37" s="473"/>
      <c r="D37" s="44"/>
      <c r="E37" s="279"/>
      <c r="F37" s="277">
        <f>ApV!D109</f>
        <v>0</v>
      </c>
      <c r="G37" s="44">
        <f>ApV!E109</f>
        <v>0</v>
      </c>
      <c r="H37" s="44">
        <f>ApV!F109</f>
        <v>0</v>
      </c>
      <c r="I37" s="44">
        <f>ApV!G109</f>
        <v>0</v>
      </c>
      <c r="J37" s="44">
        <f>ApV!H109</f>
        <v>3</v>
      </c>
      <c r="K37" s="283">
        <f>ApV!I109</f>
        <v>447.1</v>
      </c>
      <c r="L37" s="44">
        <f>ApV!J109</f>
        <v>0</v>
      </c>
      <c r="M37" s="44">
        <f>ApV!K109</f>
        <v>0</v>
      </c>
      <c r="N37" s="44">
        <f>ApV!L109</f>
        <v>0</v>
      </c>
      <c r="O37" s="290">
        <f>ApV!M109</f>
        <v>0</v>
      </c>
      <c r="P37" s="277"/>
      <c r="Q37" s="44"/>
      <c r="R37" s="283"/>
      <c r="S37" s="290"/>
      <c r="T37" s="45">
        <f t="shared" si="1"/>
        <v>0</v>
      </c>
      <c r="U37" s="471">
        <f t="shared" si="0"/>
        <v>447.1</v>
      </c>
    </row>
    <row r="38" spans="1:21" ht="17.25" customHeight="1">
      <c r="A38" s="41" t="s">
        <v>42</v>
      </c>
      <c r="B38" s="277">
        <v>2</v>
      </c>
      <c r="C38" s="473">
        <v>232.2</v>
      </c>
      <c r="D38" s="44"/>
      <c r="E38" s="279">
        <v>138.1</v>
      </c>
      <c r="F38" s="277">
        <f>ApV!D112</f>
        <v>0</v>
      </c>
      <c r="G38" s="44">
        <f>ApV!E112</f>
        <v>0</v>
      </c>
      <c r="H38" s="44">
        <f>ApV!F112</f>
        <v>0</v>
      </c>
      <c r="I38" s="44">
        <f>ApV!G112</f>
        <v>0</v>
      </c>
      <c r="J38" s="44">
        <f>ApV!H112</f>
        <v>3</v>
      </c>
      <c r="K38" s="283">
        <f>ApV!I112</f>
        <v>1328</v>
      </c>
      <c r="L38" s="44">
        <f>ApV!J112</f>
        <v>0</v>
      </c>
      <c r="M38" s="283">
        <f>ApV!K112</f>
        <v>248.5</v>
      </c>
      <c r="N38" s="283">
        <f>ApV!L112</f>
        <v>5406.7</v>
      </c>
      <c r="O38" s="290">
        <f>ApV!M112</f>
        <v>0</v>
      </c>
      <c r="P38" s="277">
        <v>1</v>
      </c>
      <c r="Q38" s="283">
        <v>404.3</v>
      </c>
      <c r="R38" s="283"/>
      <c r="S38" s="290"/>
      <c r="T38" s="45">
        <f aca="true" t="shared" si="2" ref="T38:T44">SUM(B38,H38,D38,F38)</f>
        <v>2</v>
      </c>
      <c r="U38" s="471">
        <f>SUM(C38,E38,G38,K38,I38,M38,N38,O38,Q38,R38,S38)</f>
        <v>7757.8</v>
      </c>
    </row>
    <row r="39" spans="1:21" ht="17.25" customHeight="1">
      <c r="A39" s="41" t="s">
        <v>44</v>
      </c>
      <c r="B39" s="277">
        <v>1</v>
      </c>
      <c r="C39" s="473">
        <v>119.1</v>
      </c>
      <c r="D39" s="44"/>
      <c r="E39" s="279"/>
      <c r="F39" s="277">
        <f>ApV!D142</f>
        <v>0</v>
      </c>
      <c r="G39" s="44">
        <f>ApV!E142</f>
        <v>0</v>
      </c>
      <c r="H39" s="44">
        <f>ApV!F142</f>
        <v>0</v>
      </c>
      <c r="I39" s="283">
        <f>ApV!G142</f>
        <v>402.5</v>
      </c>
      <c r="J39" s="44">
        <f>ApV!H142</f>
        <v>0</v>
      </c>
      <c r="K39" s="44">
        <f>ApV!I142</f>
        <v>0</v>
      </c>
      <c r="L39" s="44">
        <f>ApV!J142</f>
        <v>0</v>
      </c>
      <c r="M39" s="44">
        <f>ApV!K142</f>
        <v>0</v>
      </c>
      <c r="N39" s="283">
        <f>ApV!L142</f>
        <v>449.4</v>
      </c>
      <c r="O39" s="290"/>
      <c r="P39" s="277"/>
      <c r="Q39" s="44"/>
      <c r="R39" s="283"/>
      <c r="S39" s="290"/>
      <c r="T39" s="45">
        <f t="shared" si="2"/>
        <v>1</v>
      </c>
      <c r="U39" s="471">
        <f aca="true" t="shared" si="3" ref="U39:U44">SUM(C39,E39,G39,K39,I39,M39,N39,O39,Q39,R39,S39)</f>
        <v>971</v>
      </c>
    </row>
    <row r="40" spans="1:21" ht="17.25" customHeight="1">
      <c r="A40" s="41" t="s">
        <v>161</v>
      </c>
      <c r="B40" s="277">
        <v>2</v>
      </c>
      <c r="C40" s="473">
        <v>491.4</v>
      </c>
      <c r="D40" s="44"/>
      <c r="E40" s="279"/>
      <c r="F40" s="277"/>
      <c r="G40" s="44"/>
      <c r="H40" s="44"/>
      <c r="I40" s="44"/>
      <c r="J40" s="44"/>
      <c r="K40" s="44"/>
      <c r="L40" s="44"/>
      <c r="M40" s="283"/>
      <c r="N40" s="44"/>
      <c r="O40" s="290"/>
      <c r="P40" s="277"/>
      <c r="Q40" s="44"/>
      <c r="R40" s="283"/>
      <c r="S40" s="290"/>
      <c r="T40" s="45">
        <f t="shared" si="2"/>
        <v>2</v>
      </c>
      <c r="U40" s="471">
        <f t="shared" si="3"/>
        <v>491.4</v>
      </c>
    </row>
    <row r="41" spans="1:21" ht="17.25" customHeight="1">
      <c r="A41" s="10" t="s">
        <v>366</v>
      </c>
      <c r="B41" s="277">
        <v>2</v>
      </c>
      <c r="C41" s="473">
        <v>279.8</v>
      </c>
      <c r="D41" s="44"/>
      <c r="E41" s="279"/>
      <c r="F41" s="277"/>
      <c r="G41" s="44"/>
      <c r="H41" s="44"/>
      <c r="I41" s="44"/>
      <c r="J41" s="44"/>
      <c r="K41" s="44"/>
      <c r="L41" s="44"/>
      <c r="M41" s="283"/>
      <c r="N41" s="44"/>
      <c r="O41" s="290"/>
      <c r="P41" s="277"/>
      <c r="Q41" s="44"/>
      <c r="R41" s="283"/>
      <c r="S41" s="290"/>
      <c r="T41" s="45">
        <f t="shared" si="2"/>
        <v>2</v>
      </c>
      <c r="U41" s="471">
        <f t="shared" si="3"/>
        <v>279.8</v>
      </c>
    </row>
    <row r="42" spans="1:21" ht="17.25" customHeight="1">
      <c r="A42" s="10" t="s">
        <v>45</v>
      </c>
      <c r="B42" s="277">
        <v>2</v>
      </c>
      <c r="C42" s="473">
        <v>226.2</v>
      </c>
      <c r="D42" s="44"/>
      <c r="E42" s="279"/>
      <c r="F42" s="277"/>
      <c r="G42" s="44"/>
      <c r="H42" s="44"/>
      <c r="I42" s="44"/>
      <c r="J42" s="44"/>
      <c r="K42" s="44"/>
      <c r="L42" s="44"/>
      <c r="M42" s="283"/>
      <c r="N42" s="44"/>
      <c r="O42" s="290"/>
      <c r="P42" s="277"/>
      <c r="Q42" s="44"/>
      <c r="R42" s="283"/>
      <c r="S42" s="290"/>
      <c r="T42" s="45">
        <f t="shared" si="2"/>
        <v>2</v>
      </c>
      <c r="U42" s="471">
        <f t="shared" si="3"/>
        <v>226.2</v>
      </c>
    </row>
    <row r="43" spans="1:21" ht="17.25" customHeight="1">
      <c r="A43" s="41" t="s">
        <v>46</v>
      </c>
      <c r="B43" s="277"/>
      <c r="C43" s="473"/>
      <c r="D43" s="44"/>
      <c r="E43" s="279">
        <v>392.3</v>
      </c>
      <c r="F43" s="277"/>
      <c r="G43" s="44"/>
      <c r="H43" s="44"/>
      <c r="I43" s="44"/>
      <c r="J43" s="44"/>
      <c r="K43" s="44"/>
      <c r="L43" s="44"/>
      <c r="M43" s="283"/>
      <c r="N43" s="283"/>
      <c r="O43" s="290"/>
      <c r="P43" s="277"/>
      <c r="Q43" s="283"/>
      <c r="R43" s="283"/>
      <c r="S43" s="290"/>
      <c r="T43" s="45">
        <f t="shared" si="2"/>
        <v>0</v>
      </c>
      <c r="U43" s="471">
        <f>SUM(C43,E43,G43,K43,I43,M43,N43,O43,Q43,R43,S43)</f>
        <v>392.3</v>
      </c>
    </row>
    <row r="44" spans="1:21" s="231" customFormat="1" ht="17.25" customHeight="1">
      <c r="A44" s="43" t="s">
        <v>47</v>
      </c>
      <c r="B44" s="278">
        <v>2</v>
      </c>
      <c r="C44" s="474">
        <v>236.4</v>
      </c>
      <c r="D44" s="191"/>
      <c r="E44" s="280">
        <v>179.7</v>
      </c>
      <c r="F44" s="278"/>
      <c r="G44" s="867"/>
      <c r="H44" s="191"/>
      <c r="I44" s="867"/>
      <c r="J44" s="867"/>
      <c r="K44" s="867"/>
      <c r="L44" s="191"/>
      <c r="M44" s="284"/>
      <c r="N44" s="284"/>
      <c r="O44" s="291"/>
      <c r="P44" s="278"/>
      <c r="Q44" s="191"/>
      <c r="R44" s="284"/>
      <c r="S44" s="291"/>
      <c r="T44" s="45">
        <f t="shared" si="2"/>
        <v>2</v>
      </c>
      <c r="U44" s="471">
        <f t="shared" si="3"/>
        <v>416.1</v>
      </c>
    </row>
    <row r="45" spans="1:21" ht="18.75" customHeight="1">
      <c r="A45" s="336" t="s">
        <v>675</v>
      </c>
      <c r="B45" s="349"/>
      <c r="C45" s="351"/>
      <c r="D45" s="351"/>
      <c r="E45" s="351"/>
      <c r="F45" s="351"/>
      <c r="G45" s="351"/>
      <c r="H45" s="351"/>
      <c r="I45" s="350"/>
      <c r="J45" s="350"/>
      <c r="K45" s="350"/>
      <c r="L45" s="351"/>
      <c r="M45" s="350"/>
      <c r="N45" s="350"/>
      <c r="O45" s="352"/>
      <c r="P45" s="349"/>
      <c r="Q45" s="351"/>
      <c r="R45" s="353"/>
      <c r="S45" s="354"/>
      <c r="T45" s="348"/>
      <c r="U45" s="319"/>
    </row>
    <row r="46" spans="1:21" s="231" customFormat="1" ht="17.25" customHeight="1">
      <c r="A46" s="41" t="s">
        <v>138</v>
      </c>
      <c r="B46" s="277"/>
      <c r="C46" s="473"/>
      <c r="D46" s="44"/>
      <c r="E46" s="279"/>
      <c r="F46" s="277">
        <f>ApV!D7</f>
        <v>2</v>
      </c>
      <c r="G46" s="283">
        <f>ApV!E7</f>
        <v>394.4</v>
      </c>
      <c r="H46" s="44">
        <f>ApV!F7</f>
        <v>0</v>
      </c>
      <c r="I46" s="44">
        <f>ApV!G7</f>
        <v>0</v>
      </c>
      <c r="J46" s="44">
        <f>ApV!H7</f>
        <v>2</v>
      </c>
      <c r="K46" s="283">
        <f>ApV!I7</f>
        <v>461.7</v>
      </c>
      <c r="L46" s="44">
        <f>ApV!J7</f>
        <v>0</v>
      </c>
      <c r="M46" s="44">
        <f>ApV!K7</f>
        <v>0</v>
      </c>
      <c r="N46" s="44">
        <f>ApV!L7</f>
        <v>0</v>
      </c>
      <c r="O46" s="290">
        <f>ApV!M7</f>
        <v>0</v>
      </c>
      <c r="P46" s="277"/>
      <c r="Q46" s="44"/>
      <c r="R46" s="283"/>
      <c r="S46" s="290"/>
      <c r="T46" s="45">
        <f>SUM(B46,H46,D46,F46)</f>
        <v>2</v>
      </c>
      <c r="U46" s="471">
        <f>SUM(C46,E46,G46,K46,I46,M46,N46,O46,Q46,R46,S46)</f>
        <v>856.0999999999999</v>
      </c>
    </row>
    <row r="47" spans="1:21" s="231" customFormat="1" ht="17.25" customHeight="1">
      <c r="A47" s="41" t="s">
        <v>52</v>
      </c>
      <c r="B47" s="278"/>
      <c r="C47" s="474"/>
      <c r="D47" s="191"/>
      <c r="E47" s="280"/>
      <c r="F47" s="278">
        <f>ApV!D134</f>
        <v>0</v>
      </c>
      <c r="G47" s="191">
        <f>ApV!E134</f>
        <v>0</v>
      </c>
      <c r="H47" s="191">
        <f>ApV!F134</f>
        <v>0</v>
      </c>
      <c r="I47" s="191">
        <f>ApV!G134</f>
        <v>0</v>
      </c>
      <c r="J47" s="191">
        <f>ApV!H134</f>
        <v>4</v>
      </c>
      <c r="K47" s="284">
        <f>ApV!I134</f>
        <v>296.9</v>
      </c>
      <c r="L47" s="191">
        <f>ApV!J134</f>
        <v>0</v>
      </c>
      <c r="M47" s="191">
        <f>ApV!K134</f>
        <v>0</v>
      </c>
      <c r="N47" s="191">
        <f>ApV!L134</f>
        <v>0</v>
      </c>
      <c r="O47" s="291">
        <f>ApV!M134</f>
        <v>0</v>
      </c>
      <c r="P47" s="278"/>
      <c r="Q47" s="191"/>
      <c r="R47" s="284"/>
      <c r="S47" s="291"/>
      <c r="T47" s="45">
        <f>SUM(B47,H47,D47,F47)</f>
        <v>0</v>
      </c>
      <c r="U47" s="471">
        <f>SUM(C47,E47,G47,K47,I47,M47,N47,O47,Q47,R47,S47)</f>
        <v>296.9</v>
      </c>
    </row>
    <row r="48" spans="1:21" s="181" customFormat="1" ht="17.25" customHeight="1" thickBot="1">
      <c r="A48" s="859" t="s">
        <v>439</v>
      </c>
      <c r="B48" s="860"/>
      <c r="C48" s="861"/>
      <c r="D48" s="862"/>
      <c r="E48" s="863"/>
      <c r="F48" s="860">
        <f>ApV!D186</f>
        <v>699</v>
      </c>
      <c r="G48" s="1135">
        <f>ApV!E186</f>
        <v>1339.5000000000002</v>
      </c>
      <c r="H48" s="860">
        <f>ApV!F186</f>
        <v>0</v>
      </c>
      <c r="I48" s="1135">
        <f>ApV!G186</f>
        <v>0</v>
      </c>
      <c r="J48" s="860">
        <f>ApV!H186</f>
        <v>20</v>
      </c>
      <c r="K48" s="1135">
        <f>ApV!I186</f>
        <v>4913.400000000001</v>
      </c>
      <c r="L48" s="860">
        <f>ApV!J186</f>
        <v>0</v>
      </c>
      <c r="M48" s="1135">
        <f>ApV!K186</f>
        <v>0</v>
      </c>
      <c r="N48" s="1135">
        <f>ApV!L186</f>
        <v>299.6</v>
      </c>
      <c r="O48" s="1135">
        <f>ApV!M186</f>
        <v>39696.3</v>
      </c>
      <c r="P48" s="862"/>
      <c r="Q48" s="862"/>
      <c r="R48" s="864"/>
      <c r="S48" s="865"/>
      <c r="T48" s="1314">
        <f>SUM(B48,H48,D48,F48)</f>
        <v>699</v>
      </c>
      <c r="U48" s="1315">
        <f>SUM(C48,E48,G48,I48,K48,M48,N48,O48,Q48,,R48,S48)</f>
        <v>46248.8</v>
      </c>
    </row>
    <row r="49" spans="1:21" s="1316" customFormat="1" ht="17.25" customHeight="1" thickBot="1">
      <c r="A49" s="467" t="s">
        <v>53</v>
      </c>
      <c r="B49" s="629">
        <f aca="true" t="shared" si="4" ref="B49:O49">SUM(B6:B48)</f>
        <v>25</v>
      </c>
      <c r="C49" s="656">
        <f t="shared" si="4"/>
        <v>3815.3</v>
      </c>
      <c r="D49" s="657">
        <f t="shared" si="4"/>
        <v>99</v>
      </c>
      <c r="E49" s="658">
        <f t="shared" si="4"/>
        <v>62134.2</v>
      </c>
      <c r="F49" s="629">
        <f t="shared" si="4"/>
        <v>1978</v>
      </c>
      <c r="G49" s="656">
        <f t="shared" si="4"/>
        <v>38356.5</v>
      </c>
      <c r="H49" s="657">
        <f t="shared" si="4"/>
        <v>36</v>
      </c>
      <c r="I49" s="658">
        <f t="shared" si="4"/>
        <v>16210.599999999999</v>
      </c>
      <c r="J49" s="657">
        <f t="shared" si="4"/>
        <v>447</v>
      </c>
      <c r="K49" s="658">
        <f t="shared" si="4"/>
        <v>44195.200000000004</v>
      </c>
      <c r="L49" s="629">
        <f t="shared" si="4"/>
        <v>12</v>
      </c>
      <c r="M49" s="656">
        <f t="shared" si="4"/>
        <v>5033.700000000001</v>
      </c>
      <c r="N49" s="656">
        <f t="shared" si="4"/>
        <v>79320.3</v>
      </c>
      <c r="O49" s="658">
        <f t="shared" si="4"/>
        <v>54618.0579</v>
      </c>
      <c r="P49" s="629">
        <f>SUM(P6:P47)</f>
        <v>10</v>
      </c>
      <c r="Q49" s="656">
        <f>SUM(Q6:Q47)</f>
        <v>5894.099999999999</v>
      </c>
      <c r="R49" s="656">
        <f>SUM(R6:R48)</f>
        <v>0</v>
      </c>
      <c r="S49" s="630">
        <f>SUM(S6:S47)</f>
        <v>0</v>
      </c>
      <c r="T49" s="294">
        <f>SUM(T6:T48)</f>
        <v>2138</v>
      </c>
      <c r="U49" s="472">
        <f>SUM(U6:U48)</f>
        <v>309577.9578999999</v>
      </c>
    </row>
    <row r="50" spans="1:21" s="46" customFormat="1" ht="17.25" customHeight="1">
      <c r="A50" s="9" t="s">
        <v>122</v>
      </c>
      <c r="B50" s="42"/>
      <c r="C50" s="274"/>
      <c r="D50" s="42"/>
      <c r="E50" s="274"/>
      <c r="F50" s="274"/>
      <c r="G50" s="274"/>
      <c r="H50" s="42"/>
      <c r="I50" s="274"/>
      <c r="J50" s="274"/>
      <c r="K50" s="274"/>
      <c r="L50" s="42"/>
      <c r="M50" s="274"/>
      <c r="N50" s="274"/>
      <c r="O50" s="274"/>
      <c r="P50" s="42"/>
      <c r="Q50" s="42"/>
      <c r="R50" s="285"/>
      <c r="S50" s="42"/>
      <c r="T50" s="42"/>
      <c r="U50" s="274"/>
    </row>
    <row r="51" spans="1:21" s="49" customFormat="1" ht="17.25" customHeight="1">
      <c r="A51" s="47" t="s">
        <v>139</v>
      </c>
      <c r="B51" s="50"/>
      <c r="C51" s="275"/>
      <c r="D51" s="50"/>
      <c r="E51" s="275"/>
      <c r="F51" s="275"/>
      <c r="G51" s="275"/>
      <c r="H51" s="50"/>
      <c r="I51" s="275"/>
      <c r="J51" s="275"/>
      <c r="K51" s="275"/>
      <c r="L51" s="50"/>
      <c r="M51" s="275"/>
      <c r="N51" s="275"/>
      <c r="O51" s="275"/>
      <c r="P51" s="50"/>
      <c r="Q51" s="50"/>
      <c r="R51" s="286"/>
      <c r="S51" s="50"/>
      <c r="T51" s="50"/>
      <c r="U51" s="275"/>
    </row>
    <row r="52" spans="1:21" s="46" customFormat="1" ht="15.75" customHeight="1">
      <c r="A52" s="47"/>
      <c r="B52" s="48"/>
      <c r="C52" s="276"/>
      <c r="D52" s="48"/>
      <c r="E52" s="276"/>
      <c r="F52" s="276"/>
      <c r="G52" s="276"/>
      <c r="H52" s="48"/>
      <c r="I52" s="276"/>
      <c r="J52" s="276"/>
      <c r="K52" s="276"/>
      <c r="L52" s="48"/>
      <c r="M52" s="276"/>
      <c r="N52" s="276"/>
      <c r="O52" s="276"/>
      <c r="P52" s="48"/>
      <c r="Q52" s="48"/>
      <c r="R52" s="287"/>
      <c r="S52" s="108"/>
      <c r="T52" s="51"/>
      <c r="U52" s="282"/>
    </row>
    <row r="53" spans="3:21" s="108" customFormat="1" ht="15.75" customHeight="1">
      <c r="C53" s="236"/>
      <c r="E53" s="236"/>
      <c r="F53" s="236"/>
      <c r="G53" s="236"/>
      <c r="I53" s="236"/>
      <c r="J53" s="236"/>
      <c r="K53" s="236"/>
      <c r="M53" s="236"/>
      <c r="N53" s="236"/>
      <c r="O53" s="236"/>
      <c r="R53" s="288"/>
      <c r="T53" s="51"/>
      <c r="U53" s="282"/>
    </row>
    <row r="54" spans="3:21" s="108" customFormat="1" ht="15.75" customHeight="1">
      <c r="C54" s="236"/>
      <c r="E54" s="236"/>
      <c r="F54" s="236"/>
      <c r="G54" s="236"/>
      <c r="I54" s="236"/>
      <c r="J54" s="236"/>
      <c r="K54" s="236"/>
      <c r="M54" s="236"/>
      <c r="N54" s="236"/>
      <c r="O54" s="236"/>
      <c r="R54" s="288"/>
      <c r="T54" s="51"/>
      <c r="U54" s="282"/>
    </row>
    <row r="55" spans="3:21" s="108" customFormat="1" ht="18" customHeight="1">
      <c r="C55" s="236"/>
      <c r="E55" s="236"/>
      <c r="F55" s="236"/>
      <c r="G55" s="236"/>
      <c r="I55" s="236"/>
      <c r="J55" s="236"/>
      <c r="K55" s="236"/>
      <c r="M55" s="236"/>
      <c r="N55" s="236"/>
      <c r="O55" s="236"/>
      <c r="R55" s="288"/>
      <c r="U55" s="236"/>
    </row>
    <row r="56" spans="3:21" s="108" customFormat="1" ht="18" customHeight="1">
      <c r="C56" s="236"/>
      <c r="E56" s="236"/>
      <c r="F56" s="236"/>
      <c r="G56" s="236"/>
      <c r="I56" s="236"/>
      <c r="J56" s="236"/>
      <c r="K56" s="236"/>
      <c r="M56" s="236"/>
      <c r="N56" s="236"/>
      <c r="O56" s="236"/>
      <c r="R56" s="288"/>
      <c r="U56" s="236"/>
    </row>
    <row r="57" spans="3:21" s="108" customFormat="1" ht="18" customHeight="1">
      <c r="C57" s="236"/>
      <c r="E57" s="236"/>
      <c r="F57" s="236"/>
      <c r="G57" s="236"/>
      <c r="I57" s="236"/>
      <c r="J57" s="236"/>
      <c r="K57" s="236"/>
      <c r="M57" s="236"/>
      <c r="N57" s="236"/>
      <c r="O57" s="236"/>
      <c r="R57" s="288"/>
      <c r="U57" s="236"/>
    </row>
    <row r="58" spans="3:21" s="108" customFormat="1" ht="16.5" customHeight="1">
      <c r="C58" s="236"/>
      <c r="E58" s="236"/>
      <c r="F58" s="236"/>
      <c r="G58" s="236"/>
      <c r="I58" s="236"/>
      <c r="J58" s="236"/>
      <c r="K58" s="236"/>
      <c r="M58" s="236"/>
      <c r="N58" s="236"/>
      <c r="O58" s="236"/>
      <c r="R58" s="288"/>
      <c r="U58" s="236"/>
    </row>
    <row r="59" spans="3:21" s="108" customFormat="1" ht="16.5" customHeight="1">
      <c r="C59" s="236"/>
      <c r="E59" s="236"/>
      <c r="F59" s="236"/>
      <c r="G59" s="236"/>
      <c r="I59" s="236"/>
      <c r="J59" s="236"/>
      <c r="K59" s="236"/>
      <c r="M59" s="236"/>
      <c r="N59" s="236"/>
      <c r="O59" s="236"/>
      <c r="R59" s="288"/>
      <c r="U59" s="236"/>
    </row>
    <row r="60" spans="3:21" s="108" customFormat="1" ht="16.5" customHeight="1">
      <c r="C60" s="236"/>
      <c r="E60" s="236"/>
      <c r="F60" s="236"/>
      <c r="G60" s="236"/>
      <c r="I60" s="236"/>
      <c r="J60" s="236"/>
      <c r="K60" s="236"/>
      <c r="M60" s="236"/>
      <c r="N60" s="236"/>
      <c r="O60" s="236"/>
      <c r="R60" s="288"/>
      <c r="U60" s="236"/>
    </row>
    <row r="61" spans="3:21" s="108" customFormat="1" ht="16.5" customHeight="1">
      <c r="C61" s="236"/>
      <c r="E61" s="236"/>
      <c r="F61" s="236"/>
      <c r="G61" s="236"/>
      <c r="I61" s="236"/>
      <c r="J61" s="236"/>
      <c r="K61" s="236"/>
      <c r="M61" s="236"/>
      <c r="N61" s="236"/>
      <c r="O61" s="236"/>
      <c r="R61" s="288"/>
      <c r="U61" s="236"/>
    </row>
    <row r="62" spans="3:21" s="108" customFormat="1" ht="16.5" customHeight="1">
      <c r="C62" s="236"/>
      <c r="E62" s="236"/>
      <c r="F62" s="236"/>
      <c r="G62" s="236"/>
      <c r="I62" s="236"/>
      <c r="J62" s="236"/>
      <c r="K62" s="236"/>
      <c r="M62" s="236"/>
      <c r="N62" s="236"/>
      <c r="O62" s="236"/>
      <c r="R62" s="288"/>
      <c r="U62" s="236"/>
    </row>
    <row r="63" spans="3:21" s="108" customFormat="1" ht="16.5" customHeight="1">
      <c r="C63" s="236"/>
      <c r="E63" s="236"/>
      <c r="F63" s="236"/>
      <c r="G63" s="236"/>
      <c r="I63" s="236"/>
      <c r="J63" s="236"/>
      <c r="K63" s="236"/>
      <c r="M63" s="236"/>
      <c r="N63" s="236"/>
      <c r="O63" s="236"/>
      <c r="R63" s="288"/>
      <c r="U63" s="236"/>
    </row>
    <row r="64" spans="3:21" s="108" customFormat="1" ht="16.5" customHeight="1">
      <c r="C64" s="236"/>
      <c r="E64" s="236"/>
      <c r="F64" s="236"/>
      <c r="G64" s="236"/>
      <c r="I64" s="236"/>
      <c r="J64" s="236"/>
      <c r="K64" s="236"/>
      <c r="M64" s="236"/>
      <c r="N64" s="236"/>
      <c r="O64" s="236"/>
      <c r="R64" s="288"/>
      <c r="U64" s="236"/>
    </row>
    <row r="65" spans="3:21" s="108" customFormat="1" ht="16.5" customHeight="1">
      <c r="C65" s="236"/>
      <c r="E65" s="236"/>
      <c r="F65" s="236"/>
      <c r="G65" s="236"/>
      <c r="I65" s="236"/>
      <c r="J65" s="236"/>
      <c r="K65" s="236"/>
      <c r="M65" s="236"/>
      <c r="N65" s="236"/>
      <c r="O65" s="236"/>
      <c r="R65" s="288"/>
      <c r="U65" s="236"/>
    </row>
    <row r="66" spans="3:21" s="108" customFormat="1" ht="17.25" customHeight="1">
      <c r="C66" s="236"/>
      <c r="E66" s="236"/>
      <c r="F66" s="236"/>
      <c r="G66" s="236"/>
      <c r="I66" s="236"/>
      <c r="J66" s="236"/>
      <c r="K66" s="236"/>
      <c r="M66" s="236"/>
      <c r="N66" s="236"/>
      <c r="O66" s="236"/>
      <c r="R66" s="288"/>
      <c r="U66" s="236"/>
    </row>
    <row r="67" spans="3:21" s="108" customFormat="1" ht="17.25" customHeight="1">
      <c r="C67" s="236"/>
      <c r="E67" s="236"/>
      <c r="F67" s="236"/>
      <c r="G67" s="236"/>
      <c r="I67" s="236"/>
      <c r="J67" s="236"/>
      <c r="K67" s="236"/>
      <c r="M67" s="236"/>
      <c r="N67" s="236"/>
      <c r="O67" s="236"/>
      <c r="R67" s="288"/>
      <c r="U67" s="236"/>
    </row>
    <row r="68" spans="3:21" s="108" customFormat="1" ht="17.25" customHeight="1">
      <c r="C68" s="236"/>
      <c r="E68" s="236"/>
      <c r="F68" s="236"/>
      <c r="G68" s="236"/>
      <c r="I68" s="236"/>
      <c r="J68" s="236"/>
      <c r="K68" s="236"/>
      <c r="M68" s="236"/>
      <c r="N68" s="236"/>
      <c r="O68" s="236"/>
      <c r="R68" s="288"/>
      <c r="U68" s="236"/>
    </row>
    <row r="69" spans="3:21" s="108" customFormat="1" ht="17.25" customHeight="1">
      <c r="C69" s="236"/>
      <c r="E69" s="236"/>
      <c r="F69" s="236"/>
      <c r="G69" s="236"/>
      <c r="I69" s="236"/>
      <c r="J69" s="236"/>
      <c r="K69" s="236"/>
      <c r="M69" s="236"/>
      <c r="N69" s="236"/>
      <c r="O69" s="236"/>
      <c r="R69" s="288"/>
      <c r="U69" s="236"/>
    </row>
    <row r="70" spans="3:21" s="108" customFormat="1" ht="16.5" customHeight="1">
      <c r="C70" s="236"/>
      <c r="E70" s="236"/>
      <c r="F70" s="236"/>
      <c r="G70" s="236"/>
      <c r="I70" s="236"/>
      <c r="J70" s="236"/>
      <c r="K70" s="236"/>
      <c r="M70" s="236"/>
      <c r="N70" s="236"/>
      <c r="O70" s="236"/>
      <c r="R70" s="288"/>
      <c r="U70" s="236"/>
    </row>
    <row r="71" spans="3:21" s="108" customFormat="1" ht="16.5" customHeight="1">
      <c r="C71" s="236"/>
      <c r="E71" s="236"/>
      <c r="F71" s="236"/>
      <c r="G71" s="236"/>
      <c r="I71" s="236"/>
      <c r="J71" s="236"/>
      <c r="K71" s="236"/>
      <c r="M71" s="236"/>
      <c r="N71" s="236"/>
      <c r="O71" s="236"/>
      <c r="R71" s="288"/>
      <c r="U71" s="236"/>
    </row>
    <row r="72" spans="3:21" s="108" customFormat="1" ht="16.5" customHeight="1">
      <c r="C72" s="236"/>
      <c r="E72" s="236"/>
      <c r="F72" s="236"/>
      <c r="G72" s="236"/>
      <c r="I72" s="236"/>
      <c r="J72" s="236"/>
      <c r="K72" s="236"/>
      <c r="M72" s="236"/>
      <c r="N72" s="236"/>
      <c r="O72" s="236"/>
      <c r="R72" s="288"/>
      <c r="U72" s="236"/>
    </row>
    <row r="73" spans="3:21" s="108" customFormat="1" ht="16.5" customHeight="1">
      <c r="C73" s="236"/>
      <c r="E73" s="236"/>
      <c r="F73" s="236"/>
      <c r="G73" s="236"/>
      <c r="I73" s="236"/>
      <c r="J73" s="236"/>
      <c r="K73" s="236"/>
      <c r="M73" s="236"/>
      <c r="N73" s="236"/>
      <c r="O73" s="236"/>
      <c r="R73" s="288"/>
      <c r="U73" s="236"/>
    </row>
    <row r="74" spans="3:21" s="108" customFormat="1" ht="16.5" customHeight="1">
      <c r="C74" s="236"/>
      <c r="E74" s="236"/>
      <c r="F74" s="236"/>
      <c r="G74" s="236"/>
      <c r="I74" s="236"/>
      <c r="J74" s="236"/>
      <c r="K74" s="236"/>
      <c r="M74" s="236"/>
      <c r="N74" s="236"/>
      <c r="O74" s="236"/>
      <c r="R74" s="288"/>
      <c r="U74" s="236"/>
    </row>
    <row r="75" spans="3:21" s="108" customFormat="1" ht="16.5" customHeight="1">
      <c r="C75" s="236"/>
      <c r="E75" s="236"/>
      <c r="F75" s="236"/>
      <c r="G75" s="236"/>
      <c r="I75" s="236"/>
      <c r="J75" s="236"/>
      <c r="K75" s="236"/>
      <c r="M75" s="236"/>
      <c r="N75" s="236"/>
      <c r="O75" s="236"/>
      <c r="R75" s="288"/>
      <c r="U75" s="236"/>
    </row>
    <row r="76" spans="3:21" s="108" customFormat="1" ht="18" customHeight="1">
      <c r="C76" s="236"/>
      <c r="E76" s="236"/>
      <c r="F76" s="236"/>
      <c r="G76" s="236"/>
      <c r="I76" s="236"/>
      <c r="J76" s="236"/>
      <c r="K76" s="236"/>
      <c r="M76" s="236"/>
      <c r="N76" s="236"/>
      <c r="O76" s="236"/>
      <c r="R76" s="288"/>
      <c r="U76" s="236"/>
    </row>
    <row r="77" spans="3:21" s="108" customFormat="1" ht="18" customHeight="1">
      <c r="C77" s="236"/>
      <c r="E77" s="236"/>
      <c r="F77" s="236"/>
      <c r="G77" s="236"/>
      <c r="I77" s="236"/>
      <c r="J77" s="236"/>
      <c r="K77" s="236"/>
      <c r="M77" s="236"/>
      <c r="N77" s="236"/>
      <c r="O77" s="236"/>
      <c r="R77" s="288"/>
      <c r="U77" s="236"/>
    </row>
    <row r="78" spans="3:21" s="108" customFormat="1" ht="18" customHeight="1">
      <c r="C78" s="236"/>
      <c r="E78" s="236"/>
      <c r="F78" s="236"/>
      <c r="G78" s="236"/>
      <c r="I78" s="236"/>
      <c r="J78" s="236"/>
      <c r="K78" s="236"/>
      <c r="M78" s="236"/>
      <c r="N78" s="236"/>
      <c r="O78" s="236"/>
      <c r="R78" s="288"/>
      <c r="U78" s="236"/>
    </row>
    <row r="79" spans="3:21" s="108" customFormat="1" ht="18" customHeight="1">
      <c r="C79" s="236"/>
      <c r="E79" s="236"/>
      <c r="F79" s="236"/>
      <c r="G79" s="236"/>
      <c r="I79" s="236"/>
      <c r="J79" s="236"/>
      <c r="K79" s="236"/>
      <c r="M79" s="236"/>
      <c r="N79" s="236"/>
      <c r="O79" s="236"/>
      <c r="R79" s="288"/>
      <c r="U79" s="236"/>
    </row>
    <row r="80" spans="3:21" s="108" customFormat="1" ht="18" customHeight="1">
      <c r="C80" s="236"/>
      <c r="E80" s="236"/>
      <c r="F80" s="236"/>
      <c r="G80" s="236"/>
      <c r="I80" s="236"/>
      <c r="J80" s="236"/>
      <c r="K80" s="236"/>
      <c r="M80" s="236"/>
      <c r="N80" s="236"/>
      <c r="O80" s="236"/>
      <c r="R80" s="288"/>
      <c r="U80" s="236"/>
    </row>
    <row r="81" spans="3:21" s="108" customFormat="1" ht="18" customHeight="1">
      <c r="C81" s="236"/>
      <c r="E81" s="236"/>
      <c r="F81" s="236"/>
      <c r="G81" s="236"/>
      <c r="I81" s="236"/>
      <c r="J81" s="236"/>
      <c r="K81" s="236"/>
      <c r="M81" s="236"/>
      <c r="N81" s="236"/>
      <c r="O81" s="236"/>
      <c r="R81" s="288"/>
      <c r="U81" s="236"/>
    </row>
    <row r="82" spans="3:21" s="108" customFormat="1" ht="18.75" customHeight="1">
      <c r="C82" s="236"/>
      <c r="E82" s="236"/>
      <c r="F82" s="236"/>
      <c r="G82" s="236"/>
      <c r="I82" s="236"/>
      <c r="J82" s="236"/>
      <c r="K82" s="236"/>
      <c r="M82" s="236"/>
      <c r="N82" s="236"/>
      <c r="O82" s="236"/>
      <c r="R82" s="288"/>
      <c r="U82" s="236"/>
    </row>
    <row r="83" spans="3:21" s="108" customFormat="1" ht="12.75">
      <c r="C83" s="236"/>
      <c r="E83" s="236"/>
      <c r="F83" s="236"/>
      <c r="G83" s="236"/>
      <c r="I83" s="236"/>
      <c r="J83" s="236"/>
      <c r="K83" s="236"/>
      <c r="M83" s="236"/>
      <c r="N83" s="236"/>
      <c r="O83" s="236"/>
      <c r="R83" s="288"/>
      <c r="U83" s="236"/>
    </row>
    <row r="84" spans="3:21" s="108" customFormat="1" ht="12.75">
      <c r="C84" s="236"/>
      <c r="E84" s="236"/>
      <c r="F84" s="236"/>
      <c r="G84" s="236"/>
      <c r="I84" s="236"/>
      <c r="J84" s="236"/>
      <c r="K84" s="236"/>
      <c r="M84" s="236"/>
      <c r="N84" s="236"/>
      <c r="O84" s="236"/>
      <c r="R84" s="288"/>
      <c r="U84" s="236"/>
    </row>
    <row r="85" spans="3:21" s="108" customFormat="1" ht="12.75">
      <c r="C85" s="236"/>
      <c r="E85" s="236"/>
      <c r="F85" s="236"/>
      <c r="G85" s="236"/>
      <c r="I85" s="236"/>
      <c r="J85" s="236"/>
      <c r="K85" s="236"/>
      <c r="M85" s="236"/>
      <c r="N85" s="236"/>
      <c r="O85" s="236"/>
      <c r="R85" s="288"/>
      <c r="U85" s="236"/>
    </row>
  </sheetData>
  <sheetProtection/>
  <mergeCells count="13">
    <mergeCell ref="A2:A4"/>
    <mergeCell ref="B3:C3"/>
    <mergeCell ref="B2:E2"/>
    <mergeCell ref="H3:I3"/>
    <mergeCell ref="R2:R3"/>
    <mergeCell ref="J3:K3"/>
    <mergeCell ref="T2:U3"/>
    <mergeCell ref="D3:E3"/>
    <mergeCell ref="F3:G3"/>
    <mergeCell ref="F2:O2"/>
    <mergeCell ref="L3:M3"/>
    <mergeCell ref="S2:S3"/>
    <mergeCell ref="P2:Q3"/>
  </mergeCells>
  <printOptions horizontalCentered="1"/>
  <pageMargins left="0" right="0" top="0.29" bottom="0.051574803" header="0.35" footer="0.2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99CC"/>
  </sheetPr>
  <dimension ref="A1:AK55"/>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2" sqref="B2:C2"/>
    </sheetView>
  </sheetViews>
  <sheetFormatPr defaultColWidth="9.140625" defaultRowHeight="12.75"/>
  <cols>
    <col min="1" max="1" width="18.8515625" style="91" customWidth="1"/>
    <col min="2" max="2" width="5.8515625" style="110" customWidth="1"/>
    <col min="3" max="3" width="9.28125" style="232" customWidth="1"/>
    <col min="4" max="4" width="4.421875" style="111" customWidth="1"/>
    <col min="5" max="5" width="9.8515625" style="232" customWidth="1"/>
    <col min="6" max="6" width="4.421875" style="110" customWidth="1"/>
    <col min="7" max="7" width="8.140625" style="232" customWidth="1"/>
    <col min="8" max="8" width="5.28125" style="111" customWidth="1"/>
    <col min="9" max="9" width="11.140625" style="484" customWidth="1"/>
    <col min="10" max="10" width="3.421875" style="91" customWidth="1"/>
    <col min="11" max="11" width="8.421875" style="484" customWidth="1"/>
    <col min="12" max="12" width="5.00390625" style="91" customWidth="1"/>
    <col min="13" max="13" width="8.28125" style="484" customWidth="1"/>
    <col min="14" max="14" width="4.28125" style="91" customWidth="1"/>
    <col min="15" max="15" width="8.140625" style="484" customWidth="1"/>
    <col min="16" max="16" width="5.28125" style="484" customWidth="1"/>
    <col min="17" max="17" width="8.7109375" style="484" customWidth="1"/>
    <col min="18" max="18" width="5.57421875" style="112" customWidth="1"/>
    <col min="19" max="19" width="9.421875" style="484" customWidth="1"/>
    <col min="20" max="20" width="5.140625" style="91" bestFit="1" customWidth="1"/>
    <col min="21" max="21" width="10.8515625" style="484" customWidth="1"/>
    <col min="22" max="22" width="5.57421875" style="112" customWidth="1"/>
    <col min="23" max="23" width="10.28125" style="484" customWidth="1"/>
    <col min="24" max="24" width="4.8515625" style="111" customWidth="1"/>
    <col min="25" max="25" width="9.00390625" style="484" customWidth="1"/>
    <col min="26" max="26" width="4.140625" style="112" customWidth="1"/>
    <col min="27" max="27" width="9.00390625" style="484" customWidth="1"/>
    <col min="28" max="28" width="5.140625" style="91" bestFit="1" customWidth="1"/>
    <col min="29" max="29" width="9.57421875" style="484" customWidth="1"/>
    <col min="30" max="30" width="4.00390625" style="112" customWidth="1"/>
    <col min="31" max="31" width="8.140625" style="484" customWidth="1"/>
    <col min="32" max="32" width="4.7109375" style="230" bestFit="1" customWidth="1"/>
    <col min="33" max="33" width="9.421875" style="230" customWidth="1"/>
    <col min="34" max="34" width="3.28125" style="112" customWidth="1"/>
    <col min="35" max="35" width="8.28125" style="484" customWidth="1"/>
    <col min="36" max="36" width="7.28125" style="112" customWidth="1"/>
    <col min="37" max="37" width="10.421875" style="309" customWidth="1"/>
    <col min="38" max="16384" width="9.140625" style="91" customWidth="1"/>
  </cols>
  <sheetData>
    <row r="1" spans="1:36" s="53" customFormat="1" ht="18.75" customHeight="1" thickBot="1">
      <c r="A1" s="81"/>
      <c r="B1" s="449"/>
      <c r="C1" s="834"/>
      <c r="D1" s="451"/>
      <c r="E1" s="450"/>
      <c r="F1" s="449"/>
      <c r="G1" s="450"/>
      <c r="H1" s="451"/>
      <c r="I1" s="649"/>
      <c r="J1" s="451"/>
      <c r="K1" s="649"/>
      <c r="L1" s="111"/>
      <c r="M1" s="484"/>
      <c r="N1" s="111"/>
      <c r="O1" s="484"/>
      <c r="P1" s="484"/>
      <c r="Q1" s="484"/>
      <c r="R1" s="112"/>
      <c r="S1" s="484"/>
      <c r="T1" s="111"/>
      <c r="U1" s="484"/>
      <c r="W1" s="301"/>
      <c r="Y1" s="301"/>
      <c r="Z1" s="112"/>
      <c r="AA1" s="301"/>
      <c r="AB1" s="66"/>
      <c r="AC1" s="652"/>
      <c r="AD1" s="66"/>
      <c r="AE1" s="653" t="s">
        <v>0</v>
      </c>
      <c r="AF1" s="582"/>
      <c r="AG1" s="582"/>
      <c r="AH1" s="66"/>
      <c r="AI1" s="652"/>
      <c r="AJ1" s="66"/>
    </row>
    <row r="2" spans="1:37" s="53" customFormat="1" ht="73.5" customHeight="1" thickBot="1">
      <c r="A2" s="1325" t="s">
        <v>1</v>
      </c>
      <c r="B2" s="1327" t="s">
        <v>62</v>
      </c>
      <c r="C2" s="1327"/>
      <c r="D2" s="1327" t="s">
        <v>135</v>
      </c>
      <c r="E2" s="1327"/>
      <c r="F2" s="1328" t="s">
        <v>73</v>
      </c>
      <c r="G2" s="1328"/>
      <c r="H2" s="1324" t="s">
        <v>63</v>
      </c>
      <c r="I2" s="1324"/>
      <c r="J2" s="1328" t="s">
        <v>144</v>
      </c>
      <c r="K2" s="1328"/>
      <c r="L2" s="1329" t="s">
        <v>64</v>
      </c>
      <c r="M2" s="1329"/>
      <c r="N2" s="1324" t="s">
        <v>130</v>
      </c>
      <c r="O2" s="1324"/>
      <c r="P2" s="1330" t="s">
        <v>66</v>
      </c>
      <c r="Q2" s="1330"/>
      <c r="R2" s="1330" t="s">
        <v>99</v>
      </c>
      <c r="S2" s="1330"/>
      <c r="T2" s="1333" t="s">
        <v>68</v>
      </c>
      <c r="U2" s="1333"/>
      <c r="V2" s="1333" t="s">
        <v>69</v>
      </c>
      <c r="W2" s="1333"/>
      <c r="X2" s="1333" t="s">
        <v>70</v>
      </c>
      <c r="Y2" s="1333"/>
      <c r="Z2" s="1331" t="s">
        <v>71</v>
      </c>
      <c r="AA2" s="1331"/>
      <c r="AB2" s="1331" t="s">
        <v>452</v>
      </c>
      <c r="AC2" s="1331"/>
      <c r="AD2" s="1333" t="s">
        <v>72</v>
      </c>
      <c r="AE2" s="1333"/>
      <c r="AF2" s="1331" t="s">
        <v>81</v>
      </c>
      <c r="AG2" s="1331"/>
      <c r="AH2" s="1331" t="s">
        <v>191</v>
      </c>
      <c r="AI2" s="1331"/>
      <c r="AJ2" s="1332" t="s">
        <v>57</v>
      </c>
      <c r="AK2" s="1332"/>
    </row>
    <row r="3" spans="1:37" s="62" customFormat="1" ht="21.75" customHeight="1" thickBot="1">
      <c r="A3" s="1326"/>
      <c r="B3" s="477" t="s">
        <v>10</v>
      </c>
      <c r="C3" s="654" t="s">
        <v>9</v>
      </c>
      <c r="D3" s="477" t="s">
        <v>10</v>
      </c>
      <c r="E3" s="654" t="s">
        <v>9</v>
      </c>
      <c r="F3" s="477" t="s">
        <v>10</v>
      </c>
      <c r="G3" s="478" t="s">
        <v>9</v>
      </c>
      <c r="H3" s="477" t="s">
        <v>10</v>
      </c>
      <c r="I3" s="478" t="s">
        <v>9</v>
      </c>
      <c r="J3" s="477" t="s">
        <v>10</v>
      </c>
      <c r="K3" s="478" t="s">
        <v>9</v>
      </c>
      <c r="L3" s="477" t="s">
        <v>10</v>
      </c>
      <c r="M3" s="478" t="s">
        <v>9</v>
      </c>
      <c r="N3" s="477" t="s">
        <v>10</v>
      </c>
      <c r="O3" s="478" t="s">
        <v>9</v>
      </c>
      <c r="P3" s="477" t="s">
        <v>10</v>
      </c>
      <c r="Q3" s="478" t="s">
        <v>9</v>
      </c>
      <c r="R3" s="477" t="s">
        <v>10</v>
      </c>
      <c r="S3" s="478" t="s">
        <v>9</v>
      </c>
      <c r="T3" s="477" t="s">
        <v>10</v>
      </c>
      <c r="U3" s="478" t="s">
        <v>9</v>
      </c>
      <c r="V3" s="477" t="s">
        <v>10</v>
      </c>
      <c r="W3" s="478" t="s">
        <v>9</v>
      </c>
      <c r="X3" s="477" t="s">
        <v>10</v>
      </c>
      <c r="Y3" s="478" t="s">
        <v>9</v>
      </c>
      <c r="Z3" s="477" t="s">
        <v>10</v>
      </c>
      <c r="AA3" s="478" t="s">
        <v>9</v>
      </c>
      <c r="AB3" s="477" t="s">
        <v>10</v>
      </c>
      <c r="AC3" s="478" t="s">
        <v>9</v>
      </c>
      <c r="AD3" s="477" t="s">
        <v>10</v>
      </c>
      <c r="AE3" s="478" t="s">
        <v>9</v>
      </c>
      <c r="AF3" s="477" t="s">
        <v>10</v>
      </c>
      <c r="AG3" s="478" t="s">
        <v>9</v>
      </c>
      <c r="AH3" s="477" t="s">
        <v>10</v>
      </c>
      <c r="AI3" s="478" t="s">
        <v>9</v>
      </c>
      <c r="AJ3" s="477" t="s">
        <v>10</v>
      </c>
      <c r="AK3" s="478" t="s">
        <v>9</v>
      </c>
    </row>
    <row r="4" spans="1:37" s="53" customFormat="1" ht="27" customHeight="1">
      <c r="A4" s="919" t="s">
        <v>60</v>
      </c>
      <c r="B4" s="920"/>
      <c r="C4" s="921"/>
      <c r="D4" s="922"/>
      <c r="E4" s="921"/>
      <c r="F4" s="922"/>
      <c r="G4" s="923"/>
      <c r="H4" s="924"/>
      <c r="I4" s="925"/>
      <c r="J4" s="924"/>
      <c r="K4" s="925"/>
      <c r="L4" s="924"/>
      <c r="M4" s="925"/>
      <c r="N4" s="924"/>
      <c r="O4" s="925"/>
      <c r="P4" s="924"/>
      <c r="Q4" s="925"/>
      <c r="R4" s="925"/>
      <c r="S4" s="925"/>
      <c r="T4" s="924"/>
      <c r="U4" s="925"/>
      <c r="V4" s="922"/>
      <c r="W4" s="923"/>
      <c r="X4" s="922"/>
      <c r="Y4" s="923"/>
      <c r="Z4" s="922"/>
      <c r="AA4" s="923"/>
      <c r="AB4" s="922"/>
      <c r="AC4" s="923"/>
      <c r="AD4" s="922"/>
      <c r="AE4" s="923"/>
      <c r="AF4" s="922"/>
      <c r="AG4" s="923"/>
      <c r="AH4" s="923"/>
      <c r="AI4" s="923"/>
      <c r="AJ4" s="922"/>
      <c r="AK4" s="925"/>
    </row>
    <row r="5" spans="1:37" s="71" customFormat="1" ht="27" customHeight="1">
      <c r="A5" s="10" t="s">
        <v>11</v>
      </c>
      <c r="B5" s="124">
        <f>21+55+20</f>
        <v>96</v>
      </c>
      <c r="C5" s="270">
        <f>1055.7+2776.8+694.5+2183.7+244+3251.8+380.9+971+527.3</f>
        <v>12085.699999999999</v>
      </c>
      <c r="D5" s="12"/>
      <c r="E5" s="270">
        <v>765.7</v>
      </c>
      <c r="F5" s="124"/>
      <c r="G5" s="270"/>
      <c r="H5" s="14">
        <f>97+217+5+144+28+36+16+25</f>
        <v>568</v>
      </c>
      <c r="I5" s="647">
        <f>623.2+1156.7+235.9+1168.2+1811.4+2522.5+2221.9+375+11.8+2359.6+13532.6+712.4+1702.2+236.4+244.6+374.6+521+1011.1+239.4+1283.3+544.5+688.8+1281.5+12.3+273.6</f>
        <v>35144.50000000001</v>
      </c>
      <c r="J5" s="12"/>
      <c r="K5" s="302"/>
      <c r="L5" s="12"/>
      <c r="M5" s="302"/>
      <c r="N5" s="12"/>
      <c r="O5" s="302"/>
      <c r="P5" s="12">
        <v>60</v>
      </c>
      <c r="Q5" s="302">
        <f>790+139.6</f>
        <v>929.6</v>
      </c>
      <c r="R5" s="11"/>
      <c r="S5" s="297"/>
      <c r="T5" s="11">
        <v>1</v>
      </c>
      <c r="U5" s="297">
        <v>886.6</v>
      </c>
      <c r="V5" s="11">
        <f>60</f>
        <v>60</v>
      </c>
      <c r="W5" s="297">
        <f>995.6+231.3+60.9+1657.8+87.2+12.1+55.6+2032.8+683.9+33.1+1029.3</f>
        <v>6879.6</v>
      </c>
      <c r="X5" s="11"/>
      <c r="Y5" s="297"/>
      <c r="Z5" s="11">
        <f>12+20</f>
        <v>32</v>
      </c>
      <c r="AA5" s="297">
        <f>108.2+401.9+635.3+697.6+1657.4</f>
        <v>3500.4</v>
      </c>
      <c r="AB5" s="11"/>
      <c r="AC5" s="297"/>
      <c r="AD5" s="11"/>
      <c r="AE5" s="297"/>
      <c r="AF5" s="240"/>
      <c r="AG5" s="240"/>
      <c r="AH5" s="677"/>
      <c r="AI5" s="240"/>
      <c r="AJ5" s="313">
        <f aca="true" t="shared" si="0" ref="AJ5:AK8">SUM(B5,D5,F5,H5,J5,L5,,N5,P5,R5,V5,T5,X5,Z5,AB5,AD5,AF5,AH5)</f>
        <v>817</v>
      </c>
      <c r="AK5" s="315">
        <f t="shared" si="0"/>
        <v>60192.100000000006</v>
      </c>
    </row>
    <row r="6" spans="1:37" s="71" customFormat="1" ht="27" customHeight="1">
      <c r="A6" s="10" t="s">
        <v>12</v>
      </c>
      <c r="B6" s="124">
        <f>6+1</f>
        <v>7</v>
      </c>
      <c r="C6" s="270">
        <f>1297.3+1027.8</f>
        <v>2325.1</v>
      </c>
      <c r="D6" s="12"/>
      <c r="E6" s="270"/>
      <c r="F6" s="124">
        <v>1</v>
      </c>
      <c r="G6" s="270">
        <v>598.4</v>
      </c>
      <c r="H6" s="14">
        <f>17+3</f>
        <v>20</v>
      </c>
      <c r="I6" s="647">
        <f>114.2+105.8+18440.2+3724+2660.3+437.5+106+39+110.4+2489.8+1919.9+1682.2+273.6+345+253.9+754.8</f>
        <v>33456.600000000006</v>
      </c>
      <c r="J6" s="12"/>
      <c r="K6" s="302"/>
      <c r="L6" s="12">
        <v>3</v>
      </c>
      <c r="M6" s="302">
        <v>446.7</v>
      </c>
      <c r="N6" s="12"/>
      <c r="O6" s="302">
        <v>306.8</v>
      </c>
      <c r="P6">
        <f>40</f>
        <v>40</v>
      </c>
      <c r="Q6">
        <v>343.1</v>
      </c>
      <c r="R6" s="12">
        <v>7</v>
      </c>
      <c r="S6" s="302">
        <v>1304.7</v>
      </c>
      <c r="T6" s="11">
        <f>14+30+7</f>
        <v>51</v>
      </c>
      <c r="U6" s="297">
        <f>121.5+334.2+186.9+895.3+216.4+3557.9</f>
        <v>5312.200000000001</v>
      </c>
      <c r="V6" s="11">
        <f>39+10</f>
        <v>49</v>
      </c>
      <c r="W6" s="297">
        <f>3685.5+1932.9+1554.4+207.1+1782.9</f>
        <v>9162.8</v>
      </c>
      <c r="X6" s="11">
        <v>2</v>
      </c>
      <c r="Y6" s="297">
        <v>478</v>
      </c>
      <c r="Z6" s="11">
        <v>1</v>
      </c>
      <c r="AA6" s="297">
        <v>133.1</v>
      </c>
      <c r="AB6" s="11">
        <f>35</f>
        <v>35</v>
      </c>
      <c r="AC6" s="297">
        <f>69.5+502.1+104.1+203.1+1568.3</f>
        <v>2447.1</v>
      </c>
      <c r="AD6" s="11">
        <v>3</v>
      </c>
      <c r="AE6" s="297">
        <v>369.6</v>
      </c>
      <c r="AF6" s="11"/>
      <c r="AG6" s="297"/>
      <c r="AH6" s="677">
        <v>1</v>
      </c>
      <c r="AI6" s="240">
        <v>227.2</v>
      </c>
      <c r="AJ6" s="313">
        <f t="shared" si="0"/>
        <v>220</v>
      </c>
      <c r="AK6" s="315">
        <f t="shared" si="0"/>
        <v>56911.39999999999</v>
      </c>
    </row>
    <row r="7" spans="1:37" s="71" customFormat="1" ht="27" customHeight="1">
      <c r="A7" s="10" t="s">
        <v>13</v>
      </c>
      <c r="B7" s="124">
        <f>8+1</f>
        <v>9</v>
      </c>
      <c r="C7" s="270">
        <f>296.9+174.5</f>
        <v>471.4</v>
      </c>
      <c r="D7" s="12"/>
      <c r="E7" s="270"/>
      <c r="F7" s="124"/>
      <c r="G7" s="270"/>
      <c r="H7" s="14"/>
      <c r="I7" s="647">
        <f>9440+1598.9+1014.7+202.1</f>
        <v>12255.7</v>
      </c>
      <c r="J7" s="12"/>
      <c r="K7" s="302"/>
      <c r="L7" s="12">
        <v>7</v>
      </c>
      <c r="M7" s="302">
        <v>1244.6</v>
      </c>
      <c r="N7" s="12"/>
      <c r="O7" s="302"/>
      <c r="P7" s="12">
        <v>106</v>
      </c>
      <c r="Q7" s="302">
        <f>679.6+240.6</f>
        <v>920.2</v>
      </c>
      <c r="R7" s="11">
        <v>1</v>
      </c>
      <c r="S7" s="297">
        <f>281.8+188</f>
        <v>469.8</v>
      </c>
      <c r="T7" s="11">
        <v>9</v>
      </c>
      <c r="U7" s="297">
        <f>749.6+7088.5</f>
        <v>7838.1</v>
      </c>
      <c r="V7" s="11">
        <v>5</v>
      </c>
      <c r="W7" s="297">
        <f>1307.9+3122.4+1227.6</f>
        <v>5657.9</v>
      </c>
      <c r="X7" s="11">
        <v>2</v>
      </c>
      <c r="Y7" s="297">
        <v>1014.8</v>
      </c>
      <c r="Z7" s="11">
        <v>26</v>
      </c>
      <c r="AA7" s="297">
        <f>1067.2+14437.8</f>
        <v>15505</v>
      </c>
      <c r="AB7" s="11">
        <v>24</v>
      </c>
      <c r="AC7" s="297">
        <f>139.9+1505.9</f>
        <v>1645.8000000000002</v>
      </c>
      <c r="AD7" s="11"/>
      <c r="AE7" s="297"/>
      <c r="AF7" s="677"/>
      <c r="AG7" s="240"/>
      <c r="AH7" s="677"/>
      <c r="AI7" s="240"/>
      <c r="AJ7" s="313">
        <f t="shared" si="0"/>
        <v>189</v>
      </c>
      <c r="AK7" s="315">
        <f t="shared" si="0"/>
        <v>47023.3</v>
      </c>
    </row>
    <row r="8" spans="1:37" s="281" customFormat="1" ht="27" customHeight="1">
      <c r="A8" s="15" t="s">
        <v>14</v>
      </c>
      <c r="B8" s="179"/>
      <c r="C8" s="479"/>
      <c r="D8" s="468"/>
      <c r="E8" s="479"/>
      <c r="F8" s="179"/>
      <c r="G8" s="479"/>
      <c r="H8" s="17">
        <v>45</v>
      </c>
      <c r="I8" s="648">
        <f>14.4+2608.5+1540.6+377.1+368.4+3528.1</f>
        <v>8437.1</v>
      </c>
      <c r="J8" s="468"/>
      <c r="K8" s="469"/>
      <c r="L8" s="468"/>
      <c r="M8" s="469"/>
      <c r="N8" s="468"/>
      <c r="O8" s="469"/>
      <c r="P8" s="468"/>
      <c r="Q8" s="469"/>
      <c r="R8" s="16"/>
      <c r="S8" s="298">
        <v>195.8</v>
      </c>
      <c r="T8" s="16"/>
      <c r="U8" s="298">
        <v>519.7</v>
      </c>
      <c r="V8" s="16"/>
      <c r="W8" s="298"/>
      <c r="X8" s="16"/>
      <c r="Y8" s="298"/>
      <c r="Z8" s="16"/>
      <c r="AA8" s="298"/>
      <c r="AB8" s="16">
        <v>9</v>
      </c>
      <c r="AC8" s="298">
        <v>797.5</v>
      </c>
      <c r="AD8" s="16"/>
      <c r="AE8" s="298"/>
      <c r="AF8" s="269"/>
      <c r="AG8" s="269"/>
      <c r="AH8" s="866"/>
      <c r="AI8" s="269"/>
      <c r="AJ8" s="313">
        <f t="shared" si="0"/>
        <v>54</v>
      </c>
      <c r="AK8" s="315">
        <f t="shared" si="0"/>
        <v>9950.1</v>
      </c>
    </row>
    <row r="9" spans="1:37" s="70" customFormat="1" ht="27" customHeight="1">
      <c r="A9" s="905" t="s">
        <v>15</v>
      </c>
      <c r="B9" s="906"/>
      <c r="C9" s="907"/>
      <c r="D9" s="908"/>
      <c r="E9" s="907"/>
      <c r="F9" s="908"/>
      <c r="G9" s="907"/>
      <c r="H9" s="908"/>
      <c r="I9" s="909"/>
      <c r="J9" s="908"/>
      <c r="K9" s="909"/>
      <c r="L9" s="908"/>
      <c r="M9" s="909"/>
      <c r="N9" s="908"/>
      <c r="O9" s="909"/>
      <c r="P9" s="908"/>
      <c r="Q9" s="909"/>
      <c r="R9" s="908"/>
      <c r="S9" s="909"/>
      <c r="T9" s="908"/>
      <c r="U9" s="909"/>
      <c r="V9" s="908"/>
      <c r="W9" s="909"/>
      <c r="X9" s="908"/>
      <c r="Y9" s="909"/>
      <c r="Z9" s="908"/>
      <c r="AA9" s="909"/>
      <c r="AB9" s="908"/>
      <c r="AC9" s="909"/>
      <c r="AD9" s="908"/>
      <c r="AE9" s="909"/>
      <c r="AF9" s="907"/>
      <c r="AG9" s="907"/>
      <c r="AH9" s="910"/>
      <c r="AI9" s="907"/>
      <c r="AJ9" s="911"/>
      <c r="AK9" s="912"/>
    </row>
    <row r="10" spans="1:37" s="70" customFormat="1" ht="27" customHeight="1">
      <c r="A10" s="10" t="s">
        <v>16</v>
      </c>
      <c r="B10" s="124"/>
      <c r="C10" s="240"/>
      <c r="D10" s="11"/>
      <c r="E10" s="240"/>
      <c r="F10" s="11"/>
      <c r="G10" s="240"/>
      <c r="H10" s="11"/>
      <c r="I10" s="297"/>
      <c r="J10" s="11"/>
      <c r="K10" s="297"/>
      <c r="L10" s="11"/>
      <c r="M10" s="297"/>
      <c r="N10" s="11"/>
      <c r="O10" s="297"/>
      <c r="P10" s="11"/>
      <c r="Q10" s="297"/>
      <c r="R10" s="11"/>
      <c r="S10" s="297"/>
      <c r="T10" s="11">
        <v>2</v>
      </c>
      <c r="U10" s="297">
        <v>928.1</v>
      </c>
      <c r="V10" s="11"/>
      <c r="W10" s="297"/>
      <c r="X10" s="11"/>
      <c r="Y10" s="297"/>
      <c r="Z10" s="11"/>
      <c r="AA10" s="297"/>
      <c r="AB10" s="11"/>
      <c r="AC10" s="297"/>
      <c r="AD10" s="11"/>
      <c r="AE10" s="297"/>
      <c r="AF10" s="240"/>
      <c r="AG10" s="240"/>
      <c r="AH10" s="677"/>
      <c r="AI10" s="240"/>
      <c r="AJ10" s="313">
        <f aca="true" t="shared" si="1" ref="AJ10:AK12">SUM(B10,D10,F10,H10,J10,L10,,N10,P10,R10,V10,T10,X10,Z10,AB10,AD10,AF10,AH10)</f>
        <v>2</v>
      </c>
      <c r="AK10" s="315">
        <f t="shared" si="1"/>
        <v>928.1</v>
      </c>
    </row>
    <row r="11" spans="1:37" s="70" customFormat="1" ht="27" customHeight="1">
      <c r="A11" s="10" t="s">
        <v>18</v>
      </c>
      <c r="B11" s="124"/>
      <c r="C11" s="240"/>
      <c r="D11" s="11"/>
      <c r="E11" s="240"/>
      <c r="F11" s="11"/>
      <c r="G11" s="240"/>
      <c r="H11" s="11"/>
      <c r="I11" s="297"/>
      <c r="J11" s="11"/>
      <c r="K11" s="297"/>
      <c r="L11" s="11"/>
      <c r="M11" s="297"/>
      <c r="N11" s="11"/>
      <c r="O11" s="297"/>
      <c r="P11" s="11"/>
      <c r="Q11" s="297"/>
      <c r="R11" s="11"/>
      <c r="S11" s="297"/>
      <c r="T11" s="11">
        <v>1</v>
      </c>
      <c r="U11" s="297">
        <f>171.2+1147.2</f>
        <v>1318.4</v>
      </c>
      <c r="V11" s="11"/>
      <c r="W11" s="297"/>
      <c r="X11" s="11"/>
      <c r="Y11" s="297"/>
      <c r="Z11" s="11"/>
      <c r="AA11" s="297">
        <v>134.8</v>
      </c>
      <c r="AB11" s="11"/>
      <c r="AC11" s="297"/>
      <c r="AD11" s="11"/>
      <c r="AE11" s="297"/>
      <c r="AF11" s="240"/>
      <c r="AG11" s="240"/>
      <c r="AH11" s="677"/>
      <c r="AI11" s="240"/>
      <c r="AJ11" s="313">
        <f t="shared" si="1"/>
        <v>1</v>
      </c>
      <c r="AK11" s="315">
        <f t="shared" si="1"/>
        <v>1453.2</v>
      </c>
    </row>
    <row r="12" spans="1:37" s="70" customFormat="1" ht="27" customHeight="1">
      <c r="A12" s="15" t="s">
        <v>19</v>
      </c>
      <c r="B12" s="179"/>
      <c r="C12" s="479"/>
      <c r="D12" s="468"/>
      <c r="E12" s="479"/>
      <c r="F12" s="179"/>
      <c r="G12" s="479"/>
      <c r="H12" s="17"/>
      <c r="I12" s="648"/>
      <c r="J12" s="468"/>
      <c r="K12" s="469"/>
      <c r="L12" s="468"/>
      <c r="M12" s="469"/>
      <c r="N12" s="468"/>
      <c r="O12" s="469"/>
      <c r="P12" s="468"/>
      <c r="Q12" s="469"/>
      <c r="R12" s="16"/>
      <c r="S12" s="298"/>
      <c r="T12" s="16"/>
      <c r="U12" s="298">
        <v>2621.5</v>
      </c>
      <c r="V12" s="16"/>
      <c r="W12" s="298"/>
      <c r="X12" s="16"/>
      <c r="Y12" s="298"/>
      <c r="Z12" s="16"/>
      <c r="AA12" s="298"/>
      <c r="AB12" s="16"/>
      <c r="AC12" s="298"/>
      <c r="AD12" s="16"/>
      <c r="AE12" s="298"/>
      <c r="AF12" s="269"/>
      <c r="AG12" s="269"/>
      <c r="AH12" s="866"/>
      <c r="AI12" s="269"/>
      <c r="AJ12" s="313">
        <f t="shared" si="1"/>
        <v>0</v>
      </c>
      <c r="AK12" s="315">
        <f t="shared" si="1"/>
        <v>2621.5</v>
      </c>
    </row>
    <row r="13" spans="1:37" s="70" customFormat="1" ht="27" customHeight="1">
      <c r="A13" s="905" t="s">
        <v>20</v>
      </c>
      <c r="B13" s="906"/>
      <c r="C13" s="907"/>
      <c r="D13" s="908"/>
      <c r="E13" s="907"/>
      <c r="F13" s="908"/>
      <c r="G13" s="907"/>
      <c r="H13" s="908"/>
      <c r="I13" s="909"/>
      <c r="J13" s="908"/>
      <c r="K13" s="909"/>
      <c r="L13" s="908"/>
      <c r="M13" s="909"/>
      <c r="N13" s="908"/>
      <c r="O13" s="909"/>
      <c r="P13" s="908"/>
      <c r="Q13" s="909"/>
      <c r="R13" s="908"/>
      <c r="S13" s="909"/>
      <c r="T13" s="908"/>
      <c r="U13" s="909"/>
      <c r="V13" s="908"/>
      <c r="W13" s="909"/>
      <c r="X13" s="908"/>
      <c r="Y13" s="909"/>
      <c r="Z13" s="908"/>
      <c r="AA13" s="909"/>
      <c r="AB13" s="908"/>
      <c r="AC13" s="909"/>
      <c r="AD13" s="908"/>
      <c r="AE13" s="909"/>
      <c r="AF13" s="907"/>
      <c r="AG13" s="907"/>
      <c r="AH13" s="910"/>
      <c r="AI13" s="907"/>
      <c r="AJ13" s="911"/>
      <c r="AK13" s="912"/>
    </row>
    <row r="14" spans="1:37" s="53" customFormat="1" ht="27" customHeight="1">
      <c r="A14" s="15" t="s">
        <v>22</v>
      </c>
      <c r="B14" s="179"/>
      <c r="C14" s="269"/>
      <c r="D14" s="16"/>
      <c r="E14" s="269"/>
      <c r="F14" s="16"/>
      <c r="G14" s="269"/>
      <c r="H14" s="16"/>
      <c r="I14" s="298"/>
      <c r="J14" s="16"/>
      <c r="K14" s="298"/>
      <c r="L14" s="16"/>
      <c r="M14" s="298"/>
      <c r="N14" s="16"/>
      <c r="O14" s="298"/>
      <c r="P14" s="16"/>
      <c r="Q14" s="298"/>
      <c r="R14" s="16">
        <v>2</v>
      </c>
      <c r="S14" s="298">
        <v>238.4</v>
      </c>
      <c r="T14" s="16">
        <v>10</v>
      </c>
      <c r="U14" s="298">
        <v>911.6</v>
      </c>
      <c r="V14" s="16"/>
      <c r="W14" s="298"/>
      <c r="X14" s="16"/>
      <c r="Y14" s="298"/>
      <c r="Z14" s="16"/>
      <c r="AA14" s="298"/>
      <c r="AB14" s="16"/>
      <c r="AC14" s="298"/>
      <c r="AD14" s="16">
        <v>16</v>
      </c>
      <c r="AE14" s="298">
        <v>492.8</v>
      </c>
      <c r="AF14" s="866"/>
      <c r="AG14" s="269"/>
      <c r="AH14" s="866"/>
      <c r="AI14" s="269"/>
      <c r="AJ14" s="314">
        <f>SUM(B14,D14,F14,H14,J14,L14,N14,P14,R14,V14,T14,X14,Z14,AB14,AD14,AF14,AH14)</f>
        <v>28</v>
      </c>
      <c r="AK14" s="316">
        <f>SUM(C14,E14,G14,I14,K14,M14,O14,Q14,S14,W14,U14,Y14,AA14,AC14,AE14,AG14,AI14)</f>
        <v>1642.8</v>
      </c>
    </row>
    <row r="15" spans="1:37" s="53" customFormat="1" ht="27" customHeight="1">
      <c r="A15" s="926" t="s">
        <v>23</v>
      </c>
      <c r="B15" s="906"/>
      <c r="C15" s="913"/>
      <c r="D15" s="914"/>
      <c r="E15" s="913"/>
      <c r="F15" s="906"/>
      <c r="G15" s="913"/>
      <c r="H15" s="915"/>
      <c r="I15" s="916"/>
      <c r="J15" s="914"/>
      <c r="K15" s="917"/>
      <c r="L15" s="914"/>
      <c r="M15" s="917"/>
      <c r="N15" s="914"/>
      <c r="O15" s="917"/>
      <c r="P15" s="914"/>
      <c r="Q15" s="917"/>
      <c r="R15" s="908"/>
      <c r="S15" s="909"/>
      <c r="T15" s="908"/>
      <c r="U15" s="909"/>
      <c r="V15" s="908"/>
      <c r="W15" s="909"/>
      <c r="X15" s="908"/>
      <c r="Y15" s="909"/>
      <c r="Z15" s="908"/>
      <c r="AA15" s="909"/>
      <c r="AB15" s="908"/>
      <c r="AC15" s="909"/>
      <c r="AD15" s="908"/>
      <c r="AE15" s="909"/>
      <c r="AF15" s="907"/>
      <c r="AG15" s="907"/>
      <c r="AH15" s="910"/>
      <c r="AI15" s="907"/>
      <c r="AJ15" s="911"/>
      <c r="AK15" s="912"/>
    </row>
    <row r="16" spans="1:37" s="53" customFormat="1" ht="27" customHeight="1">
      <c r="A16" s="10" t="s">
        <v>24</v>
      </c>
      <c r="B16" s="124">
        <v>1</v>
      </c>
      <c r="C16" s="270">
        <v>101.5</v>
      </c>
      <c r="D16" s="12"/>
      <c r="E16" s="270"/>
      <c r="F16" s="124"/>
      <c r="G16" s="270"/>
      <c r="H16" s="14"/>
      <c r="I16" s="647"/>
      <c r="J16" s="12"/>
      <c r="K16" s="302"/>
      <c r="L16" s="12"/>
      <c r="M16" s="302"/>
      <c r="N16" s="12"/>
      <c r="O16" s="302"/>
      <c r="P16" s="12"/>
      <c r="Q16" s="302"/>
      <c r="R16" s="11"/>
      <c r="S16" s="297"/>
      <c r="T16" s="11">
        <v>2</v>
      </c>
      <c r="U16" s="297">
        <f>452.5+425</f>
        <v>877.5</v>
      </c>
      <c r="V16" s="11"/>
      <c r="W16" s="297"/>
      <c r="X16" s="11"/>
      <c r="Y16" s="297"/>
      <c r="Z16" s="11"/>
      <c r="AA16" s="297"/>
      <c r="AB16" s="11"/>
      <c r="AC16" s="297">
        <v>485</v>
      </c>
      <c r="AD16" s="11">
        <v>1</v>
      </c>
      <c r="AE16" s="297">
        <v>66.1</v>
      </c>
      <c r="AF16" s="240"/>
      <c r="AG16" s="240"/>
      <c r="AH16" s="677"/>
      <c r="AI16" s="240"/>
      <c r="AJ16" s="313">
        <f aca="true" t="shared" si="2" ref="AJ16:AK19">SUM(B16,D16,F16,H16,J16,L16,N16,P16,R16,V16,T16,X16,Z16,AB16,AD16,AF16,AH16)</f>
        <v>4</v>
      </c>
      <c r="AK16" s="315">
        <f t="shared" si="2"/>
        <v>1530.1</v>
      </c>
    </row>
    <row r="17" spans="1:37" s="53" customFormat="1" ht="27" customHeight="1">
      <c r="A17" s="10" t="s">
        <v>25</v>
      </c>
      <c r="B17" s="124">
        <v>9</v>
      </c>
      <c r="C17" s="270">
        <f>1468.2+319.9+562.3</f>
        <v>2350.3999999999996</v>
      </c>
      <c r="D17" s="12">
        <v>13</v>
      </c>
      <c r="E17" s="270">
        <v>1576.1</v>
      </c>
      <c r="F17" s="124">
        <v>1</v>
      </c>
      <c r="G17" s="270">
        <v>180.6</v>
      </c>
      <c r="H17" s="14">
        <v>4</v>
      </c>
      <c r="I17" s="647">
        <v>10193.3</v>
      </c>
      <c r="J17" s="12"/>
      <c r="K17" s="302">
        <v>183.9</v>
      </c>
      <c r="L17" s="12"/>
      <c r="M17" s="302">
        <v>1417.3</v>
      </c>
      <c r="N17" s="12">
        <v>1</v>
      </c>
      <c r="O17" s="302">
        <v>145.1</v>
      </c>
      <c r="P17" s="12"/>
      <c r="Q17" s="302"/>
      <c r="R17" s="11"/>
      <c r="S17" s="297">
        <f>2483.9+1862.6</f>
        <v>4346.5</v>
      </c>
      <c r="T17" s="11">
        <v>20</v>
      </c>
      <c r="U17" s="297">
        <f>422.4+11.9+2503.3+9+1610.4+2922.1</f>
        <v>7479.1</v>
      </c>
      <c r="V17" s="11">
        <v>3</v>
      </c>
      <c r="W17" s="297">
        <v>6125.3</v>
      </c>
      <c r="X17" s="11">
        <v>9</v>
      </c>
      <c r="Y17" s="297">
        <v>6941.5</v>
      </c>
      <c r="Z17" s="11"/>
      <c r="AA17" s="297"/>
      <c r="AB17" s="11"/>
      <c r="AC17" s="297">
        <f>1695.7+466.3</f>
        <v>2162</v>
      </c>
      <c r="AD17" s="11"/>
      <c r="AE17" s="297"/>
      <c r="AF17" s="677"/>
      <c r="AG17" s="240"/>
      <c r="AH17" s="677">
        <v>4</v>
      </c>
      <c r="AI17" s="240">
        <v>796</v>
      </c>
      <c r="AJ17" s="313">
        <f t="shared" si="2"/>
        <v>64</v>
      </c>
      <c r="AK17" s="315">
        <f t="shared" si="2"/>
        <v>43897.1</v>
      </c>
    </row>
    <row r="18" spans="1:37" s="81" customFormat="1" ht="27" customHeight="1">
      <c r="A18" s="10" t="s">
        <v>27</v>
      </c>
      <c r="B18" s="124"/>
      <c r="C18" s="270"/>
      <c r="D18" s="12"/>
      <c r="E18" s="270"/>
      <c r="F18" s="124"/>
      <c r="G18" s="270"/>
      <c r="H18" s="14"/>
      <c r="I18" s="647"/>
      <c r="J18" s="12"/>
      <c r="K18" s="302"/>
      <c r="L18" s="12"/>
      <c r="M18" s="302"/>
      <c r="N18" s="12"/>
      <c r="O18" s="302"/>
      <c r="P18" s="12"/>
      <c r="Q18" s="302"/>
      <c r="R18" s="11">
        <v>3</v>
      </c>
      <c r="S18" s="297">
        <f>251.2+1688.5</f>
        <v>1939.7</v>
      </c>
      <c r="T18" s="11"/>
      <c r="U18" s="297"/>
      <c r="V18" s="11"/>
      <c r="W18" s="297"/>
      <c r="X18" s="11"/>
      <c r="Y18" s="297"/>
      <c r="Z18" s="11"/>
      <c r="AA18" s="297"/>
      <c r="AB18" s="11"/>
      <c r="AC18" s="297"/>
      <c r="AD18" s="11"/>
      <c r="AE18" s="297"/>
      <c r="AF18" s="240"/>
      <c r="AG18" s="240"/>
      <c r="AH18" s="677"/>
      <c r="AI18" s="240"/>
      <c r="AJ18" s="313">
        <f t="shared" si="2"/>
        <v>3</v>
      </c>
      <c r="AK18" s="315">
        <f t="shared" si="2"/>
        <v>1939.7</v>
      </c>
    </row>
    <row r="19" spans="1:37" s="231" customFormat="1" ht="27" customHeight="1">
      <c r="A19" s="15" t="s">
        <v>31</v>
      </c>
      <c r="B19" s="179"/>
      <c r="C19" s="479"/>
      <c r="D19" s="468"/>
      <c r="E19" s="479"/>
      <c r="F19" s="179"/>
      <c r="G19" s="479"/>
      <c r="H19" s="17"/>
      <c r="I19" s="648"/>
      <c r="J19" s="468"/>
      <c r="K19" s="469"/>
      <c r="L19" s="468"/>
      <c r="M19" s="469"/>
      <c r="N19" s="468"/>
      <c r="O19" s="469"/>
      <c r="P19" s="468"/>
      <c r="Q19" s="469"/>
      <c r="R19" s="16"/>
      <c r="S19" s="298"/>
      <c r="T19" s="16"/>
      <c r="U19" s="298"/>
      <c r="V19" s="16"/>
      <c r="W19" s="298"/>
      <c r="X19" s="16"/>
      <c r="Y19" s="298"/>
      <c r="Z19" s="16"/>
      <c r="AA19" s="298"/>
      <c r="AB19" s="16"/>
      <c r="AC19" s="298">
        <v>557.8</v>
      </c>
      <c r="AD19" s="16"/>
      <c r="AE19" s="298"/>
      <c r="AF19" s="269"/>
      <c r="AG19" s="269"/>
      <c r="AH19" s="866"/>
      <c r="AI19" s="269"/>
      <c r="AJ19" s="314">
        <f t="shared" si="2"/>
        <v>0</v>
      </c>
      <c r="AK19" s="316">
        <f t="shared" si="2"/>
        <v>557.8</v>
      </c>
    </row>
    <row r="20" spans="1:37" s="231" customFormat="1" ht="27" customHeight="1">
      <c r="A20" s="905" t="s">
        <v>32</v>
      </c>
      <c r="B20" s="906"/>
      <c r="C20" s="913"/>
      <c r="D20" s="914"/>
      <c r="E20" s="913"/>
      <c r="F20" s="906"/>
      <c r="G20" s="913"/>
      <c r="H20" s="915"/>
      <c r="I20" s="916"/>
      <c r="J20" s="914"/>
      <c r="K20" s="917"/>
      <c r="L20" s="914"/>
      <c r="M20" s="917"/>
      <c r="N20" s="914"/>
      <c r="O20" s="917"/>
      <c r="P20" s="914"/>
      <c r="Q20" s="917"/>
      <c r="R20" s="908"/>
      <c r="S20" s="909"/>
      <c r="T20" s="908"/>
      <c r="U20" s="909"/>
      <c r="V20" s="908"/>
      <c r="W20" s="909"/>
      <c r="X20" s="908"/>
      <c r="Y20" s="909"/>
      <c r="Z20" s="908"/>
      <c r="AA20" s="909"/>
      <c r="AB20" s="908"/>
      <c r="AC20" s="909"/>
      <c r="AD20" s="908"/>
      <c r="AE20" s="909"/>
      <c r="AF20" s="907"/>
      <c r="AG20" s="907"/>
      <c r="AH20" s="910"/>
      <c r="AI20" s="907"/>
      <c r="AJ20" s="911"/>
      <c r="AK20" s="918"/>
    </row>
    <row r="21" spans="1:37" s="81" customFormat="1" ht="27" customHeight="1">
      <c r="A21" s="10" t="s">
        <v>127</v>
      </c>
      <c r="B21" s="124"/>
      <c r="C21" s="270"/>
      <c r="D21" s="12"/>
      <c r="E21" s="270"/>
      <c r="F21" s="124"/>
      <c r="G21" s="270"/>
      <c r="H21" s="14"/>
      <c r="I21" s="647"/>
      <c r="J21" s="12"/>
      <c r="K21" s="302"/>
      <c r="L21" s="12"/>
      <c r="M21" s="302"/>
      <c r="N21" s="12"/>
      <c r="O21" s="302"/>
      <c r="P21" s="12"/>
      <c r="Q21" s="302"/>
      <c r="R21" s="11"/>
      <c r="S21" s="297"/>
      <c r="T21" s="11">
        <v>15</v>
      </c>
      <c r="U21" s="297">
        <v>2355.2</v>
      </c>
      <c r="V21" s="11"/>
      <c r="W21" s="297"/>
      <c r="X21" s="11"/>
      <c r="Y21" s="297"/>
      <c r="Z21" s="11">
        <v>2</v>
      </c>
      <c r="AA21" s="297">
        <v>2239</v>
      </c>
      <c r="AB21" s="11">
        <v>1</v>
      </c>
      <c r="AC21" s="297">
        <v>18.5</v>
      </c>
      <c r="AD21" s="11"/>
      <c r="AE21" s="297"/>
      <c r="AF21" s="240"/>
      <c r="AG21" s="240"/>
      <c r="AH21" s="677"/>
      <c r="AI21" s="240"/>
      <c r="AJ21" s="313">
        <f>SUM(B21,D21,F21,H21,J21,L21,N21,P21,R21,V21,T21,X21,Z21,AB21,AD21,AF21,AH21)</f>
        <v>18</v>
      </c>
      <c r="AK21" s="315">
        <f>SUM(C21,E21,G21,I21,K21,M21,O21,Q21,S21,W21,U21,Y21,AA21,AC21,AE21,AG21,AI21)</f>
        <v>4612.7</v>
      </c>
    </row>
    <row r="22" spans="1:37" s="81" customFormat="1" ht="27" customHeight="1">
      <c r="A22" s="15" t="s">
        <v>286</v>
      </c>
      <c r="B22" s="179"/>
      <c r="C22" s="479"/>
      <c r="D22" s="468"/>
      <c r="E22" s="479"/>
      <c r="F22" s="179"/>
      <c r="G22" s="479"/>
      <c r="H22" s="17"/>
      <c r="I22" s="648"/>
      <c r="J22" s="468"/>
      <c r="K22" s="469"/>
      <c r="L22" s="468"/>
      <c r="M22" s="469"/>
      <c r="N22" s="468"/>
      <c r="O22" s="469"/>
      <c r="P22" s="468"/>
      <c r="Q22" s="469"/>
      <c r="R22" s="16"/>
      <c r="S22" s="298"/>
      <c r="T22" s="16">
        <v>7</v>
      </c>
      <c r="U22" s="298">
        <v>10419.6</v>
      </c>
      <c r="V22" s="16"/>
      <c r="W22" s="298"/>
      <c r="X22" s="16"/>
      <c r="Y22" s="298"/>
      <c r="Z22" s="16"/>
      <c r="AA22" s="298"/>
      <c r="AB22" s="16"/>
      <c r="AC22" s="298"/>
      <c r="AD22" s="16"/>
      <c r="AE22" s="298"/>
      <c r="AF22" s="269"/>
      <c r="AG22" s="269"/>
      <c r="AH22" s="866"/>
      <c r="AI22" s="269"/>
      <c r="AJ22" s="313">
        <f>SUM(B22,D22,F22,H22,J22,L22,N22,P22,R22,V22,T22,X22,Z22,AB22,AD22,AF22,AH22)</f>
        <v>7</v>
      </c>
      <c r="AK22" s="315">
        <f>SUM(C22,E22,G22,I22,K22,M22,O22,Q22,S22,W22,U22,Y22,AA22,AC22,AE22,AG22,AI22)</f>
        <v>10419.6</v>
      </c>
    </row>
    <row r="23" spans="1:37" s="81" customFormat="1" ht="27" customHeight="1">
      <c r="A23" s="905" t="s">
        <v>61</v>
      </c>
      <c r="B23" s="906"/>
      <c r="C23" s="907"/>
      <c r="D23" s="908"/>
      <c r="E23" s="907"/>
      <c r="F23" s="908"/>
      <c r="G23" s="907"/>
      <c r="H23" s="908"/>
      <c r="I23" s="909"/>
      <c r="J23" s="908"/>
      <c r="K23" s="909"/>
      <c r="L23" s="908"/>
      <c r="M23" s="909"/>
      <c r="N23" s="908"/>
      <c r="O23" s="909"/>
      <c r="P23" s="908"/>
      <c r="Q23" s="909"/>
      <c r="R23" s="908"/>
      <c r="S23" s="909"/>
      <c r="T23" s="908"/>
      <c r="U23" s="909"/>
      <c r="V23" s="908"/>
      <c r="W23" s="909"/>
      <c r="X23" s="908"/>
      <c r="Y23" s="909"/>
      <c r="Z23" s="908"/>
      <c r="AA23" s="909"/>
      <c r="AB23" s="908"/>
      <c r="AC23" s="909"/>
      <c r="AD23" s="908"/>
      <c r="AE23" s="909"/>
      <c r="AF23" s="907"/>
      <c r="AG23" s="907"/>
      <c r="AH23" s="910"/>
      <c r="AI23" s="907"/>
      <c r="AJ23" s="911"/>
      <c r="AK23" s="912"/>
    </row>
    <row r="24" spans="1:37" s="81" customFormat="1" ht="27" customHeight="1">
      <c r="A24" s="10" t="s">
        <v>332</v>
      </c>
      <c r="B24" s="124"/>
      <c r="C24" s="270"/>
      <c r="D24" s="12"/>
      <c r="E24" s="270"/>
      <c r="F24" s="124"/>
      <c r="G24" s="270"/>
      <c r="H24" s="14"/>
      <c r="I24" s="647"/>
      <c r="J24" s="12"/>
      <c r="K24" s="302"/>
      <c r="L24" s="12"/>
      <c r="M24" s="302"/>
      <c r="N24" s="12"/>
      <c r="O24" s="302"/>
      <c r="P24" s="12"/>
      <c r="Q24" s="302"/>
      <c r="R24" s="11"/>
      <c r="S24" s="297"/>
      <c r="T24" s="11"/>
      <c r="U24" s="297">
        <v>1243.6</v>
      </c>
      <c r="V24" s="11"/>
      <c r="W24" s="297"/>
      <c r="X24" s="11"/>
      <c r="Y24" s="297"/>
      <c r="Z24" s="11"/>
      <c r="AA24" s="297"/>
      <c r="AB24" s="11">
        <v>5</v>
      </c>
      <c r="AC24" s="297">
        <f>537.1+1352.6</f>
        <v>1889.6999999999998</v>
      </c>
      <c r="AD24" s="11"/>
      <c r="AE24" s="297"/>
      <c r="AF24" s="240"/>
      <c r="AG24" s="240"/>
      <c r="AH24" s="677"/>
      <c r="AI24" s="240"/>
      <c r="AJ24" s="313">
        <f aca="true" t="shared" si="3" ref="AJ24:AJ43">SUM(B24,D24,F24,H24,J24,L24,N24,P24,R24,V24,T24,X24,Z24,AB24,AD24,AF24,AH24)</f>
        <v>5</v>
      </c>
      <c r="AK24" s="315">
        <f aca="true" t="shared" si="4" ref="AK24:AK43">SUM(C24,E24,G24,I24,K24,M24,O24,Q24,S24,W24,U24,Y24,AA24,AC24,AE24,AG24,AI24)</f>
        <v>3133.2999999999997</v>
      </c>
    </row>
    <row r="25" spans="1:37" s="81" customFormat="1" ht="27" customHeight="1">
      <c r="A25" s="10" t="s">
        <v>296</v>
      </c>
      <c r="B25" s="124"/>
      <c r="C25" s="270"/>
      <c r="D25" s="12"/>
      <c r="E25" s="270"/>
      <c r="F25" s="124"/>
      <c r="G25" s="270"/>
      <c r="H25" s="14"/>
      <c r="I25" s="647"/>
      <c r="J25" s="12"/>
      <c r="K25" s="302"/>
      <c r="L25" s="12"/>
      <c r="M25" s="302"/>
      <c r="N25" s="12"/>
      <c r="O25" s="302"/>
      <c r="P25" s="12"/>
      <c r="Q25" s="302"/>
      <c r="R25" s="11"/>
      <c r="S25" s="297"/>
      <c r="T25" s="11">
        <v>2</v>
      </c>
      <c r="U25" s="297">
        <v>340.1</v>
      </c>
      <c r="V25" s="11"/>
      <c r="W25" s="297"/>
      <c r="X25" s="11"/>
      <c r="Y25" s="297"/>
      <c r="Z25" s="11"/>
      <c r="AA25" s="297"/>
      <c r="AB25" s="11"/>
      <c r="AC25" s="297"/>
      <c r="AD25" s="11"/>
      <c r="AE25" s="297"/>
      <c r="AF25" s="240"/>
      <c r="AG25" s="240"/>
      <c r="AH25" s="677"/>
      <c r="AI25" s="240"/>
      <c r="AJ25" s="313">
        <f t="shared" si="3"/>
        <v>2</v>
      </c>
      <c r="AK25" s="315">
        <f t="shared" si="4"/>
        <v>340.1</v>
      </c>
    </row>
    <row r="26" spans="1:37" s="81" customFormat="1" ht="27" customHeight="1">
      <c r="A26" s="10" t="s">
        <v>436</v>
      </c>
      <c r="B26" s="124"/>
      <c r="C26" s="270"/>
      <c r="D26" s="12"/>
      <c r="E26" s="270"/>
      <c r="F26" s="124"/>
      <c r="G26" s="270"/>
      <c r="H26" s="14"/>
      <c r="I26" s="647"/>
      <c r="J26" s="12"/>
      <c r="K26" s="302"/>
      <c r="L26" s="12"/>
      <c r="M26" s="302"/>
      <c r="N26" s="12"/>
      <c r="O26" s="302"/>
      <c r="P26" s="12"/>
      <c r="Q26" s="302"/>
      <c r="R26" s="11"/>
      <c r="S26" s="297"/>
      <c r="T26" s="11">
        <v>1</v>
      </c>
      <c r="U26" s="297">
        <v>162.5</v>
      </c>
      <c r="V26" s="11"/>
      <c r="W26" s="297"/>
      <c r="X26" s="11"/>
      <c r="Y26" s="297"/>
      <c r="Z26" s="11"/>
      <c r="AA26" s="297"/>
      <c r="AB26" s="11"/>
      <c r="AC26" s="297"/>
      <c r="AD26" s="11"/>
      <c r="AE26" s="297"/>
      <c r="AF26" s="240"/>
      <c r="AG26" s="240"/>
      <c r="AH26" s="677"/>
      <c r="AI26" s="240"/>
      <c r="AJ26" s="313">
        <f t="shared" si="3"/>
        <v>1</v>
      </c>
      <c r="AK26" s="315">
        <f t="shared" si="4"/>
        <v>162.5</v>
      </c>
    </row>
    <row r="27" spans="1:37" s="81" customFormat="1" ht="27" customHeight="1">
      <c r="A27" s="10" t="s">
        <v>468</v>
      </c>
      <c r="B27" s="124"/>
      <c r="C27" s="270"/>
      <c r="D27" s="12"/>
      <c r="E27" s="270"/>
      <c r="F27" s="124"/>
      <c r="G27" s="270"/>
      <c r="H27" s="14"/>
      <c r="I27" s="647"/>
      <c r="J27" s="12"/>
      <c r="K27" s="302"/>
      <c r="L27" s="12"/>
      <c r="M27" s="302"/>
      <c r="N27" s="12"/>
      <c r="O27" s="302"/>
      <c r="P27" s="12"/>
      <c r="Q27" s="302"/>
      <c r="R27" s="11"/>
      <c r="S27" s="297"/>
      <c r="T27" s="11">
        <v>2</v>
      </c>
      <c r="U27" s="297">
        <v>280.8</v>
      </c>
      <c r="V27" s="11"/>
      <c r="W27" s="297"/>
      <c r="X27" s="11"/>
      <c r="Y27" s="297"/>
      <c r="Z27" s="11"/>
      <c r="AA27" s="297"/>
      <c r="AB27" s="11"/>
      <c r="AC27" s="297"/>
      <c r="AD27" s="11"/>
      <c r="AE27" s="297"/>
      <c r="AF27" s="240"/>
      <c r="AG27" s="240"/>
      <c r="AH27" s="677"/>
      <c r="AI27" s="240"/>
      <c r="AJ27" s="313">
        <f t="shared" si="3"/>
        <v>2</v>
      </c>
      <c r="AK27" s="315">
        <f t="shared" si="4"/>
        <v>280.8</v>
      </c>
    </row>
    <row r="28" spans="1:37" s="81" customFormat="1" ht="27" customHeight="1">
      <c r="A28" s="10" t="s">
        <v>156</v>
      </c>
      <c r="B28" s="124"/>
      <c r="C28" s="270"/>
      <c r="D28" s="12"/>
      <c r="E28" s="270"/>
      <c r="F28" s="124"/>
      <c r="G28" s="270"/>
      <c r="H28" s="14"/>
      <c r="I28" s="647"/>
      <c r="J28" s="12"/>
      <c r="K28" s="302"/>
      <c r="L28" s="12"/>
      <c r="M28" s="302"/>
      <c r="N28" s="12"/>
      <c r="O28" s="302"/>
      <c r="P28" s="12"/>
      <c r="Q28" s="302"/>
      <c r="R28" s="11"/>
      <c r="S28" s="297"/>
      <c r="T28" s="11">
        <v>2</v>
      </c>
      <c r="U28" s="297">
        <v>383</v>
      </c>
      <c r="V28" s="11"/>
      <c r="W28" s="297"/>
      <c r="X28" s="11"/>
      <c r="Y28" s="297"/>
      <c r="Z28" s="11"/>
      <c r="AA28" s="297"/>
      <c r="AB28" s="11"/>
      <c r="AC28" s="297"/>
      <c r="AD28" s="11"/>
      <c r="AE28" s="297"/>
      <c r="AF28" s="240"/>
      <c r="AG28" s="240"/>
      <c r="AH28" s="677"/>
      <c r="AI28" s="240"/>
      <c r="AJ28" s="313">
        <f t="shared" si="3"/>
        <v>2</v>
      </c>
      <c r="AK28" s="315">
        <f t="shared" si="4"/>
        <v>383</v>
      </c>
    </row>
    <row r="29" spans="1:37" s="81" customFormat="1" ht="27" customHeight="1">
      <c r="A29" s="10" t="s">
        <v>224</v>
      </c>
      <c r="B29" s="124"/>
      <c r="C29" s="270"/>
      <c r="D29" s="12"/>
      <c r="E29" s="270"/>
      <c r="F29" s="124"/>
      <c r="G29" s="270"/>
      <c r="H29" s="14"/>
      <c r="I29" s="647"/>
      <c r="J29" s="12"/>
      <c r="K29" s="302"/>
      <c r="L29" s="12"/>
      <c r="M29" s="302"/>
      <c r="N29" s="12"/>
      <c r="O29" s="302"/>
      <c r="P29" s="12"/>
      <c r="Q29" s="302"/>
      <c r="R29" s="11"/>
      <c r="S29" s="297"/>
      <c r="T29" s="11">
        <v>2</v>
      </c>
      <c r="U29" s="297">
        <v>326.6</v>
      </c>
      <c r="V29" s="11"/>
      <c r="W29" s="297"/>
      <c r="X29" s="11"/>
      <c r="Y29" s="297"/>
      <c r="Z29" s="11"/>
      <c r="AA29" s="297"/>
      <c r="AB29" s="11"/>
      <c r="AC29" s="297"/>
      <c r="AD29" s="11"/>
      <c r="AE29" s="297"/>
      <c r="AF29" s="240"/>
      <c r="AG29" s="240"/>
      <c r="AH29" s="677"/>
      <c r="AI29" s="240"/>
      <c r="AJ29" s="313">
        <f t="shared" si="3"/>
        <v>2</v>
      </c>
      <c r="AK29" s="315">
        <f t="shared" si="4"/>
        <v>326.6</v>
      </c>
    </row>
    <row r="30" spans="1:37" s="81" customFormat="1" ht="27" customHeight="1">
      <c r="A30" s="10" t="s">
        <v>179</v>
      </c>
      <c r="B30" s="124"/>
      <c r="C30" s="270"/>
      <c r="D30" s="12"/>
      <c r="E30" s="270"/>
      <c r="F30" s="124"/>
      <c r="G30" s="270"/>
      <c r="H30" s="14"/>
      <c r="I30" s="647"/>
      <c r="J30" s="12"/>
      <c r="K30" s="302"/>
      <c r="L30" s="12"/>
      <c r="M30" s="302"/>
      <c r="N30" s="12"/>
      <c r="O30" s="302"/>
      <c r="P30" s="12"/>
      <c r="Q30" s="302"/>
      <c r="R30" s="11"/>
      <c r="S30" s="297"/>
      <c r="T30" s="11"/>
      <c r="U30" s="297"/>
      <c r="V30" s="11"/>
      <c r="W30" s="297"/>
      <c r="X30" s="11"/>
      <c r="Y30" s="297">
        <v>83.2</v>
      </c>
      <c r="Z30" s="11"/>
      <c r="AA30" s="297"/>
      <c r="AB30" s="11"/>
      <c r="AC30" s="297"/>
      <c r="AD30" s="11"/>
      <c r="AE30" s="297"/>
      <c r="AF30" s="240"/>
      <c r="AG30" s="240"/>
      <c r="AH30" s="677"/>
      <c r="AI30" s="240"/>
      <c r="AJ30" s="313">
        <f t="shared" si="3"/>
        <v>0</v>
      </c>
      <c r="AK30" s="315">
        <f t="shared" si="4"/>
        <v>83.2</v>
      </c>
    </row>
    <row r="31" spans="1:37" s="231" customFormat="1" ht="27" customHeight="1">
      <c r="A31" s="684" t="s">
        <v>37</v>
      </c>
      <c r="B31" s="124"/>
      <c r="C31" s="270"/>
      <c r="D31" s="12"/>
      <c r="E31" s="270"/>
      <c r="F31" s="124"/>
      <c r="G31" s="270"/>
      <c r="H31" s="14"/>
      <c r="I31" s="647"/>
      <c r="J31" s="12"/>
      <c r="K31" s="302"/>
      <c r="L31" s="12"/>
      <c r="M31" s="302"/>
      <c r="N31" s="12"/>
      <c r="O31" s="302"/>
      <c r="P31" s="12"/>
      <c r="Q31" s="302"/>
      <c r="R31" s="11"/>
      <c r="S31" s="297"/>
      <c r="T31" s="11">
        <v>2</v>
      </c>
      <c r="U31" s="297">
        <v>295</v>
      </c>
      <c r="V31" s="11"/>
      <c r="W31" s="297"/>
      <c r="X31" s="11"/>
      <c r="Y31" s="297"/>
      <c r="Z31" s="11"/>
      <c r="AA31" s="297"/>
      <c r="AB31" s="11"/>
      <c r="AC31" s="297"/>
      <c r="AD31" s="11"/>
      <c r="AE31" s="297"/>
      <c r="AF31" s="240"/>
      <c r="AG31" s="240"/>
      <c r="AH31" s="677"/>
      <c r="AI31" s="240"/>
      <c r="AJ31" s="313">
        <f t="shared" si="3"/>
        <v>2</v>
      </c>
      <c r="AK31" s="315">
        <f t="shared" si="4"/>
        <v>295</v>
      </c>
    </row>
    <row r="32" spans="1:37" s="231" customFormat="1" ht="27" customHeight="1">
      <c r="A32" s="684" t="s">
        <v>291</v>
      </c>
      <c r="B32" s="124"/>
      <c r="C32" s="270">
        <v>487.8</v>
      </c>
      <c r="D32" s="12"/>
      <c r="E32" s="270"/>
      <c r="F32" s="124"/>
      <c r="G32" s="270"/>
      <c r="H32" s="14"/>
      <c r="I32" s="647"/>
      <c r="J32" s="12"/>
      <c r="K32" s="302"/>
      <c r="L32" s="12"/>
      <c r="M32" s="302"/>
      <c r="N32" s="12"/>
      <c r="O32" s="302"/>
      <c r="P32" s="12"/>
      <c r="Q32" s="302"/>
      <c r="R32" s="11"/>
      <c r="S32" s="297"/>
      <c r="T32" s="11"/>
      <c r="U32" s="297">
        <v>1324.1</v>
      </c>
      <c r="V32" s="11"/>
      <c r="W32" s="297"/>
      <c r="X32" s="11"/>
      <c r="Y32" s="297"/>
      <c r="Z32" s="11"/>
      <c r="AA32" s="297"/>
      <c r="AB32" s="11"/>
      <c r="AC32" s="297"/>
      <c r="AD32" s="11"/>
      <c r="AE32" s="297"/>
      <c r="AF32" s="240"/>
      <c r="AG32" s="240"/>
      <c r="AH32" s="677"/>
      <c r="AI32" s="240"/>
      <c r="AJ32" s="313">
        <f t="shared" si="3"/>
        <v>0</v>
      </c>
      <c r="AK32" s="315">
        <f t="shared" si="4"/>
        <v>1811.8999999999999</v>
      </c>
    </row>
    <row r="33" spans="1:37" s="231" customFormat="1" ht="27" customHeight="1">
      <c r="A33" s="684" t="s">
        <v>337</v>
      </c>
      <c r="B33" s="124"/>
      <c r="C33" s="270"/>
      <c r="D33" s="12"/>
      <c r="E33" s="270"/>
      <c r="F33" s="124"/>
      <c r="G33" s="270"/>
      <c r="H33" s="14"/>
      <c r="I33" s="647"/>
      <c r="J33" s="12"/>
      <c r="K33" s="302"/>
      <c r="L33" s="12"/>
      <c r="M33" s="302"/>
      <c r="N33" s="12"/>
      <c r="O33" s="302"/>
      <c r="P33" s="12"/>
      <c r="Q33" s="302"/>
      <c r="R33" s="11"/>
      <c r="S33" s="297"/>
      <c r="T33" s="11"/>
      <c r="U33" s="297"/>
      <c r="V33" s="11"/>
      <c r="W33" s="297">
        <v>256.4</v>
      </c>
      <c r="X33" s="11"/>
      <c r="Y33" s="297"/>
      <c r="Z33" s="11"/>
      <c r="AA33" s="297"/>
      <c r="AB33" s="11"/>
      <c r="AC33" s="297"/>
      <c r="AD33" s="11"/>
      <c r="AE33" s="297"/>
      <c r="AF33" s="240"/>
      <c r="AG33" s="240"/>
      <c r="AH33" s="677"/>
      <c r="AI33" s="240"/>
      <c r="AJ33" s="313">
        <f t="shared" si="3"/>
        <v>0</v>
      </c>
      <c r="AK33" s="315">
        <f t="shared" si="4"/>
        <v>256.4</v>
      </c>
    </row>
    <row r="34" spans="1:37" s="231" customFormat="1" ht="27" customHeight="1">
      <c r="A34" s="10" t="s">
        <v>38</v>
      </c>
      <c r="B34" s="124"/>
      <c r="C34" s="270"/>
      <c r="D34" s="12"/>
      <c r="E34" s="270"/>
      <c r="F34" s="124"/>
      <c r="G34" s="270"/>
      <c r="H34" s="14"/>
      <c r="I34" s="647"/>
      <c r="J34" s="12"/>
      <c r="K34" s="302"/>
      <c r="L34" s="12"/>
      <c r="M34" s="302"/>
      <c r="N34" s="12"/>
      <c r="O34" s="302"/>
      <c r="P34" s="12"/>
      <c r="Q34" s="302"/>
      <c r="R34" s="11"/>
      <c r="S34" s="297"/>
      <c r="T34" s="11">
        <v>2</v>
      </c>
      <c r="U34" s="297">
        <v>293.4</v>
      </c>
      <c r="V34" s="11"/>
      <c r="W34" s="297"/>
      <c r="X34" s="11"/>
      <c r="Y34" s="297"/>
      <c r="Z34" s="11"/>
      <c r="AA34" s="297"/>
      <c r="AB34" s="11"/>
      <c r="AC34" s="297"/>
      <c r="AD34" s="11"/>
      <c r="AE34" s="297"/>
      <c r="AF34" s="240"/>
      <c r="AG34" s="240"/>
      <c r="AH34" s="677"/>
      <c r="AI34" s="240"/>
      <c r="AJ34" s="313">
        <f t="shared" si="3"/>
        <v>2</v>
      </c>
      <c r="AK34" s="315">
        <f t="shared" si="4"/>
        <v>293.4</v>
      </c>
    </row>
    <row r="35" spans="1:37" s="231" customFormat="1" ht="27" customHeight="1">
      <c r="A35" s="10" t="s">
        <v>40</v>
      </c>
      <c r="B35" s="124"/>
      <c r="C35" s="270"/>
      <c r="D35" s="12"/>
      <c r="E35" s="270"/>
      <c r="F35" s="124"/>
      <c r="G35" s="270"/>
      <c r="H35" s="14"/>
      <c r="I35" s="647"/>
      <c r="J35" s="12"/>
      <c r="K35" s="302"/>
      <c r="L35" s="12"/>
      <c r="M35" s="302"/>
      <c r="N35" s="12"/>
      <c r="O35" s="302"/>
      <c r="P35" s="12"/>
      <c r="Q35" s="302"/>
      <c r="R35" s="11"/>
      <c r="S35" s="297"/>
      <c r="T35" s="11">
        <v>1</v>
      </c>
      <c r="U35" s="297">
        <v>148.8</v>
      </c>
      <c r="V35" s="11"/>
      <c r="W35" s="297"/>
      <c r="X35" s="11"/>
      <c r="Y35" s="297"/>
      <c r="Z35" s="11"/>
      <c r="AA35" s="297"/>
      <c r="AB35" s="11"/>
      <c r="AC35" s="297"/>
      <c r="AD35" s="11"/>
      <c r="AE35" s="297"/>
      <c r="AF35" s="240"/>
      <c r="AG35" s="240"/>
      <c r="AH35" s="677"/>
      <c r="AI35" s="240"/>
      <c r="AJ35" s="313">
        <f t="shared" si="3"/>
        <v>1</v>
      </c>
      <c r="AK35" s="315">
        <f t="shared" si="4"/>
        <v>148.8</v>
      </c>
    </row>
    <row r="36" spans="1:37" s="231" customFormat="1" ht="27" customHeight="1">
      <c r="A36" s="10" t="s">
        <v>41</v>
      </c>
      <c r="B36" s="124"/>
      <c r="C36" s="270"/>
      <c r="D36" s="12"/>
      <c r="E36" s="270"/>
      <c r="F36" s="124"/>
      <c r="G36" s="270"/>
      <c r="H36" s="14"/>
      <c r="I36" s="647"/>
      <c r="J36" s="12"/>
      <c r="K36" s="302"/>
      <c r="L36" s="12"/>
      <c r="M36" s="302"/>
      <c r="N36" s="12"/>
      <c r="O36" s="302"/>
      <c r="P36" s="12"/>
      <c r="Q36" s="302"/>
      <c r="R36" s="11"/>
      <c r="S36" s="297"/>
      <c r="T36" s="11"/>
      <c r="U36" s="297"/>
      <c r="V36" s="11"/>
      <c r="W36" s="297"/>
      <c r="X36" s="11"/>
      <c r="Y36" s="297">
        <v>447.1</v>
      </c>
      <c r="Z36" s="11"/>
      <c r="AA36" s="297"/>
      <c r="AB36" s="11"/>
      <c r="AC36" s="297"/>
      <c r="AD36" s="11"/>
      <c r="AE36" s="297"/>
      <c r="AF36" s="240"/>
      <c r="AG36" s="240"/>
      <c r="AH36" s="677"/>
      <c r="AI36" s="240"/>
      <c r="AJ36" s="313">
        <f t="shared" si="3"/>
        <v>0</v>
      </c>
      <c r="AK36" s="315">
        <f t="shared" si="4"/>
        <v>447.1</v>
      </c>
    </row>
    <row r="37" spans="1:37" s="231" customFormat="1" ht="27" customHeight="1">
      <c r="A37" s="684" t="s">
        <v>42</v>
      </c>
      <c r="B37" s="124"/>
      <c r="C37" s="270"/>
      <c r="D37" s="12"/>
      <c r="E37" s="270"/>
      <c r="F37" s="124"/>
      <c r="G37" s="270"/>
      <c r="H37" s="14"/>
      <c r="I37" s="647"/>
      <c r="J37" s="12"/>
      <c r="K37" s="302"/>
      <c r="L37" s="12"/>
      <c r="M37" s="302"/>
      <c r="N37" s="12"/>
      <c r="O37" s="302"/>
      <c r="P37" s="12"/>
      <c r="Q37" s="302"/>
      <c r="R37" s="11"/>
      <c r="S37" s="297"/>
      <c r="T37" s="11">
        <v>2</v>
      </c>
      <c r="U37" s="297">
        <f>232.2+404.3</f>
        <v>636.5</v>
      </c>
      <c r="V37" s="11"/>
      <c r="W37" s="297"/>
      <c r="X37" s="11"/>
      <c r="Y37" s="297"/>
      <c r="Z37" s="11"/>
      <c r="AA37" s="297">
        <v>138.1</v>
      </c>
      <c r="AB37" s="11"/>
      <c r="AC37" s="297">
        <v>6983.2</v>
      </c>
      <c r="AD37" s="11"/>
      <c r="AE37" s="297"/>
      <c r="AF37" s="240"/>
      <c r="AG37" s="240"/>
      <c r="AH37" s="677"/>
      <c r="AI37" s="240"/>
      <c r="AJ37" s="313">
        <f t="shared" si="3"/>
        <v>2</v>
      </c>
      <c r="AK37" s="315">
        <f t="shared" si="4"/>
        <v>7757.8</v>
      </c>
    </row>
    <row r="38" spans="1:37" ht="21.75" customHeight="1">
      <c r="A38" s="10" t="s">
        <v>44</v>
      </c>
      <c r="B38" s="124"/>
      <c r="C38" s="270"/>
      <c r="D38" s="12"/>
      <c r="E38" s="270"/>
      <c r="F38" s="124"/>
      <c r="G38" s="270"/>
      <c r="H38" s="14"/>
      <c r="I38" s="647"/>
      <c r="J38" s="12"/>
      <c r="K38" s="302"/>
      <c r="L38" s="12"/>
      <c r="M38" s="302"/>
      <c r="N38" s="12"/>
      <c r="O38" s="302"/>
      <c r="P38" s="12"/>
      <c r="Q38" s="302"/>
      <c r="R38" s="11"/>
      <c r="S38" s="297"/>
      <c r="T38" s="11">
        <v>1</v>
      </c>
      <c r="U38" s="297">
        <v>119.1</v>
      </c>
      <c r="V38" s="11"/>
      <c r="W38" s="297">
        <v>851.9</v>
      </c>
      <c r="X38" s="11"/>
      <c r="Y38" s="297"/>
      <c r="Z38" s="11"/>
      <c r="AA38" s="297"/>
      <c r="AB38" s="11"/>
      <c r="AC38" s="297"/>
      <c r="AD38" s="11"/>
      <c r="AE38" s="297"/>
      <c r="AF38" s="240"/>
      <c r="AG38" s="240"/>
      <c r="AH38" s="677"/>
      <c r="AI38" s="240"/>
      <c r="AJ38" s="313">
        <f t="shared" si="3"/>
        <v>1</v>
      </c>
      <c r="AK38" s="315">
        <f t="shared" si="4"/>
        <v>971</v>
      </c>
    </row>
    <row r="39" spans="1:37" ht="21.75" customHeight="1">
      <c r="A39" s="10" t="s">
        <v>161</v>
      </c>
      <c r="B39" s="124"/>
      <c r="C39" s="270"/>
      <c r="D39" s="12"/>
      <c r="E39" s="270"/>
      <c r="F39" s="124"/>
      <c r="G39" s="270"/>
      <c r="H39" s="14"/>
      <c r="I39" s="647"/>
      <c r="J39" s="12"/>
      <c r="K39" s="302"/>
      <c r="L39" s="12"/>
      <c r="M39" s="302"/>
      <c r="N39" s="12"/>
      <c r="O39" s="302"/>
      <c r="P39" s="12"/>
      <c r="Q39" s="302"/>
      <c r="R39" s="11"/>
      <c r="S39" s="297"/>
      <c r="T39" s="11"/>
      <c r="U39" s="297"/>
      <c r="V39" s="11"/>
      <c r="W39" s="297"/>
      <c r="X39" s="11">
        <v>2</v>
      </c>
      <c r="Y39" s="297">
        <v>491.4</v>
      </c>
      <c r="Z39" s="11"/>
      <c r="AA39" s="297"/>
      <c r="AB39" s="11"/>
      <c r="AC39" s="297"/>
      <c r="AD39" s="11"/>
      <c r="AE39" s="297"/>
      <c r="AF39" s="240"/>
      <c r="AG39" s="240"/>
      <c r="AH39" s="677"/>
      <c r="AI39" s="240"/>
      <c r="AJ39" s="313">
        <f t="shared" si="3"/>
        <v>2</v>
      </c>
      <c r="AK39" s="315">
        <f t="shared" si="4"/>
        <v>491.4</v>
      </c>
    </row>
    <row r="40" spans="1:37" ht="21.75" customHeight="1">
      <c r="A40" s="684" t="s">
        <v>366</v>
      </c>
      <c r="B40" s="124"/>
      <c r="C40" s="270"/>
      <c r="D40" s="12"/>
      <c r="E40" s="270"/>
      <c r="F40" s="124"/>
      <c r="G40" s="270"/>
      <c r="H40" s="14"/>
      <c r="I40" s="647"/>
      <c r="J40" s="12"/>
      <c r="K40" s="302"/>
      <c r="L40" s="12"/>
      <c r="M40" s="302"/>
      <c r="N40" s="12"/>
      <c r="O40" s="302"/>
      <c r="P40" s="12"/>
      <c r="Q40" s="302"/>
      <c r="R40" s="11"/>
      <c r="S40" s="297"/>
      <c r="T40" s="11">
        <v>2</v>
      </c>
      <c r="U40" s="297">
        <v>279.8</v>
      </c>
      <c r="V40" s="11"/>
      <c r="W40" s="297"/>
      <c r="X40" s="11"/>
      <c r="Y40" s="297"/>
      <c r="Z40" s="11"/>
      <c r="AA40" s="297"/>
      <c r="AB40" s="11"/>
      <c r="AC40" s="297"/>
      <c r="AD40" s="11"/>
      <c r="AE40" s="297"/>
      <c r="AF40" s="240"/>
      <c r="AG40" s="240"/>
      <c r="AH40" s="677"/>
      <c r="AI40" s="240"/>
      <c r="AJ40" s="313">
        <f t="shared" si="3"/>
        <v>2</v>
      </c>
      <c r="AK40" s="315">
        <f t="shared" si="4"/>
        <v>279.8</v>
      </c>
    </row>
    <row r="41" spans="1:37" ht="23.25" customHeight="1">
      <c r="A41" s="684" t="s">
        <v>45</v>
      </c>
      <c r="B41" s="124"/>
      <c r="C41" s="270"/>
      <c r="D41" s="12"/>
      <c r="E41" s="270"/>
      <c r="F41" s="124"/>
      <c r="G41" s="270"/>
      <c r="H41" s="14"/>
      <c r="I41" s="647"/>
      <c r="J41" s="12"/>
      <c r="K41" s="302"/>
      <c r="L41" s="12"/>
      <c r="M41" s="302"/>
      <c r="N41" s="12"/>
      <c r="O41" s="302"/>
      <c r="P41" s="12"/>
      <c r="Q41" s="302"/>
      <c r="R41" s="11"/>
      <c r="S41" s="297"/>
      <c r="T41" s="11">
        <v>2</v>
      </c>
      <c r="U41" s="297">
        <v>226.2</v>
      </c>
      <c r="V41" s="11"/>
      <c r="W41" s="297"/>
      <c r="X41" s="11"/>
      <c r="Y41" s="297"/>
      <c r="Z41" s="11"/>
      <c r="AA41" s="297"/>
      <c r="AB41" s="11"/>
      <c r="AC41" s="297"/>
      <c r="AD41" s="11"/>
      <c r="AE41" s="297"/>
      <c r="AF41" s="240"/>
      <c r="AG41" s="240"/>
      <c r="AH41" s="677"/>
      <c r="AI41" s="240"/>
      <c r="AJ41" s="313">
        <f t="shared" si="3"/>
        <v>2</v>
      </c>
      <c r="AK41" s="315">
        <f t="shared" si="4"/>
        <v>226.2</v>
      </c>
    </row>
    <row r="42" spans="1:37" ht="22.5" customHeight="1">
      <c r="A42" s="10" t="s">
        <v>46</v>
      </c>
      <c r="B42" s="124"/>
      <c r="C42" s="270"/>
      <c r="D42" s="12"/>
      <c r="E42" s="270"/>
      <c r="F42" s="124"/>
      <c r="G42" s="270"/>
      <c r="H42" s="14"/>
      <c r="I42" s="647"/>
      <c r="J42" s="12"/>
      <c r="K42" s="302"/>
      <c r="L42" s="12"/>
      <c r="M42" s="302"/>
      <c r="N42" s="12"/>
      <c r="O42" s="302"/>
      <c r="P42" s="12"/>
      <c r="Q42" s="302"/>
      <c r="R42" s="11"/>
      <c r="S42" s="297"/>
      <c r="T42" s="11"/>
      <c r="U42" s="297">
        <v>392.3</v>
      </c>
      <c r="V42" s="11"/>
      <c r="W42" s="297"/>
      <c r="X42" s="11"/>
      <c r="Y42" s="297"/>
      <c r="Z42" s="11"/>
      <c r="AA42" s="297"/>
      <c r="AB42" s="11"/>
      <c r="AC42" s="297"/>
      <c r="AD42" s="11"/>
      <c r="AE42" s="297"/>
      <c r="AF42" s="240"/>
      <c r="AG42" s="240"/>
      <c r="AH42" s="677"/>
      <c r="AI42" s="240"/>
      <c r="AJ42" s="313">
        <f t="shared" si="3"/>
        <v>0</v>
      </c>
      <c r="AK42" s="315">
        <f t="shared" si="4"/>
        <v>392.3</v>
      </c>
    </row>
    <row r="43" spans="1:37" ht="23.25" customHeight="1">
      <c r="A43" s="15" t="s">
        <v>47</v>
      </c>
      <c r="B43" s="179"/>
      <c r="C43" s="479"/>
      <c r="D43" s="468"/>
      <c r="E43" s="479"/>
      <c r="F43" s="179"/>
      <c r="G43" s="479"/>
      <c r="H43" s="17"/>
      <c r="I43" s="648"/>
      <c r="J43" s="468"/>
      <c r="K43" s="469"/>
      <c r="L43" s="468"/>
      <c r="M43" s="469"/>
      <c r="N43" s="468"/>
      <c r="O43" s="469"/>
      <c r="P43" s="468"/>
      <c r="Q43" s="469"/>
      <c r="R43" s="16"/>
      <c r="S43" s="298"/>
      <c r="T43" s="16">
        <v>2</v>
      </c>
      <c r="U43" s="298">
        <v>416.1</v>
      </c>
      <c r="V43" s="16"/>
      <c r="W43" s="298"/>
      <c r="X43" s="16"/>
      <c r="Y43" s="298"/>
      <c r="Z43" s="16"/>
      <c r="AA43" s="298"/>
      <c r="AB43" s="16"/>
      <c r="AC43" s="298"/>
      <c r="AD43" s="16"/>
      <c r="AE43" s="298"/>
      <c r="AF43" s="269"/>
      <c r="AG43" s="269"/>
      <c r="AH43" s="866"/>
      <c r="AI43" s="269"/>
      <c r="AJ43" s="313">
        <f t="shared" si="3"/>
        <v>2</v>
      </c>
      <c r="AK43" s="315">
        <f t="shared" si="4"/>
        <v>416.1</v>
      </c>
    </row>
    <row r="44" spans="1:37" ht="23.25" customHeight="1">
      <c r="A44" s="905" t="s">
        <v>688</v>
      </c>
      <c r="B44" s="906"/>
      <c r="C44" s="913"/>
      <c r="D44" s="914"/>
      <c r="E44" s="913"/>
      <c r="F44" s="906"/>
      <c r="G44" s="913"/>
      <c r="H44" s="915"/>
      <c r="I44" s="916"/>
      <c r="J44" s="914"/>
      <c r="K44" s="917"/>
      <c r="L44" s="914"/>
      <c r="M44" s="917"/>
      <c r="N44" s="914"/>
      <c r="O44" s="917"/>
      <c r="P44" s="914"/>
      <c r="Q44" s="917"/>
      <c r="R44" s="908"/>
      <c r="S44" s="909"/>
      <c r="T44" s="908"/>
      <c r="U44" s="909"/>
      <c r="V44" s="908"/>
      <c r="W44" s="909"/>
      <c r="X44" s="908"/>
      <c r="Y44" s="909"/>
      <c r="Z44" s="908"/>
      <c r="AA44" s="909"/>
      <c r="AB44" s="908"/>
      <c r="AC44" s="909"/>
      <c r="AD44" s="908"/>
      <c r="AE44" s="909"/>
      <c r="AF44" s="907"/>
      <c r="AG44" s="907"/>
      <c r="AH44" s="910"/>
      <c r="AI44" s="907"/>
      <c r="AJ44" s="911"/>
      <c r="AK44" s="912"/>
    </row>
    <row r="45" spans="1:37" ht="23.25" customHeight="1">
      <c r="A45" s="10" t="s">
        <v>138</v>
      </c>
      <c r="B45" s="124"/>
      <c r="C45" s="270">
        <v>461.7</v>
      </c>
      <c r="D45" s="12"/>
      <c r="E45" s="270"/>
      <c r="F45" s="124"/>
      <c r="G45" s="270"/>
      <c r="H45" s="14"/>
      <c r="I45" s="647"/>
      <c r="J45" s="12"/>
      <c r="K45" s="302"/>
      <c r="L45" s="12"/>
      <c r="M45" s="302"/>
      <c r="N45" s="12"/>
      <c r="O45" s="302"/>
      <c r="P45" s="12"/>
      <c r="Q45" s="302"/>
      <c r="R45" s="11"/>
      <c r="S45" s="297"/>
      <c r="T45" s="11"/>
      <c r="U45" s="297"/>
      <c r="V45" s="11"/>
      <c r="W45" s="297"/>
      <c r="X45" s="11">
        <v>2</v>
      </c>
      <c r="Y45" s="297">
        <v>394.4</v>
      </c>
      <c r="Z45" s="11"/>
      <c r="AA45" s="297"/>
      <c r="AB45" s="11"/>
      <c r="AC45" s="297"/>
      <c r="AD45" s="11"/>
      <c r="AE45" s="297"/>
      <c r="AF45" s="240"/>
      <c r="AG45" s="240"/>
      <c r="AH45" s="677"/>
      <c r="AI45" s="240"/>
      <c r="AJ45" s="313">
        <f aca="true" t="shared" si="5" ref="AJ45:AK47">SUM(B45,D45,F45,H45,J45,L45,N45,P45,R45,V45,T45,X45,Z45,AB45,AD45,AF45,AH45)</f>
        <v>2</v>
      </c>
      <c r="AK45" s="315">
        <f t="shared" si="5"/>
        <v>856.0999999999999</v>
      </c>
    </row>
    <row r="46" spans="1:37" ht="23.25" customHeight="1">
      <c r="A46" s="15" t="s">
        <v>52</v>
      </c>
      <c r="B46" s="179"/>
      <c r="C46" s="479"/>
      <c r="D46" s="468"/>
      <c r="E46" s="479"/>
      <c r="F46" s="179"/>
      <c r="G46" s="479"/>
      <c r="H46" s="17"/>
      <c r="I46" s="648"/>
      <c r="J46" s="468"/>
      <c r="K46" s="469"/>
      <c r="L46" s="468"/>
      <c r="M46" s="469"/>
      <c r="N46" s="468"/>
      <c r="O46" s="469"/>
      <c r="P46" s="468"/>
      <c r="Q46" s="469"/>
      <c r="R46" s="16"/>
      <c r="S46" s="298"/>
      <c r="T46" s="16"/>
      <c r="U46" s="298"/>
      <c r="V46" s="16"/>
      <c r="W46" s="298"/>
      <c r="X46" s="16"/>
      <c r="Y46" s="298"/>
      <c r="Z46" s="16"/>
      <c r="AA46" s="298"/>
      <c r="AB46" s="16"/>
      <c r="AC46" s="298"/>
      <c r="AD46" s="16"/>
      <c r="AE46" s="298">
        <v>296.9</v>
      </c>
      <c r="AF46" s="269"/>
      <c r="AG46" s="269"/>
      <c r="AH46" s="866"/>
      <c r="AI46" s="269"/>
      <c r="AJ46" s="313">
        <f t="shared" si="5"/>
        <v>0</v>
      </c>
      <c r="AK46" s="315">
        <f t="shared" si="5"/>
        <v>296.9</v>
      </c>
    </row>
    <row r="47" spans="1:37" s="108" customFormat="1" ht="20.25" customHeight="1" thickBot="1">
      <c r="A47" s="905" t="s">
        <v>472</v>
      </c>
      <c r="B47" s="927"/>
      <c r="C47" s="928"/>
      <c r="D47" s="929"/>
      <c r="E47" s="928"/>
      <c r="F47" s="927"/>
      <c r="G47" s="928"/>
      <c r="H47" s="929"/>
      <c r="I47" s="930">
        <v>28237.9</v>
      </c>
      <c r="J47" s="931"/>
      <c r="K47" s="930"/>
      <c r="L47" s="931"/>
      <c r="M47" s="930"/>
      <c r="N47" s="932"/>
      <c r="O47" s="917"/>
      <c r="P47" s="932"/>
      <c r="Q47" s="917"/>
      <c r="R47" s="915"/>
      <c r="S47" s="917"/>
      <c r="T47" s="932">
        <f>250+140+200</f>
        <v>590</v>
      </c>
      <c r="U47" s="917">
        <f>93.5+163.5+299.6+79.2+436.7+122.4+4.3</f>
        <v>1199.2</v>
      </c>
      <c r="V47" s="915"/>
      <c r="W47" s="917"/>
      <c r="X47" s="914"/>
      <c r="Y47" s="917"/>
      <c r="Z47" s="933"/>
      <c r="AA47" s="934"/>
      <c r="AB47" s="931">
        <f>71+38</f>
        <v>109</v>
      </c>
      <c r="AC47" s="930">
        <f>9557.5+600+3.2+158.9+113.1+2.5+4617.7+16.6+252.7+355+1134.5</f>
        <v>16811.700000000004</v>
      </c>
      <c r="AD47" s="933"/>
      <c r="AE47" s="930"/>
      <c r="AF47" s="935"/>
      <c r="AG47" s="935"/>
      <c r="AH47" s="936"/>
      <c r="AI47" s="935"/>
      <c r="AJ47" s="1159">
        <f t="shared" si="5"/>
        <v>699</v>
      </c>
      <c r="AK47" s="1160">
        <f t="shared" si="5"/>
        <v>46248.8</v>
      </c>
    </row>
    <row r="48" spans="1:37" s="108" customFormat="1" ht="20.25" customHeight="1" thickBot="1">
      <c r="A48" s="322" t="s">
        <v>53</v>
      </c>
      <c r="B48" s="476">
        <f>SUM(B5:B47)</f>
        <v>122</v>
      </c>
      <c r="C48" s="475">
        <f>SUM(C5:C47)</f>
        <v>18283.6</v>
      </c>
      <c r="D48" s="476">
        <f>SUM(D5:D47)</f>
        <v>13</v>
      </c>
      <c r="E48" s="475">
        <f>SUM(E5:E47)</f>
        <v>2341.8</v>
      </c>
      <c r="F48" s="476"/>
      <c r="G48" s="475">
        <f>SUM(G5:G47)</f>
        <v>779</v>
      </c>
      <c r="H48" s="476">
        <f>SUM(H5:H47)</f>
        <v>637</v>
      </c>
      <c r="I48" s="475">
        <f>SUM(I5:I47)</f>
        <v>127725.1</v>
      </c>
      <c r="J48" s="476"/>
      <c r="K48" s="475">
        <f aca="true" t="shared" si="6" ref="K48:AK48">SUM(K5:K47)</f>
        <v>183.9</v>
      </c>
      <c r="L48" s="476">
        <f t="shared" si="6"/>
        <v>10</v>
      </c>
      <c r="M48" s="475">
        <f t="shared" si="6"/>
        <v>3108.6</v>
      </c>
      <c r="N48" s="476">
        <f t="shared" si="6"/>
        <v>1</v>
      </c>
      <c r="O48" s="475">
        <f t="shared" si="6"/>
        <v>451.9</v>
      </c>
      <c r="P48" s="476">
        <f t="shared" si="6"/>
        <v>206</v>
      </c>
      <c r="Q48" s="475">
        <f t="shared" si="6"/>
        <v>2192.9</v>
      </c>
      <c r="R48" s="476">
        <f t="shared" si="6"/>
        <v>13</v>
      </c>
      <c r="S48" s="475">
        <f t="shared" si="6"/>
        <v>8494.9</v>
      </c>
      <c r="T48" s="476">
        <f t="shared" si="6"/>
        <v>731</v>
      </c>
      <c r="U48" s="475">
        <f t="shared" si="6"/>
        <v>49534.700000000004</v>
      </c>
      <c r="V48" s="476">
        <f t="shared" si="6"/>
        <v>117</v>
      </c>
      <c r="W48" s="475">
        <f t="shared" si="6"/>
        <v>28933.9</v>
      </c>
      <c r="X48" s="476">
        <f t="shared" si="6"/>
        <v>17</v>
      </c>
      <c r="Y48" s="475">
        <f t="shared" si="6"/>
        <v>9850.4</v>
      </c>
      <c r="Z48" s="476">
        <f t="shared" si="6"/>
        <v>61</v>
      </c>
      <c r="AA48" s="475">
        <f t="shared" si="6"/>
        <v>21650.399999999998</v>
      </c>
      <c r="AB48" s="476">
        <f t="shared" si="6"/>
        <v>183</v>
      </c>
      <c r="AC48" s="475">
        <f t="shared" si="6"/>
        <v>33798.3</v>
      </c>
      <c r="AD48" s="476">
        <f t="shared" si="6"/>
        <v>20</v>
      </c>
      <c r="AE48" s="475">
        <f t="shared" si="6"/>
        <v>1225.4</v>
      </c>
      <c r="AF48" s="476">
        <f t="shared" si="6"/>
        <v>0</v>
      </c>
      <c r="AG48" s="475">
        <f t="shared" si="6"/>
        <v>0</v>
      </c>
      <c r="AH48" s="476">
        <f t="shared" si="6"/>
        <v>5</v>
      </c>
      <c r="AI48" s="475">
        <f t="shared" si="6"/>
        <v>1023.2</v>
      </c>
      <c r="AJ48" s="476">
        <f t="shared" si="6"/>
        <v>2138</v>
      </c>
      <c r="AK48" s="475">
        <f t="shared" si="6"/>
        <v>309577.99999999994</v>
      </c>
    </row>
    <row r="49" spans="3:37" s="108" customFormat="1" ht="20.25" customHeight="1">
      <c r="C49" s="236"/>
      <c r="E49" s="236"/>
      <c r="G49" s="236"/>
      <c r="I49" s="650"/>
      <c r="K49" s="650"/>
      <c r="M49" s="650"/>
      <c r="O49" s="650"/>
      <c r="P49" s="650"/>
      <c r="Q49" s="650"/>
      <c r="S49" s="650"/>
      <c r="U49" s="650"/>
      <c r="W49" s="650"/>
      <c r="Y49" s="650"/>
      <c r="AA49" s="650"/>
      <c r="AC49" s="650"/>
      <c r="AE49" s="650"/>
      <c r="AF49" s="236"/>
      <c r="AG49" s="236"/>
      <c r="AI49" s="650"/>
      <c r="AK49" s="583"/>
    </row>
    <row r="50" spans="3:37" s="108" customFormat="1" ht="20.25" customHeight="1">
      <c r="C50" s="236"/>
      <c r="E50" s="236"/>
      <c r="G50" s="236"/>
      <c r="I50" s="650"/>
      <c r="K50" s="650"/>
      <c r="M50" s="650"/>
      <c r="O50" s="650"/>
      <c r="P50" s="650"/>
      <c r="Q50" s="650"/>
      <c r="S50" s="650"/>
      <c r="U50" s="650"/>
      <c r="W50" s="650"/>
      <c r="Y50" s="650"/>
      <c r="AA50" s="650"/>
      <c r="AC50" s="650"/>
      <c r="AE50" s="650"/>
      <c r="AF50" s="236"/>
      <c r="AG50" s="236"/>
      <c r="AI50" s="650"/>
      <c r="AK50" s="583"/>
    </row>
    <row r="51" spans="3:37" s="108" customFormat="1" ht="21.75" customHeight="1">
      <c r="C51" s="236"/>
      <c r="E51" s="236"/>
      <c r="G51" s="236"/>
      <c r="I51" s="650"/>
      <c r="K51" s="650"/>
      <c r="M51" s="650"/>
      <c r="O51" s="650"/>
      <c r="P51" s="650"/>
      <c r="Q51" s="650"/>
      <c r="S51" s="650"/>
      <c r="U51" s="650"/>
      <c r="W51" s="650"/>
      <c r="Y51" s="650"/>
      <c r="AA51" s="650"/>
      <c r="AC51" s="650"/>
      <c r="AE51" s="650"/>
      <c r="AF51" s="236"/>
      <c r="AG51" s="236"/>
      <c r="AI51" s="650"/>
      <c r="AK51" s="583"/>
    </row>
    <row r="52" spans="3:37" s="108" customFormat="1" ht="20.25" customHeight="1">
      <c r="C52" s="236"/>
      <c r="E52" s="236"/>
      <c r="G52" s="236"/>
      <c r="I52" s="650"/>
      <c r="K52" s="650"/>
      <c r="M52" s="650"/>
      <c r="O52" s="650"/>
      <c r="P52" s="650"/>
      <c r="Q52" s="650"/>
      <c r="S52" s="650"/>
      <c r="U52" s="650"/>
      <c r="W52" s="650"/>
      <c r="Y52" s="650"/>
      <c r="AA52" s="650"/>
      <c r="AC52" s="650"/>
      <c r="AE52" s="650"/>
      <c r="AF52" s="236"/>
      <c r="AG52" s="236"/>
      <c r="AI52" s="650"/>
      <c r="AK52" s="583"/>
    </row>
    <row r="53" spans="3:37" s="108" customFormat="1" ht="24" customHeight="1">
      <c r="C53" s="236"/>
      <c r="E53" s="236"/>
      <c r="G53" s="236"/>
      <c r="I53" s="650"/>
      <c r="K53" s="650"/>
      <c r="M53" s="650"/>
      <c r="O53" s="650"/>
      <c r="P53" s="650"/>
      <c r="Q53" s="650"/>
      <c r="S53" s="650"/>
      <c r="U53" s="650"/>
      <c r="W53" s="650"/>
      <c r="Y53" s="650"/>
      <c r="AA53" s="650"/>
      <c r="AC53" s="650"/>
      <c r="AE53" s="650"/>
      <c r="AF53" s="236"/>
      <c r="AG53" s="236"/>
      <c r="AI53" s="650"/>
      <c r="AK53" s="583"/>
    </row>
    <row r="54" spans="3:37" s="108" customFormat="1" ht="12.75">
      <c r="C54" s="236"/>
      <c r="E54" s="236"/>
      <c r="G54" s="236"/>
      <c r="I54" s="650"/>
      <c r="K54" s="650"/>
      <c r="M54" s="650"/>
      <c r="O54" s="650"/>
      <c r="P54" s="650"/>
      <c r="Q54" s="650"/>
      <c r="S54" s="650"/>
      <c r="U54" s="650"/>
      <c r="W54" s="650"/>
      <c r="Y54" s="650"/>
      <c r="AA54" s="650"/>
      <c r="AC54" s="650"/>
      <c r="AE54" s="650"/>
      <c r="AF54" s="236"/>
      <c r="AG54" s="236"/>
      <c r="AI54" s="650"/>
      <c r="AK54" s="583"/>
    </row>
    <row r="55" spans="3:37" s="108" customFormat="1" ht="12.75">
      <c r="C55" s="236"/>
      <c r="E55" s="236"/>
      <c r="G55" s="236"/>
      <c r="I55" s="650"/>
      <c r="K55" s="650"/>
      <c r="M55" s="650"/>
      <c r="O55" s="650"/>
      <c r="P55" s="650"/>
      <c r="Q55" s="650"/>
      <c r="S55" s="650"/>
      <c r="U55" s="650"/>
      <c r="W55" s="650"/>
      <c r="Y55" s="650"/>
      <c r="AA55" s="650"/>
      <c r="AC55" s="650"/>
      <c r="AE55" s="650"/>
      <c r="AF55" s="236"/>
      <c r="AG55" s="236"/>
      <c r="AI55" s="650"/>
      <c r="AK55" s="583"/>
    </row>
  </sheetData>
  <sheetProtection/>
  <mergeCells count="19">
    <mergeCell ref="A2:A3"/>
    <mergeCell ref="B2:C2"/>
    <mergeCell ref="D2:E2"/>
    <mergeCell ref="N2:O2"/>
    <mergeCell ref="J2:K2"/>
    <mergeCell ref="V2:W2"/>
    <mergeCell ref="L2:M2"/>
    <mergeCell ref="T2:U2"/>
    <mergeCell ref="R2:S2"/>
    <mergeCell ref="P2:Q2"/>
    <mergeCell ref="F2:G2"/>
    <mergeCell ref="H2:I2"/>
    <mergeCell ref="AJ2:AK2"/>
    <mergeCell ref="AB2:AC2"/>
    <mergeCell ref="Z2:AA2"/>
    <mergeCell ref="AD2:AE2"/>
    <mergeCell ref="X2:Y2"/>
    <mergeCell ref="AF2:AG2"/>
    <mergeCell ref="AH2:AI2"/>
  </mergeCells>
  <printOptions horizontalCentered="1"/>
  <pageMargins left="0" right="0" top="0.511811023622047" bottom="0.551181102362205" header="0.15748031496063" footer="0"/>
  <pageSetup horizontalDpi="600" verticalDpi="600" orientation="landscape" paperSize="9" scale="90" r:id="rId1"/>
  <headerFooter alignWithMargins="0">
    <oddHeader>&amp;L&amp;"Arial,Bold"&amp;9Appendix IV : Fellowship under Bilateral Programme (TICP FY2019)
</oddHeader>
  </headerFooter>
</worksheet>
</file>

<file path=xl/worksheets/sheet5.xml><?xml version="1.0" encoding="utf-8"?>
<worksheet xmlns="http://schemas.openxmlformats.org/spreadsheetml/2006/main" xmlns:r="http://schemas.openxmlformats.org/officeDocument/2006/relationships">
  <sheetPr>
    <tabColor indexed="14"/>
  </sheetPr>
  <dimension ref="A1:Q188"/>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60" sqref="A160"/>
    </sheetView>
  </sheetViews>
  <sheetFormatPr defaultColWidth="9.140625" defaultRowHeight="12.75"/>
  <cols>
    <col min="1" max="1" width="13.7109375" style="204" customWidth="1"/>
    <col min="2" max="2" width="4.7109375" style="188" customWidth="1"/>
    <col min="3" max="3" width="46.28125" style="204" customWidth="1"/>
    <col min="4" max="4" width="7.8515625" style="397" bestFit="1" customWidth="1"/>
    <col min="5" max="5" width="9.00390625" style="386" customWidth="1"/>
    <col min="6" max="6" width="4.421875" style="397" customWidth="1"/>
    <col min="7" max="7" width="9.00390625" style="386" customWidth="1"/>
    <col min="8" max="8" width="5.00390625" style="398" customWidth="1"/>
    <col min="9" max="9" width="10.00390625" style="386" bestFit="1" customWidth="1"/>
    <col min="10" max="10" width="5.00390625" style="386" customWidth="1"/>
    <col min="11" max="11" width="8.421875" style="386" customWidth="1"/>
    <col min="12" max="12" width="9.140625" style="386" customWidth="1"/>
    <col min="13" max="13" width="10.00390625" style="386" customWidth="1"/>
    <col min="14" max="14" width="10.28125" style="386" bestFit="1" customWidth="1"/>
    <col min="15" max="16384" width="9.140625" style="204" customWidth="1"/>
  </cols>
  <sheetData>
    <row r="1" spans="1:13" ht="22.5" thickBot="1">
      <c r="A1" s="367" t="s">
        <v>474</v>
      </c>
      <c r="B1" s="409"/>
      <c r="C1" s="384"/>
      <c r="D1" s="359"/>
      <c r="E1" s="358"/>
      <c r="F1" s="359"/>
      <c r="G1" s="358"/>
      <c r="H1" s="385"/>
      <c r="M1" s="297" t="s">
        <v>89</v>
      </c>
    </row>
    <row r="2" spans="1:14" s="399" customFormat="1" ht="22.5" thickBot="1">
      <c r="A2" s="1363" t="s">
        <v>1</v>
      </c>
      <c r="B2" s="1365"/>
      <c r="C2" s="1363" t="s">
        <v>90</v>
      </c>
      <c r="D2" s="1358" t="s">
        <v>103</v>
      </c>
      <c r="E2" s="1358"/>
      <c r="F2" s="1358" t="s">
        <v>58</v>
      </c>
      <c r="G2" s="1358"/>
      <c r="H2" s="1358" t="s">
        <v>59</v>
      </c>
      <c r="I2" s="1358"/>
      <c r="J2" s="1358" t="s">
        <v>372</v>
      </c>
      <c r="K2" s="1358"/>
      <c r="L2" s="1359" t="s">
        <v>55</v>
      </c>
      <c r="M2" s="1361" t="s">
        <v>56</v>
      </c>
      <c r="N2" s="1361" t="s">
        <v>57</v>
      </c>
    </row>
    <row r="3" spans="1:14" s="399" customFormat="1" ht="27" customHeight="1" thickBot="1">
      <c r="A3" s="1364"/>
      <c r="B3" s="1366"/>
      <c r="C3" s="1367"/>
      <c r="D3" s="368" t="s">
        <v>10</v>
      </c>
      <c r="E3" s="369" t="s">
        <v>9</v>
      </c>
      <c r="F3" s="493" t="s">
        <v>10</v>
      </c>
      <c r="G3" s="589" t="s">
        <v>9</v>
      </c>
      <c r="H3" s="493" t="s">
        <v>10</v>
      </c>
      <c r="I3" s="589" t="s">
        <v>9</v>
      </c>
      <c r="J3" s="493" t="s">
        <v>10</v>
      </c>
      <c r="K3" s="589" t="s">
        <v>9</v>
      </c>
      <c r="L3" s="1360"/>
      <c r="M3" s="1362"/>
      <c r="N3" s="1362"/>
    </row>
    <row r="4" spans="1:14" s="701" customFormat="1" ht="42">
      <c r="A4" s="718" t="s">
        <v>241</v>
      </c>
      <c r="B4" s="705"/>
      <c r="C4" s="360" t="s">
        <v>92</v>
      </c>
      <c r="D4" s="401"/>
      <c r="E4" s="376"/>
      <c r="F4" s="401"/>
      <c r="G4" s="376"/>
      <c r="H4" s="402"/>
      <c r="I4" s="376"/>
      <c r="J4" s="402"/>
      <c r="K4" s="376"/>
      <c r="L4" s="376"/>
      <c r="M4" s="376"/>
      <c r="N4" s="376"/>
    </row>
    <row r="5" spans="1:14" s="711" customFormat="1" ht="126">
      <c r="A5" s="361" t="s">
        <v>133</v>
      </c>
      <c r="B5" s="708">
        <v>1</v>
      </c>
      <c r="C5" s="599" t="s">
        <v>693</v>
      </c>
      <c r="D5" s="595"/>
      <c r="E5" s="596"/>
      <c r="F5" s="595"/>
      <c r="G5" s="596"/>
      <c r="H5" s="615">
        <v>2</v>
      </c>
      <c r="I5" s="598">
        <v>461.7</v>
      </c>
      <c r="J5" s="594"/>
      <c r="K5" s="602"/>
      <c r="L5" s="602"/>
      <c r="M5" s="602"/>
      <c r="N5" s="646">
        <f>SUM(E5,G5,I5,L5,K5,M5)</f>
        <v>461.7</v>
      </c>
    </row>
    <row r="6" spans="1:14" s="711" customFormat="1" ht="126">
      <c r="A6" s="361" t="s">
        <v>570</v>
      </c>
      <c r="B6" s="708">
        <v>2</v>
      </c>
      <c r="C6" s="599" t="s">
        <v>694</v>
      </c>
      <c r="D6" s="595">
        <v>2</v>
      </c>
      <c r="E6" s="596">
        <v>394.4</v>
      </c>
      <c r="F6" s="595"/>
      <c r="G6" s="596"/>
      <c r="H6" s="615"/>
      <c r="I6" s="598"/>
      <c r="J6" s="594"/>
      <c r="K6" s="602"/>
      <c r="L6" s="602"/>
      <c r="M6" s="602"/>
      <c r="N6" s="646">
        <f>SUM(E6,G6,I6,L6,K6,M6)</f>
        <v>394.4</v>
      </c>
    </row>
    <row r="7" spans="1:14" s="701" customFormat="1" ht="21.75">
      <c r="A7" s="713"/>
      <c r="B7" s="719"/>
      <c r="C7" s="372" t="s">
        <v>94</v>
      </c>
      <c r="D7" s="714">
        <f>SUM(D5:D6)</f>
        <v>2</v>
      </c>
      <c r="E7" s="715">
        <f>SUM(E5:E6)</f>
        <v>394.4</v>
      </c>
      <c r="F7" s="714"/>
      <c r="G7" s="714"/>
      <c r="H7" s="714">
        <f>SUM(H5:H6)</f>
        <v>2</v>
      </c>
      <c r="I7" s="715">
        <f>SUM(I5:I6)</f>
        <v>461.7</v>
      </c>
      <c r="J7" s="714"/>
      <c r="K7" s="715"/>
      <c r="L7" s="715">
        <f>SUM(L5)</f>
        <v>0</v>
      </c>
      <c r="M7" s="714"/>
      <c r="N7" s="720">
        <f>SUM(N5:N6)</f>
        <v>856.0999999999999</v>
      </c>
    </row>
    <row r="8" spans="1:14" s="701" customFormat="1" ht="42">
      <c r="A8" s="718" t="s">
        <v>243</v>
      </c>
      <c r="B8" s="705"/>
      <c r="C8" s="360" t="s">
        <v>92</v>
      </c>
      <c r="D8" s="401"/>
      <c r="E8" s="376"/>
      <c r="F8" s="401"/>
      <c r="G8" s="376"/>
      <c r="H8" s="402"/>
      <c r="I8" s="376"/>
      <c r="J8" s="402"/>
      <c r="K8" s="376"/>
      <c r="L8" s="376"/>
      <c r="M8" s="376"/>
      <c r="N8" s="376"/>
    </row>
    <row r="9" spans="1:14" s="711" customFormat="1" ht="168">
      <c r="A9" s="361" t="s">
        <v>190</v>
      </c>
      <c r="B9" s="708">
        <v>3</v>
      </c>
      <c r="C9" s="599" t="s">
        <v>697</v>
      </c>
      <c r="D9" s="595"/>
      <c r="E9" s="596"/>
      <c r="F9" s="595"/>
      <c r="G9" s="596"/>
      <c r="H9" s="615">
        <v>6</v>
      </c>
      <c r="I9" s="598">
        <v>452.5</v>
      </c>
      <c r="J9" s="594"/>
      <c r="K9" s="602"/>
      <c r="L9" s="602"/>
      <c r="M9" s="602"/>
      <c r="N9" s="646">
        <f>SUM(E9,G9,I9,L9,K9,M9)</f>
        <v>452.5</v>
      </c>
    </row>
    <row r="10" spans="1:14" s="711" customFormat="1" ht="141.75">
      <c r="A10" s="380" t="s">
        <v>565</v>
      </c>
      <c r="B10" s="708">
        <v>4</v>
      </c>
      <c r="C10" s="599" t="s">
        <v>634</v>
      </c>
      <c r="D10" s="595"/>
      <c r="E10" s="596"/>
      <c r="F10" s="595"/>
      <c r="G10" s="596"/>
      <c r="H10" s="615">
        <v>6</v>
      </c>
      <c r="I10" s="598">
        <v>485</v>
      </c>
      <c r="J10" s="594"/>
      <c r="K10" s="602"/>
      <c r="L10" s="602"/>
      <c r="M10" s="602"/>
      <c r="N10" s="646">
        <f>SUM(E10,G10,I10,L10,K10,M10)</f>
        <v>485</v>
      </c>
    </row>
    <row r="11" spans="1:14" s="701" customFormat="1" ht="21.75">
      <c r="A11" s="713"/>
      <c r="B11" s="719"/>
      <c r="C11" s="372" t="s">
        <v>94</v>
      </c>
      <c r="D11" s="714">
        <f>SUM(D9)</f>
        <v>0</v>
      </c>
      <c r="E11" s="715">
        <f>SUM(E9)</f>
        <v>0</v>
      </c>
      <c r="F11" s="714"/>
      <c r="G11" s="714"/>
      <c r="H11" s="714">
        <f>SUM(H9:H10)</f>
        <v>12</v>
      </c>
      <c r="I11" s="715">
        <f>SUM(I9:I10)</f>
        <v>937.5</v>
      </c>
      <c r="J11" s="714"/>
      <c r="K11" s="715"/>
      <c r="L11" s="715">
        <f>SUM(L9)</f>
        <v>0</v>
      </c>
      <c r="M11" s="714"/>
      <c r="N11" s="720">
        <f>SUM(N9:N10)</f>
        <v>937.5</v>
      </c>
    </row>
    <row r="12" spans="1:14" s="701" customFormat="1" ht="21.75">
      <c r="A12" s="718" t="s">
        <v>631</v>
      </c>
      <c r="B12" s="705"/>
      <c r="C12" s="360" t="s">
        <v>93</v>
      </c>
      <c r="D12" s="401"/>
      <c r="E12" s="376"/>
      <c r="F12" s="401"/>
      <c r="G12" s="376"/>
      <c r="H12" s="402"/>
      <c r="I12" s="376"/>
      <c r="J12" s="402"/>
      <c r="K12" s="376"/>
      <c r="L12" s="376"/>
      <c r="M12" s="376"/>
      <c r="N12" s="376"/>
    </row>
    <row r="13" spans="1:14" s="711" customFormat="1" ht="141.75">
      <c r="A13" s="380" t="s">
        <v>565</v>
      </c>
      <c r="B13" s="708">
        <v>5</v>
      </c>
      <c r="C13" s="599" t="s">
        <v>632</v>
      </c>
      <c r="D13" s="595">
        <v>5</v>
      </c>
      <c r="E13" s="596">
        <v>537.1</v>
      </c>
      <c r="F13" s="595"/>
      <c r="G13" s="596"/>
      <c r="H13" s="615">
        <v>5</v>
      </c>
      <c r="I13" s="598">
        <v>1352.6</v>
      </c>
      <c r="J13" s="594"/>
      <c r="K13" s="602"/>
      <c r="L13" s="602"/>
      <c r="M13" s="602"/>
      <c r="N13" s="646">
        <f>SUM(E13,G13,I13,L13,K13,M13)</f>
        <v>1889.6999999999998</v>
      </c>
    </row>
    <row r="14" spans="1:14" s="701" customFormat="1" ht="21.75">
      <c r="A14" s="400"/>
      <c r="B14" s="719"/>
      <c r="C14" s="372" t="s">
        <v>94</v>
      </c>
      <c r="D14" s="714">
        <f>SUM(D13)</f>
        <v>5</v>
      </c>
      <c r="E14" s="715">
        <f>SUM(E13)</f>
        <v>537.1</v>
      </c>
      <c r="F14" s="714"/>
      <c r="G14" s="714"/>
      <c r="H14" s="714">
        <f>SUM(H13)</f>
        <v>5</v>
      </c>
      <c r="I14" s="715">
        <f>SUM(I13)</f>
        <v>1352.6</v>
      </c>
      <c r="J14" s="714"/>
      <c r="K14" s="715"/>
      <c r="L14" s="715">
        <f>SUM(L13)</f>
        <v>0</v>
      </c>
      <c r="M14" s="714"/>
      <c r="N14" s="720">
        <f>SUM(N13)</f>
        <v>1889.6999999999998</v>
      </c>
    </row>
    <row r="15" spans="1:14" s="701" customFormat="1" ht="21.75">
      <c r="A15" s="718" t="s">
        <v>245</v>
      </c>
      <c r="B15" s="705"/>
      <c r="C15" s="360" t="s">
        <v>93</v>
      </c>
      <c r="D15" s="401"/>
      <c r="E15" s="376"/>
      <c r="F15" s="401"/>
      <c r="G15" s="376"/>
      <c r="H15" s="402"/>
      <c r="I15" s="376"/>
      <c r="J15" s="402"/>
      <c r="K15" s="376"/>
      <c r="L15" s="376"/>
      <c r="M15" s="376"/>
      <c r="N15" s="376"/>
    </row>
    <row r="16" spans="1:14" s="701" customFormat="1" ht="60.75">
      <c r="A16" s="361" t="s">
        <v>248</v>
      </c>
      <c r="B16" s="700">
        <v>6</v>
      </c>
      <c r="C16" s="674" t="s">
        <v>383</v>
      </c>
      <c r="D16" s="707"/>
      <c r="E16" s="619"/>
      <c r="F16" s="707"/>
      <c r="G16" s="619"/>
      <c r="H16" s="621"/>
      <c r="I16" s="619"/>
      <c r="J16" s="621"/>
      <c r="K16" s="619"/>
      <c r="L16" s="606">
        <v>562.3</v>
      </c>
      <c r="M16" s="370"/>
      <c r="N16" s="646">
        <f aca="true" t="shared" si="0" ref="N16:N22">SUM(E16,G16,I16,L16,K16,M16)</f>
        <v>562.3</v>
      </c>
    </row>
    <row r="17" spans="1:14" s="701" customFormat="1" ht="42">
      <c r="A17" s="361"/>
      <c r="B17" s="700"/>
      <c r="C17" s="841" t="s">
        <v>516</v>
      </c>
      <c r="D17" s="618"/>
      <c r="E17" s="598"/>
      <c r="F17" s="707"/>
      <c r="G17" s="619"/>
      <c r="H17" s="621">
        <v>4</v>
      </c>
      <c r="I17" s="619">
        <v>319.9</v>
      </c>
      <c r="J17" s="621"/>
      <c r="K17" s="619"/>
      <c r="L17" s="606"/>
      <c r="M17" s="370"/>
      <c r="N17" s="646">
        <f t="shared" si="0"/>
        <v>319.9</v>
      </c>
    </row>
    <row r="18" spans="1:14" s="701" customFormat="1" ht="189">
      <c r="A18" s="361"/>
      <c r="B18" s="700"/>
      <c r="C18" s="841" t="s">
        <v>517</v>
      </c>
      <c r="D18" s="618">
        <v>9</v>
      </c>
      <c r="E18" s="598">
        <v>1468.2</v>
      </c>
      <c r="F18" s="618"/>
      <c r="G18" s="598"/>
      <c r="H18" s="615"/>
      <c r="I18" s="598"/>
      <c r="J18" s="615"/>
      <c r="K18" s="598"/>
      <c r="L18" s="1057"/>
      <c r="M18" s="1058"/>
      <c r="N18" s="646">
        <f t="shared" si="0"/>
        <v>1468.2</v>
      </c>
    </row>
    <row r="19" spans="1:14" s="701" customFormat="1" ht="121.5">
      <c r="A19" s="361" t="s">
        <v>163</v>
      </c>
      <c r="B19" s="700">
        <v>7</v>
      </c>
      <c r="C19" s="659" t="s">
        <v>384</v>
      </c>
      <c r="D19" s="618"/>
      <c r="E19" s="598"/>
      <c r="F19" s="618"/>
      <c r="G19" s="598">
        <v>2483.9</v>
      </c>
      <c r="H19" s="615"/>
      <c r="I19" s="598"/>
      <c r="J19" s="621"/>
      <c r="K19" s="619"/>
      <c r="L19" s="606"/>
      <c r="M19" s="370"/>
      <c r="N19" s="646">
        <f t="shared" si="0"/>
        <v>2483.9</v>
      </c>
    </row>
    <row r="20" spans="1:14" s="701" customFormat="1" ht="141.75">
      <c r="A20" s="380" t="s">
        <v>565</v>
      </c>
      <c r="B20" s="700">
        <v>8</v>
      </c>
      <c r="C20" s="599" t="s">
        <v>698</v>
      </c>
      <c r="D20" s="707"/>
      <c r="E20" s="619"/>
      <c r="F20" s="707"/>
      <c r="G20" s="619"/>
      <c r="H20" s="620">
        <v>12</v>
      </c>
      <c r="I20" s="1060">
        <v>1695.7</v>
      </c>
      <c r="J20" s="620"/>
      <c r="K20" s="620"/>
      <c r="L20" s="620"/>
      <c r="M20" s="1060">
        <v>466.3</v>
      </c>
      <c r="N20" s="646">
        <f t="shared" si="0"/>
        <v>2162</v>
      </c>
    </row>
    <row r="21" spans="1:14" s="701" customFormat="1" ht="21.75" customHeight="1">
      <c r="A21" s="361" t="s">
        <v>190</v>
      </c>
      <c r="B21" s="700"/>
      <c r="C21" s="361" t="s">
        <v>671</v>
      </c>
      <c r="D21" s="707"/>
      <c r="E21" s="619"/>
      <c r="F21" s="707"/>
      <c r="G21" s="619"/>
      <c r="H21" s="620">
        <v>2</v>
      </c>
      <c r="I21" s="1060">
        <v>11.9</v>
      </c>
      <c r="J21" s="620"/>
      <c r="K21" s="620"/>
      <c r="L21" s="620"/>
      <c r="M21" s="1060">
        <f>(2224503+4549+5875+40762)*1.1/1000</f>
        <v>2503.2579000000005</v>
      </c>
      <c r="N21" s="646">
        <f t="shared" si="0"/>
        <v>2515.1579000000006</v>
      </c>
    </row>
    <row r="22" spans="1:14" s="711" customFormat="1" ht="63">
      <c r="A22" s="361"/>
      <c r="B22" s="708"/>
      <c r="C22" s="1059" t="s">
        <v>566</v>
      </c>
      <c r="D22" s="618">
        <v>20</v>
      </c>
      <c r="E22" s="598">
        <v>422.4</v>
      </c>
      <c r="F22" s="618"/>
      <c r="G22" s="598"/>
      <c r="H22" s="620"/>
      <c r="I22" s="603"/>
      <c r="J22" s="620"/>
      <c r="K22" s="603"/>
      <c r="L22" s="603"/>
      <c r="M22" s="710">
        <v>9</v>
      </c>
      <c r="N22" s="646">
        <f t="shared" si="0"/>
        <v>431.4</v>
      </c>
    </row>
    <row r="23" spans="1:14" s="701" customFormat="1" ht="24" customHeight="1">
      <c r="A23" s="400"/>
      <c r="B23" s="702"/>
      <c r="C23" s="372" t="s">
        <v>94</v>
      </c>
      <c r="D23" s="703">
        <f aca="true" t="shared" si="1" ref="D23:N23">SUM(D16:D22)</f>
        <v>29</v>
      </c>
      <c r="E23" s="704">
        <f t="shared" si="1"/>
        <v>1890.6</v>
      </c>
      <c r="F23" s="703">
        <f t="shared" si="1"/>
        <v>0</v>
      </c>
      <c r="G23" s="704">
        <f t="shared" si="1"/>
        <v>2483.9</v>
      </c>
      <c r="H23" s="703">
        <f t="shared" si="1"/>
        <v>18</v>
      </c>
      <c r="I23" s="704">
        <f t="shared" si="1"/>
        <v>2027.5</v>
      </c>
      <c r="J23" s="703">
        <f t="shared" si="1"/>
        <v>0</v>
      </c>
      <c r="K23" s="704">
        <f t="shared" si="1"/>
        <v>0</v>
      </c>
      <c r="L23" s="704">
        <f t="shared" si="1"/>
        <v>562.3</v>
      </c>
      <c r="M23" s="704">
        <f t="shared" si="1"/>
        <v>2978.5579000000007</v>
      </c>
      <c r="N23" s="704">
        <f t="shared" si="1"/>
        <v>9942.8579</v>
      </c>
    </row>
    <row r="24" spans="1:14" s="399" customFormat="1" ht="21.75">
      <c r="A24" s="360" t="s">
        <v>91</v>
      </c>
      <c r="B24" s="411"/>
      <c r="C24" s="360" t="s">
        <v>92</v>
      </c>
      <c r="D24" s="403"/>
      <c r="E24" s="404"/>
      <c r="F24" s="403"/>
      <c r="G24" s="404"/>
      <c r="H24" s="405"/>
      <c r="I24" s="404"/>
      <c r="J24" s="405"/>
      <c r="K24" s="404"/>
      <c r="L24" s="404"/>
      <c r="M24" s="404"/>
      <c r="N24" s="379"/>
    </row>
    <row r="25" spans="1:14" s="389" customFormat="1" ht="60.75">
      <c r="A25" s="362" t="s">
        <v>131</v>
      </c>
      <c r="B25" s="371">
        <v>9</v>
      </c>
      <c r="C25" s="361" t="s">
        <v>706</v>
      </c>
      <c r="D25" s="618">
        <f>51+15+24+7</f>
        <v>97</v>
      </c>
      <c r="E25" s="598">
        <v>623.2</v>
      </c>
      <c r="F25" s="618"/>
      <c r="G25" s="598"/>
      <c r="H25" s="615">
        <v>20</v>
      </c>
      <c r="I25" s="598">
        <v>2522.5</v>
      </c>
      <c r="J25" s="615"/>
      <c r="K25" s="598"/>
      <c r="L25" s="598">
        <v>2359.6</v>
      </c>
      <c r="M25" s="598"/>
      <c r="N25" s="646">
        <f>SUM(E25,G25,I25,L25,K25,M25)</f>
        <v>5505.299999999999</v>
      </c>
    </row>
    <row r="26" spans="1:14" s="389" customFormat="1" ht="60.75">
      <c r="A26" s="362"/>
      <c r="B26" s="371">
        <v>10</v>
      </c>
      <c r="C26" s="361" t="s">
        <v>707</v>
      </c>
      <c r="D26" s="618">
        <v>217</v>
      </c>
      <c r="E26" s="598">
        <v>1156.7</v>
      </c>
      <c r="F26" s="618"/>
      <c r="G26" s="598"/>
      <c r="H26" s="615">
        <v>22</v>
      </c>
      <c r="I26" s="598">
        <v>2221.9</v>
      </c>
      <c r="J26" s="615"/>
      <c r="K26" s="598"/>
      <c r="L26" s="598">
        <v>13532.6</v>
      </c>
      <c r="M26" s="598"/>
      <c r="N26" s="646">
        <f aca="true" t="shared" si="2" ref="N26:N56">SUM(E26,G26,I26,L26,K26,M26)</f>
        <v>16911.2</v>
      </c>
    </row>
    <row r="27" spans="1:14" s="389" customFormat="1" ht="24.75" customHeight="1">
      <c r="A27" s="362"/>
      <c r="B27" s="371"/>
      <c r="C27" s="599" t="s">
        <v>616</v>
      </c>
      <c r="D27" s="618">
        <v>5</v>
      </c>
      <c r="E27" s="598">
        <v>235.9</v>
      </c>
      <c r="F27" s="618"/>
      <c r="G27" s="598"/>
      <c r="H27" s="615">
        <v>13</v>
      </c>
      <c r="I27" s="598">
        <v>375</v>
      </c>
      <c r="J27" s="615"/>
      <c r="K27" s="598"/>
      <c r="L27" s="598"/>
      <c r="M27" s="598"/>
      <c r="N27" s="646">
        <f t="shared" si="2"/>
        <v>610.9</v>
      </c>
    </row>
    <row r="28" spans="1:14" s="389" customFormat="1" ht="21.75">
      <c r="A28" s="362"/>
      <c r="B28" s="371"/>
      <c r="C28" s="599" t="s">
        <v>618</v>
      </c>
      <c r="D28" s="618">
        <v>144</v>
      </c>
      <c r="E28" s="598">
        <v>1168.2</v>
      </c>
      <c r="F28" s="618">
        <v>28</v>
      </c>
      <c r="G28" s="598">
        <v>1811.4</v>
      </c>
      <c r="H28" s="615">
        <v>2</v>
      </c>
      <c r="I28" s="598">
        <v>11.8</v>
      </c>
      <c r="J28" s="615"/>
      <c r="K28" s="598"/>
      <c r="L28" s="598"/>
      <c r="M28" s="598">
        <v>712.4</v>
      </c>
      <c r="N28" s="646">
        <f t="shared" si="2"/>
        <v>3703.8000000000006</v>
      </c>
    </row>
    <row r="29" spans="1:14" s="389" customFormat="1" ht="63">
      <c r="A29" s="362" t="s">
        <v>132</v>
      </c>
      <c r="B29" s="822">
        <v>11</v>
      </c>
      <c r="C29" s="597" t="s">
        <v>457</v>
      </c>
      <c r="D29" s="622">
        <v>60</v>
      </c>
      <c r="E29" s="875">
        <v>995.6</v>
      </c>
      <c r="F29" s="622"/>
      <c r="G29" s="622"/>
      <c r="H29" s="622">
        <v>6</v>
      </c>
      <c r="I29" s="623">
        <v>231.3</v>
      </c>
      <c r="J29" s="622"/>
      <c r="K29" s="622"/>
      <c r="L29" s="875">
        <v>60.9</v>
      </c>
      <c r="M29" s="623">
        <v>1657.8</v>
      </c>
      <c r="N29" s="646">
        <f t="shared" si="2"/>
        <v>2945.6000000000004</v>
      </c>
    </row>
    <row r="30" spans="1:14" s="207" customFormat="1" ht="21.75" customHeight="1">
      <c r="A30" s="1071"/>
      <c r="B30" s="406"/>
      <c r="C30" s="375" t="s">
        <v>93</v>
      </c>
      <c r="D30" s="624"/>
      <c r="E30" s="603"/>
      <c r="F30" s="624"/>
      <c r="G30" s="603"/>
      <c r="H30" s="620"/>
      <c r="I30" s="603"/>
      <c r="J30" s="620"/>
      <c r="K30" s="603"/>
      <c r="L30" s="603"/>
      <c r="M30" s="603"/>
      <c r="N30" s="646"/>
    </row>
    <row r="31" spans="1:14" s="207" customFormat="1" ht="60.75">
      <c r="A31" s="380" t="s">
        <v>195</v>
      </c>
      <c r="B31" s="406"/>
      <c r="C31" s="375" t="s">
        <v>708</v>
      </c>
      <c r="D31" s="624"/>
      <c r="E31" s="603"/>
      <c r="F31" s="624"/>
      <c r="G31" s="603"/>
      <c r="H31" s="620"/>
      <c r="I31" s="603"/>
      <c r="J31" s="620"/>
      <c r="K31" s="603"/>
      <c r="L31" s="603"/>
      <c r="M31" s="603"/>
      <c r="N31" s="646">
        <f t="shared" si="2"/>
        <v>0</v>
      </c>
    </row>
    <row r="32" spans="1:14" s="207" customFormat="1" ht="63">
      <c r="A32" s="380"/>
      <c r="B32" s="406">
        <v>12</v>
      </c>
      <c r="C32" s="599" t="s">
        <v>501</v>
      </c>
      <c r="D32" s="624">
        <v>21</v>
      </c>
      <c r="E32" s="603">
        <v>1055.7</v>
      </c>
      <c r="F32" s="624"/>
      <c r="G32" s="603"/>
      <c r="H32" s="620">
        <v>17</v>
      </c>
      <c r="I32" s="603">
        <v>2183.7</v>
      </c>
      <c r="J32" s="620"/>
      <c r="K32" s="603"/>
      <c r="L32" s="603"/>
      <c r="M32" s="603"/>
      <c r="N32" s="646">
        <f t="shared" si="2"/>
        <v>3239.3999999999996</v>
      </c>
    </row>
    <row r="33" spans="1:14" s="207" customFormat="1" ht="42">
      <c r="A33" s="380"/>
      <c r="B33" s="406">
        <v>13</v>
      </c>
      <c r="C33" s="599" t="s">
        <v>709</v>
      </c>
      <c r="D33" s="624"/>
      <c r="E33" s="603"/>
      <c r="F33" s="624"/>
      <c r="G33" s="603"/>
      <c r="H33" s="620">
        <v>4</v>
      </c>
      <c r="I33" s="603">
        <v>244</v>
      </c>
      <c r="J33" s="620"/>
      <c r="K33" s="603"/>
      <c r="L33" s="603"/>
      <c r="M33" s="603">
        <v>527.3</v>
      </c>
      <c r="N33" s="646">
        <f t="shared" si="2"/>
        <v>771.3</v>
      </c>
    </row>
    <row r="34" spans="1:14" s="207" customFormat="1" ht="42">
      <c r="A34" s="380"/>
      <c r="B34" s="406">
        <v>14</v>
      </c>
      <c r="C34" s="698" t="s">
        <v>421</v>
      </c>
      <c r="D34" s="624">
        <f>22+8+25</f>
        <v>55</v>
      </c>
      <c r="E34" s="603">
        <v>2776.8</v>
      </c>
      <c r="F34" s="624"/>
      <c r="G34" s="603"/>
      <c r="H34" s="620">
        <v>9</v>
      </c>
      <c r="I34" s="603">
        <v>3251.8</v>
      </c>
      <c r="J34" s="620"/>
      <c r="K34" s="603"/>
      <c r="L34" s="603"/>
      <c r="M34" s="603"/>
      <c r="N34" s="646">
        <f t="shared" si="2"/>
        <v>6028.6</v>
      </c>
    </row>
    <row r="35" spans="1:14" s="207" customFormat="1" ht="63">
      <c r="A35" s="380"/>
      <c r="B35" s="406">
        <v>15</v>
      </c>
      <c r="C35" s="698" t="s">
        <v>422</v>
      </c>
      <c r="D35" s="624">
        <v>20</v>
      </c>
      <c r="E35" s="603">
        <v>694.5</v>
      </c>
      <c r="F35" s="624"/>
      <c r="G35" s="603"/>
      <c r="H35" s="620">
        <v>7</v>
      </c>
      <c r="I35" s="603">
        <v>380.9</v>
      </c>
      <c r="J35" s="620"/>
      <c r="K35" s="603"/>
      <c r="L35" s="603"/>
      <c r="M35" s="603"/>
      <c r="N35" s="646">
        <f t="shared" si="2"/>
        <v>1075.4</v>
      </c>
    </row>
    <row r="36" spans="1:14" s="207" customFormat="1" ht="42">
      <c r="A36" s="380"/>
      <c r="B36" s="406">
        <v>16</v>
      </c>
      <c r="C36" s="698" t="s">
        <v>423</v>
      </c>
      <c r="D36" s="624"/>
      <c r="E36" s="603"/>
      <c r="F36" s="624"/>
      <c r="G36" s="603"/>
      <c r="H36" s="620">
        <v>4</v>
      </c>
      <c r="I36" s="603">
        <v>971</v>
      </c>
      <c r="J36" s="620"/>
      <c r="K36" s="603"/>
      <c r="L36" s="603"/>
      <c r="M36" s="603"/>
      <c r="N36" s="646">
        <f t="shared" si="2"/>
        <v>971</v>
      </c>
    </row>
    <row r="37" spans="1:14" s="207" customFormat="1" ht="63">
      <c r="A37" s="362" t="s">
        <v>174</v>
      </c>
      <c r="B37" s="406">
        <v>17</v>
      </c>
      <c r="C37" s="698" t="s">
        <v>710</v>
      </c>
      <c r="D37" s="618">
        <v>36</v>
      </c>
      <c r="E37" s="598">
        <v>1702.2</v>
      </c>
      <c r="F37" s="618"/>
      <c r="G37" s="598">
        <v>236.4</v>
      </c>
      <c r="H37" s="615">
        <v>4</v>
      </c>
      <c r="I37" s="598">
        <v>374.6</v>
      </c>
      <c r="J37" s="615">
        <v>3</v>
      </c>
      <c r="K37" s="598">
        <v>1283.3</v>
      </c>
      <c r="L37" s="598">
        <v>544.5</v>
      </c>
      <c r="M37" s="598"/>
      <c r="N37" s="646">
        <f>SUM(E37,G37,I37,L37,K37,M37)</f>
        <v>4141</v>
      </c>
    </row>
    <row r="38" spans="1:14" s="207" customFormat="1" ht="25.5" customHeight="1">
      <c r="A38" s="362"/>
      <c r="B38" s="371">
        <v>18</v>
      </c>
      <c r="C38" s="698" t="s">
        <v>711</v>
      </c>
      <c r="D38" s="618"/>
      <c r="E38" s="598"/>
      <c r="F38" s="618">
        <v>0</v>
      </c>
      <c r="G38" s="598">
        <v>244.6</v>
      </c>
      <c r="H38" s="615">
        <v>6</v>
      </c>
      <c r="I38" s="598">
        <v>521</v>
      </c>
      <c r="J38" s="615"/>
      <c r="K38" s="598"/>
      <c r="L38" s="598"/>
      <c r="M38" s="598"/>
      <c r="N38" s="646">
        <f t="shared" si="2"/>
        <v>765.6</v>
      </c>
    </row>
    <row r="39" spans="1:14" s="207" customFormat="1" ht="42">
      <c r="A39" s="362"/>
      <c r="B39" s="371"/>
      <c r="C39" s="698" t="s">
        <v>499</v>
      </c>
      <c r="D39" s="618"/>
      <c r="E39" s="598"/>
      <c r="F39" s="618"/>
      <c r="G39" s="598"/>
      <c r="H39" s="615">
        <v>2</v>
      </c>
      <c r="I39" s="598">
        <v>1011.1</v>
      </c>
      <c r="J39" s="615"/>
      <c r="K39" s="598"/>
      <c r="L39" s="598"/>
      <c r="M39" s="598"/>
      <c r="N39" s="646">
        <f t="shared" si="2"/>
        <v>1011.1</v>
      </c>
    </row>
    <row r="40" spans="1:14" s="207" customFormat="1" ht="63">
      <c r="A40" s="362"/>
      <c r="B40" s="716">
        <v>19</v>
      </c>
      <c r="C40" s="698" t="s">
        <v>712</v>
      </c>
      <c r="D40" s="618"/>
      <c r="E40" s="598"/>
      <c r="F40" s="618"/>
      <c r="G40" s="598"/>
      <c r="H40" s="615">
        <v>6</v>
      </c>
      <c r="I40" s="598">
        <v>239.4</v>
      </c>
      <c r="J40" s="615"/>
      <c r="K40" s="598"/>
      <c r="L40" s="598"/>
      <c r="M40" s="598"/>
      <c r="N40" s="646">
        <f t="shared" si="2"/>
        <v>239.4</v>
      </c>
    </row>
    <row r="41" spans="1:14" s="207" customFormat="1" ht="63">
      <c r="A41" s="362"/>
      <c r="B41" s="716"/>
      <c r="C41" s="698" t="s">
        <v>498</v>
      </c>
      <c r="D41" s="618"/>
      <c r="E41" s="598"/>
      <c r="F41" s="618"/>
      <c r="G41" s="598"/>
      <c r="H41" s="615">
        <v>3</v>
      </c>
      <c r="I41" s="598">
        <v>12.3</v>
      </c>
      <c r="J41" s="615"/>
      <c r="K41" s="598"/>
      <c r="L41" s="598"/>
      <c r="M41" s="598"/>
      <c r="N41" s="646">
        <f t="shared" si="2"/>
        <v>12.3</v>
      </c>
    </row>
    <row r="42" spans="1:14" s="207" customFormat="1" ht="43.5" customHeight="1">
      <c r="A42" s="362"/>
      <c r="B42" s="716"/>
      <c r="C42" s="698" t="s">
        <v>713</v>
      </c>
      <c r="D42" s="618">
        <v>16</v>
      </c>
      <c r="E42" s="598">
        <v>688.8</v>
      </c>
      <c r="F42" s="618"/>
      <c r="G42" s="598"/>
      <c r="H42" s="615"/>
      <c r="I42" s="598"/>
      <c r="J42" s="615"/>
      <c r="K42" s="598"/>
      <c r="L42" s="598"/>
      <c r="M42" s="598"/>
      <c r="N42" s="646">
        <f t="shared" si="2"/>
        <v>688.8</v>
      </c>
    </row>
    <row r="43" spans="1:14" s="207" customFormat="1" ht="27" customHeight="1">
      <c r="A43" s="362"/>
      <c r="B43" s="716">
        <v>20</v>
      </c>
      <c r="C43" s="698" t="s">
        <v>502</v>
      </c>
      <c r="D43" s="618">
        <v>25</v>
      </c>
      <c r="E43" s="598">
        <v>1281.5</v>
      </c>
      <c r="F43" s="618"/>
      <c r="G43" s="598"/>
      <c r="H43" s="615">
        <v>8</v>
      </c>
      <c r="I43" s="598">
        <v>273.6</v>
      </c>
      <c r="J43" s="615"/>
      <c r="K43" s="598"/>
      <c r="L43" s="598"/>
      <c r="M43" s="598"/>
      <c r="N43" s="646">
        <f t="shared" si="2"/>
        <v>1555.1</v>
      </c>
    </row>
    <row r="44" spans="1:14" s="207" customFormat="1" ht="42">
      <c r="A44" s="1374" t="s">
        <v>230</v>
      </c>
      <c r="B44" s="371">
        <v>21</v>
      </c>
      <c r="C44" s="698" t="s">
        <v>371</v>
      </c>
      <c r="D44" s="618"/>
      <c r="E44" s="598"/>
      <c r="F44" s="618"/>
      <c r="G44" s="598"/>
      <c r="H44" s="615"/>
      <c r="I44" s="598"/>
      <c r="J44" s="615"/>
      <c r="K44" s="598"/>
      <c r="L44" s="598"/>
      <c r="M44" s="598"/>
      <c r="N44" s="646">
        <f t="shared" si="2"/>
        <v>0</v>
      </c>
    </row>
    <row r="45" spans="1:14" s="207" customFormat="1" ht="84">
      <c r="A45" s="1375"/>
      <c r="B45" s="371"/>
      <c r="C45" s="839" t="s">
        <v>504</v>
      </c>
      <c r="D45" s="618"/>
      <c r="E45" s="598"/>
      <c r="F45" s="618"/>
      <c r="G45" s="598"/>
      <c r="H45" s="615">
        <v>5</v>
      </c>
      <c r="I45" s="846">
        <v>139.6</v>
      </c>
      <c r="J45" s="615"/>
      <c r="K45" s="598"/>
      <c r="L45" s="598"/>
      <c r="M45" s="598"/>
      <c r="N45" s="646">
        <f t="shared" si="2"/>
        <v>139.6</v>
      </c>
    </row>
    <row r="46" spans="1:14" s="207" customFormat="1" ht="42">
      <c r="A46" s="361"/>
      <c r="B46" s="371"/>
      <c r="C46" s="839" t="s">
        <v>672</v>
      </c>
      <c r="D46" s="618">
        <v>60</v>
      </c>
      <c r="E46" s="598">
        <v>790</v>
      </c>
      <c r="F46" s="618"/>
      <c r="G46" s="598"/>
      <c r="H46" s="615"/>
      <c r="I46" s="846"/>
      <c r="J46" s="615"/>
      <c r="K46" s="598"/>
      <c r="L46" s="598"/>
      <c r="M46" s="598"/>
      <c r="N46" s="646">
        <f t="shared" si="2"/>
        <v>790</v>
      </c>
    </row>
    <row r="47" spans="1:14" s="207" customFormat="1" ht="24" customHeight="1">
      <c r="A47" s="362" t="s">
        <v>132</v>
      </c>
      <c r="B47" s="371">
        <v>22</v>
      </c>
      <c r="C47" s="698" t="s">
        <v>714</v>
      </c>
      <c r="D47" s="618"/>
      <c r="E47" s="598"/>
      <c r="F47" s="618"/>
      <c r="G47" s="598"/>
      <c r="H47" s="390">
        <v>6</v>
      </c>
      <c r="I47" s="836">
        <v>87.2</v>
      </c>
      <c r="J47" s="615"/>
      <c r="K47" s="598"/>
      <c r="L47" s="598"/>
      <c r="M47" s="598"/>
      <c r="N47" s="646">
        <f>SUM(E47,G47,I47,L47,K47,M47)</f>
        <v>87.2</v>
      </c>
    </row>
    <row r="48" spans="1:14" s="207" customFormat="1" ht="24" customHeight="1">
      <c r="A48" s="362"/>
      <c r="B48" s="371"/>
      <c r="C48" s="698" t="s">
        <v>496</v>
      </c>
      <c r="D48" s="618"/>
      <c r="E48" s="598"/>
      <c r="F48" s="618"/>
      <c r="G48" s="598"/>
      <c r="H48" s="390">
        <v>1</v>
      </c>
      <c r="I48" s="1053">
        <v>12.1</v>
      </c>
      <c r="J48" s="615"/>
      <c r="K48" s="598"/>
      <c r="L48" s="598"/>
      <c r="M48" s="598">
        <v>2032.8</v>
      </c>
      <c r="N48" s="646">
        <f>SUM(E48,G48,I48,L48,K48,M48)</f>
        <v>2044.8999999999999</v>
      </c>
    </row>
    <row r="49" spans="1:14" s="207" customFormat="1" ht="24" customHeight="1">
      <c r="A49" s="362"/>
      <c r="B49" s="371"/>
      <c r="C49" s="698" t="s">
        <v>497</v>
      </c>
      <c r="D49" s="618"/>
      <c r="E49" s="598"/>
      <c r="F49" s="618"/>
      <c r="G49" s="598"/>
      <c r="H49" s="390">
        <v>3</v>
      </c>
      <c r="I49" s="836">
        <v>55.6</v>
      </c>
      <c r="J49" s="615"/>
      <c r="K49" s="598"/>
      <c r="L49" s="598"/>
      <c r="M49" s="598">
        <v>683.9</v>
      </c>
      <c r="N49" s="646">
        <f>SUM(E49,G49,I49,L49,K49,M49)</f>
        <v>739.5</v>
      </c>
    </row>
    <row r="50" spans="1:14" s="207" customFormat="1" ht="24" customHeight="1">
      <c r="A50" s="362"/>
      <c r="B50" s="371"/>
      <c r="C50" s="698" t="s">
        <v>503</v>
      </c>
      <c r="D50" s="618"/>
      <c r="E50" s="598"/>
      <c r="F50" s="618"/>
      <c r="G50" s="598"/>
      <c r="H50" s="390"/>
      <c r="I50" s="836"/>
      <c r="J50" s="615"/>
      <c r="K50" s="598"/>
      <c r="L50" s="598"/>
      <c r="M50" s="598">
        <v>33.1</v>
      </c>
      <c r="N50" s="646">
        <f>SUM(E50,G50,I50,L50,K50,M50)</f>
        <v>33.1</v>
      </c>
    </row>
    <row r="51" spans="1:14" s="876" customFormat="1" ht="63">
      <c r="A51" s="361"/>
      <c r="B51" s="822">
        <v>23</v>
      </c>
      <c r="C51" s="597" t="s">
        <v>432</v>
      </c>
      <c r="D51" s="622"/>
      <c r="E51" s="875"/>
      <c r="F51" s="622"/>
      <c r="G51" s="622"/>
      <c r="H51" s="622"/>
      <c r="I51" s="875"/>
      <c r="J51" s="622"/>
      <c r="K51" s="622"/>
      <c r="L51" s="622"/>
      <c r="M51" s="623">
        <v>1029.3</v>
      </c>
      <c r="N51" s="646">
        <f>SUM(E51,G51,I51,L51,K51,M51)</f>
        <v>1029.3</v>
      </c>
    </row>
    <row r="52" spans="1:14" s="207" customFormat="1" ht="63">
      <c r="A52" s="1370" t="s">
        <v>151</v>
      </c>
      <c r="B52" s="371">
        <v>24</v>
      </c>
      <c r="C52" s="698" t="s">
        <v>715</v>
      </c>
      <c r="D52" s="618"/>
      <c r="E52" s="598"/>
      <c r="F52" s="618"/>
      <c r="G52" s="598"/>
      <c r="H52" s="615">
        <v>6</v>
      </c>
      <c r="I52" s="607">
        <v>108.2</v>
      </c>
      <c r="J52" s="615"/>
      <c r="K52" s="598"/>
      <c r="L52" s="598"/>
      <c r="M52" s="598"/>
      <c r="N52" s="646">
        <f t="shared" si="2"/>
        <v>108.2</v>
      </c>
    </row>
    <row r="53" spans="1:14" s="207" customFormat="1" ht="63">
      <c r="A53" s="1376"/>
      <c r="B53" s="371">
        <v>25</v>
      </c>
      <c r="C53" s="1076" t="s">
        <v>420</v>
      </c>
      <c r="D53" s="618"/>
      <c r="E53" s="598"/>
      <c r="F53" s="618"/>
      <c r="G53" s="598"/>
      <c r="H53" s="615"/>
      <c r="I53" s="607"/>
      <c r="J53" s="615"/>
      <c r="K53" s="598"/>
      <c r="L53" s="598"/>
      <c r="M53" s="598">
        <v>1657.4</v>
      </c>
      <c r="N53" s="646">
        <f t="shared" si="2"/>
        <v>1657.4</v>
      </c>
    </row>
    <row r="54" spans="1:14" s="207" customFormat="1" ht="26.25" customHeight="1">
      <c r="A54" s="1124"/>
      <c r="B54" s="371">
        <v>26</v>
      </c>
      <c r="C54" s="698" t="s">
        <v>500</v>
      </c>
      <c r="D54" s="618"/>
      <c r="E54" s="598"/>
      <c r="F54" s="618"/>
      <c r="G54" s="598"/>
      <c r="H54" s="615">
        <v>9</v>
      </c>
      <c r="I54" s="607">
        <v>401.9</v>
      </c>
      <c r="J54" s="615"/>
      <c r="K54" s="598"/>
      <c r="L54" s="598"/>
      <c r="M54" s="598"/>
      <c r="N54" s="646">
        <f t="shared" si="2"/>
        <v>401.9</v>
      </c>
    </row>
    <row r="55" spans="1:14" s="207" customFormat="1" ht="46.5" customHeight="1">
      <c r="A55" s="1124"/>
      <c r="B55" s="371"/>
      <c r="C55" s="839" t="s">
        <v>716</v>
      </c>
      <c r="D55" s="618">
        <v>12</v>
      </c>
      <c r="E55" s="598">
        <v>635.3</v>
      </c>
      <c r="F55" s="618"/>
      <c r="G55" s="598"/>
      <c r="H55" s="615"/>
      <c r="I55" s="607"/>
      <c r="J55" s="615"/>
      <c r="K55" s="598"/>
      <c r="L55" s="598"/>
      <c r="M55" s="598"/>
      <c r="N55" s="646">
        <f t="shared" si="2"/>
        <v>635.3</v>
      </c>
    </row>
    <row r="56" spans="1:14" s="207" customFormat="1" ht="25.5" customHeight="1">
      <c r="A56" s="1036"/>
      <c r="B56" s="371"/>
      <c r="C56" s="839" t="s">
        <v>717</v>
      </c>
      <c r="D56" s="618">
        <v>20</v>
      </c>
      <c r="E56" s="598">
        <v>697.6</v>
      </c>
      <c r="F56" s="618"/>
      <c r="G56" s="598"/>
      <c r="H56" s="615"/>
      <c r="I56" s="607"/>
      <c r="J56" s="615"/>
      <c r="K56" s="598"/>
      <c r="L56" s="598"/>
      <c r="M56" s="598"/>
      <c r="N56" s="646">
        <f t="shared" si="2"/>
        <v>697.6</v>
      </c>
    </row>
    <row r="57" spans="1:14" s="701" customFormat="1" ht="24" customHeight="1">
      <c r="A57" s="400"/>
      <c r="B57" s="702"/>
      <c r="C57" s="372" t="s">
        <v>94</v>
      </c>
      <c r="D57" s="703">
        <f aca="true" t="shared" si="3" ref="D57:N57">SUM(D25:D56)</f>
        <v>788</v>
      </c>
      <c r="E57" s="704">
        <f t="shared" si="3"/>
        <v>14502</v>
      </c>
      <c r="F57" s="703">
        <f t="shared" si="3"/>
        <v>28</v>
      </c>
      <c r="G57" s="704">
        <f t="shared" si="3"/>
        <v>2292.4</v>
      </c>
      <c r="H57" s="703">
        <f t="shared" si="3"/>
        <v>163</v>
      </c>
      <c r="I57" s="704">
        <f t="shared" si="3"/>
        <v>15630.500000000002</v>
      </c>
      <c r="J57" s="703">
        <f t="shared" si="3"/>
        <v>3</v>
      </c>
      <c r="K57" s="704">
        <f t="shared" si="3"/>
        <v>1283.3</v>
      </c>
      <c r="L57" s="704">
        <f t="shared" si="3"/>
        <v>16497.6</v>
      </c>
      <c r="M57" s="704">
        <f t="shared" si="3"/>
        <v>8334</v>
      </c>
      <c r="N57" s="704">
        <f t="shared" si="3"/>
        <v>58539.80000000001</v>
      </c>
    </row>
    <row r="58" spans="1:14" s="701" customFormat="1" ht="21.75">
      <c r="A58" s="718" t="s">
        <v>426</v>
      </c>
      <c r="B58" s="705"/>
      <c r="C58" s="375" t="s">
        <v>93</v>
      </c>
      <c r="D58" s="401"/>
      <c r="E58" s="376"/>
      <c r="F58" s="401"/>
      <c r="G58" s="376"/>
      <c r="H58" s="402"/>
      <c r="I58" s="376"/>
      <c r="J58" s="402"/>
      <c r="K58" s="376"/>
      <c r="L58" s="376"/>
      <c r="M58" s="376"/>
      <c r="N58" s="376"/>
    </row>
    <row r="59" spans="1:14" s="711" customFormat="1" ht="84">
      <c r="A59" s="361" t="s">
        <v>190</v>
      </c>
      <c r="B59" s="708">
        <v>27</v>
      </c>
      <c r="C59" s="1088" t="s">
        <v>514</v>
      </c>
      <c r="D59" s="595">
        <v>15</v>
      </c>
      <c r="E59" s="596">
        <v>2355.2</v>
      </c>
      <c r="F59" s="595"/>
      <c r="G59" s="596"/>
      <c r="H59" s="594"/>
      <c r="I59" s="602"/>
      <c r="J59" s="594"/>
      <c r="K59" s="602"/>
      <c r="L59" s="602"/>
      <c r="M59" s="602"/>
      <c r="N59" s="646">
        <f>SUM(E59,G59,I59,L59,K59,M59)</f>
        <v>2355.2</v>
      </c>
    </row>
    <row r="60" spans="1:14" s="711" customFormat="1" ht="141.75">
      <c r="A60" s="380" t="s">
        <v>623</v>
      </c>
      <c r="B60" s="708"/>
      <c r="C60" s="1088" t="s">
        <v>638</v>
      </c>
      <c r="D60" s="595">
        <v>1</v>
      </c>
      <c r="E60" s="596">
        <v>18.5</v>
      </c>
      <c r="F60" s="595"/>
      <c r="G60" s="596"/>
      <c r="H60" s="594"/>
      <c r="I60" s="602"/>
      <c r="J60" s="594"/>
      <c r="K60" s="602"/>
      <c r="L60" s="602"/>
      <c r="M60" s="602"/>
      <c r="N60" s="646">
        <f>SUM(E60,G60,I60,L60,K60,M60)</f>
        <v>18.5</v>
      </c>
    </row>
    <row r="61" spans="1:14" s="701" customFormat="1" ht="21.75">
      <c r="A61" s="713"/>
      <c r="B61" s="719"/>
      <c r="C61" s="372" t="s">
        <v>94</v>
      </c>
      <c r="D61" s="714">
        <f>SUM(D59:D60)</f>
        <v>16</v>
      </c>
      <c r="E61" s="715">
        <f>SUM(E59:E60)</f>
        <v>2373.7</v>
      </c>
      <c r="F61" s="714"/>
      <c r="G61" s="714"/>
      <c r="H61" s="714">
        <f>SUM(H59)</f>
        <v>0</v>
      </c>
      <c r="I61" s="715">
        <f>SUM(I59)</f>
        <v>0</v>
      </c>
      <c r="J61" s="714"/>
      <c r="K61" s="714"/>
      <c r="L61" s="715"/>
      <c r="M61" s="714"/>
      <c r="N61" s="704">
        <f>SUM(N59:N60)</f>
        <v>2373.7</v>
      </c>
    </row>
    <row r="62" spans="1:13" s="701" customFormat="1" ht="21.75">
      <c r="A62" s="718" t="s">
        <v>567</v>
      </c>
      <c r="B62" s="705"/>
      <c r="C62" s="375" t="s">
        <v>93</v>
      </c>
      <c r="D62" s="1130"/>
      <c r="E62" s="1130"/>
      <c r="F62" s="1130"/>
      <c r="G62" s="1130"/>
      <c r="H62" s="1130"/>
      <c r="I62" s="1130"/>
      <c r="J62" s="1130"/>
      <c r="K62" s="1130"/>
      <c r="L62" s="1130"/>
      <c r="M62" s="1130"/>
    </row>
    <row r="63" spans="1:14" s="711" customFormat="1" ht="101.25">
      <c r="A63" s="380" t="s">
        <v>617</v>
      </c>
      <c r="B63" s="708">
        <v>28</v>
      </c>
      <c r="C63" s="752" t="s">
        <v>568</v>
      </c>
      <c r="D63" s="1126">
        <v>3</v>
      </c>
      <c r="E63" s="1057">
        <v>251.2</v>
      </c>
      <c r="F63" s="1127"/>
      <c r="G63" s="1058"/>
      <c r="H63" s="1128">
        <v>9</v>
      </c>
      <c r="I63" s="1057">
        <v>1688.5</v>
      </c>
      <c r="J63" s="1129"/>
      <c r="K63" s="1058"/>
      <c r="L63" s="1058"/>
      <c r="M63" s="1058"/>
      <c r="N63" s="646">
        <f>SUM(E63,G63,I63,L63,K63,M63)</f>
        <v>1939.7</v>
      </c>
    </row>
    <row r="64" spans="1:14" s="701" customFormat="1" ht="21.75">
      <c r="A64" s="713"/>
      <c r="B64" s="719"/>
      <c r="C64" s="372" t="s">
        <v>94</v>
      </c>
      <c r="D64" s="714">
        <f>SUM(D63)</f>
        <v>3</v>
      </c>
      <c r="E64" s="715">
        <f>SUM(E63)</f>
        <v>251.2</v>
      </c>
      <c r="F64" s="714"/>
      <c r="G64" s="714"/>
      <c r="H64" s="714">
        <f>SUM(H63)</f>
        <v>9</v>
      </c>
      <c r="I64" s="715">
        <f>SUM(I63)</f>
        <v>1688.5</v>
      </c>
      <c r="J64" s="714"/>
      <c r="K64" s="714"/>
      <c r="L64" s="715"/>
      <c r="M64" s="714"/>
      <c r="N64" s="715">
        <f>SUM(N63)</f>
        <v>1939.7</v>
      </c>
    </row>
    <row r="65" spans="1:14" s="701" customFormat="1" ht="21.75">
      <c r="A65" s="718" t="s">
        <v>95</v>
      </c>
      <c r="B65" s="705"/>
      <c r="C65" s="375" t="s">
        <v>92</v>
      </c>
      <c r="D65" s="401"/>
      <c r="E65" s="376"/>
      <c r="F65" s="401"/>
      <c r="G65" s="376"/>
      <c r="H65" s="402"/>
      <c r="I65" s="376"/>
      <c r="J65" s="402"/>
      <c r="K65" s="376"/>
      <c r="L65" s="376"/>
      <c r="M65" s="376"/>
      <c r="N65" s="376"/>
    </row>
    <row r="66" spans="1:14" s="387" customFormat="1" ht="84.75" customHeight="1">
      <c r="A66" s="361" t="s">
        <v>190</v>
      </c>
      <c r="B66" s="377">
        <v>30</v>
      </c>
      <c r="C66" s="599" t="s">
        <v>619</v>
      </c>
      <c r="D66" s="595">
        <v>14</v>
      </c>
      <c r="E66" s="596">
        <v>121.5</v>
      </c>
      <c r="F66" s="595"/>
      <c r="G66" s="596"/>
      <c r="H66" s="594"/>
      <c r="I66" s="602"/>
      <c r="J66" s="594"/>
      <c r="K66" s="602"/>
      <c r="L66" s="602"/>
      <c r="M66" s="602"/>
      <c r="N66" s="646">
        <f aca="true" t="shared" si="4" ref="N66:N96">SUM(E66,G66,I66,L66,K66,M66)</f>
        <v>121.5</v>
      </c>
    </row>
    <row r="67" spans="1:14" s="387" customFormat="1" ht="63.75" customHeight="1">
      <c r="A67" s="362" t="s">
        <v>132</v>
      </c>
      <c r="B67" s="377">
        <v>31</v>
      </c>
      <c r="C67" s="361" t="s">
        <v>146</v>
      </c>
      <c r="D67" s="595">
        <v>39</v>
      </c>
      <c r="E67" s="596">
        <v>2637.9</v>
      </c>
      <c r="F67" s="595"/>
      <c r="G67" s="596"/>
      <c r="H67" s="594"/>
      <c r="I67" s="602"/>
      <c r="J67" s="594"/>
      <c r="K67" s="602"/>
      <c r="L67" s="602"/>
      <c r="M67" s="602"/>
      <c r="N67" s="646">
        <f>SUM(E67,G67,I67,L67,K67,M67)</f>
        <v>2637.9</v>
      </c>
    </row>
    <row r="68" spans="2:14" s="399" customFormat="1" ht="21.75">
      <c r="B68" s="408"/>
      <c r="C68" s="375" t="s">
        <v>93</v>
      </c>
      <c r="D68" s="625"/>
      <c r="E68" s="626"/>
      <c r="F68" s="625"/>
      <c r="G68" s="626"/>
      <c r="H68" s="627"/>
      <c r="I68" s="628"/>
      <c r="J68" s="627"/>
      <c r="K68" s="628"/>
      <c r="L68" s="628"/>
      <c r="M68" s="628"/>
      <c r="N68" s="626"/>
    </row>
    <row r="69" spans="1:14" s="387" customFormat="1" ht="44.25" customHeight="1">
      <c r="A69" s="361" t="s">
        <v>133</v>
      </c>
      <c r="B69" s="377">
        <v>32</v>
      </c>
      <c r="C69" s="365" t="s">
        <v>369</v>
      </c>
      <c r="D69" s="595">
        <v>6</v>
      </c>
      <c r="E69" s="596">
        <v>547.9</v>
      </c>
      <c r="F69" s="595"/>
      <c r="G69" s="596">
        <v>728.8</v>
      </c>
      <c r="H69" s="594">
        <v>2</v>
      </c>
      <c r="I69" s="602">
        <v>20.6</v>
      </c>
      <c r="J69" s="594"/>
      <c r="K69" s="602"/>
      <c r="L69" s="602"/>
      <c r="M69" s="602"/>
      <c r="N69" s="646">
        <f t="shared" si="4"/>
        <v>1297.2999999999997</v>
      </c>
    </row>
    <row r="70" spans="1:14" s="387" customFormat="1" ht="63">
      <c r="A70" s="1372" t="s">
        <v>623</v>
      </c>
      <c r="B70" s="377">
        <v>33</v>
      </c>
      <c r="C70" s="841" t="s">
        <v>626</v>
      </c>
      <c r="D70" s="595"/>
      <c r="E70" s="596"/>
      <c r="F70" s="595"/>
      <c r="G70" s="596"/>
      <c r="H70" s="594">
        <v>3</v>
      </c>
      <c r="I70" s="602">
        <v>69.5</v>
      </c>
      <c r="J70" s="594"/>
      <c r="K70" s="602"/>
      <c r="L70" s="602"/>
      <c r="M70" s="628"/>
      <c r="N70" s="646">
        <f t="shared" si="4"/>
        <v>69.5</v>
      </c>
    </row>
    <row r="71" spans="1:14" s="387" customFormat="1" ht="42" customHeight="1">
      <c r="A71" s="1371"/>
      <c r="B71" s="377">
        <v>34</v>
      </c>
      <c r="C71" s="841" t="s">
        <v>453</v>
      </c>
      <c r="D71" s="595">
        <v>35</v>
      </c>
      <c r="E71" s="596">
        <v>57.3</v>
      </c>
      <c r="F71" s="595"/>
      <c r="G71" s="596"/>
      <c r="H71" s="594">
        <v>11</v>
      </c>
      <c r="I71" s="602">
        <v>444.8</v>
      </c>
      <c r="J71" s="594"/>
      <c r="K71" s="602"/>
      <c r="L71" s="602"/>
      <c r="M71" s="628"/>
      <c r="N71" s="646">
        <f t="shared" si="4"/>
        <v>502.1</v>
      </c>
    </row>
    <row r="72" spans="1:14" s="387" customFormat="1" ht="63">
      <c r="A72" s="363"/>
      <c r="B72" s="377">
        <v>35</v>
      </c>
      <c r="C72" s="841" t="s">
        <v>454</v>
      </c>
      <c r="D72" s="595"/>
      <c r="E72" s="596"/>
      <c r="F72" s="595"/>
      <c r="G72" s="596"/>
      <c r="H72" s="594">
        <v>5</v>
      </c>
      <c r="I72" s="602">
        <v>682.6</v>
      </c>
      <c r="J72" s="594"/>
      <c r="K72" s="602"/>
      <c r="L72" s="602">
        <v>989.8</v>
      </c>
      <c r="M72" s="628"/>
      <c r="N72" s="646">
        <f>SUM(E72,G72,I72,L72,K72,M72)</f>
        <v>1672.4</v>
      </c>
    </row>
    <row r="73" spans="1:14" s="387" customFormat="1" ht="42">
      <c r="A73" s="363"/>
      <c r="B73" s="377"/>
      <c r="C73" s="841" t="s">
        <v>615</v>
      </c>
      <c r="D73" s="595"/>
      <c r="E73" s="596"/>
      <c r="F73" s="595"/>
      <c r="G73" s="596"/>
      <c r="H73" s="594">
        <v>5</v>
      </c>
      <c r="I73" s="602">
        <v>203.1</v>
      </c>
      <c r="J73" s="594"/>
      <c r="K73" s="602"/>
      <c r="L73" s="602"/>
      <c r="M73" s="628"/>
      <c r="N73" s="646">
        <f t="shared" si="4"/>
        <v>203.1</v>
      </c>
    </row>
    <row r="74" spans="1:14" s="387" customFormat="1" ht="63">
      <c r="A74" s="362" t="s">
        <v>131</v>
      </c>
      <c r="B74" s="377">
        <v>36</v>
      </c>
      <c r="C74" s="597" t="s">
        <v>317</v>
      </c>
      <c r="D74" s="595"/>
      <c r="E74" s="598"/>
      <c r="F74" s="595"/>
      <c r="G74" s="596">
        <v>114.2</v>
      </c>
      <c r="H74" s="594"/>
      <c r="I74" s="602"/>
      <c r="J74" s="594"/>
      <c r="K74" s="602"/>
      <c r="L74" s="602"/>
      <c r="M74" s="602"/>
      <c r="N74" s="646">
        <f t="shared" si="4"/>
        <v>114.2</v>
      </c>
    </row>
    <row r="75" spans="1:14" s="387" customFormat="1" ht="84">
      <c r="A75" s="362"/>
      <c r="B75" s="377">
        <v>37</v>
      </c>
      <c r="C75" s="365" t="s">
        <v>145</v>
      </c>
      <c r="D75" s="595"/>
      <c r="E75" s="619"/>
      <c r="F75" s="595"/>
      <c r="G75" s="596">
        <v>105.8</v>
      </c>
      <c r="H75" s="595"/>
      <c r="I75" s="602"/>
      <c r="J75" s="595"/>
      <c r="K75" s="602"/>
      <c r="L75" s="602"/>
      <c r="M75" s="602"/>
      <c r="N75" s="646">
        <f t="shared" si="4"/>
        <v>105.8</v>
      </c>
    </row>
    <row r="76" spans="1:14" s="387" customFormat="1" ht="22.5" customHeight="1">
      <c r="A76" s="363"/>
      <c r="B76" s="377">
        <v>38</v>
      </c>
      <c r="C76" s="711" t="s">
        <v>721</v>
      </c>
      <c r="D76" s="595"/>
      <c r="E76" s="619"/>
      <c r="F76" s="595"/>
      <c r="G76" s="596">
        <v>114.5</v>
      </c>
      <c r="H76" s="594">
        <v>3</v>
      </c>
      <c r="I76" s="602">
        <v>26.4</v>
      </c>
      <c r="J76" s="594"/>
      <c r="K76" s="602"/>
      <c r="L76" s="602">
        <v>18299.3</v>
      </c>
      <c r="M76" s="602"/>
      <c r="N76" s="646">
        <f t="shared" si="4"/>
        <v>18440.2</v>
      </c>
    </row>
    <row r="77" spans="1:14" s="387" customFormat="1" ht="22.5" customHeight="1">
      <c r="A77" s="363"/>
      <c r="B77" s="377">
        <v>39</v>
      </c>
      <c r="C77" s="387" t="s">
        <v>167</v>
      </c>
      <c r="D77" s="595"/>
      <c r="E77" s="619"/>
      <c r="F77" s="595"/>
      <c r="G77" s="596">
        <v>1113</v>
      </c>
      <c r="H77" s="594">
        <v>3</v>
      </c>
      <c r="I77" s="602">
        <v>130.2</v>
      </c>
      <c r="J77" s="594">
        <v>1</v>
      </c>
      <c r="K77" s="602">
        <v>205.8</v>
      </c>
      <c r="L77" s="602">
        <v>2275</v>
      </c>
      <c r="M77" s="602"/>
      <c r="N77" s="646">
        <f t="shared" si="4"/>
        <v>3724</v>
      </c>
    </row>
    <row r="78" spans="1:14" s="387" customFormat="1" ht="22.5" customHeight="1">
      <c r="A78" s="363"/>
      <c r="B78" s="377">
        <v>40</v>
      </c>
      <c r="C78" s="711" t="s">
        <v>419</v>
      </c>
      <c r="D78" s="595"/>
      <c r="E78" s="619"/>
      <c r="F78" s="595">
        <v>7</v>
      </c>
      <c r="G78" s="596">
        <v>2660.3</v>
      </c>
      <c r="H78" s="594"/>
      <c r="I78" s="602"/>
      <c r="J78" s="594"/>
      <c r="K78" s="602"/>
      <c r="L78" s="602"/>
      <c r="M78" s="602"/>
      <c r="N78" s="646">
        <f t="shared" si="4"/>
        <v>2660.3</v>
      </c>
    </row>
    <row r="79" spans="1:14" s="387" customFormat="1" ht="39" customHeight="1">
      <c r="A79" s="363"/>
      <c r="B79" s="377">
        <v>41</v>
      </c>
      <c r="C79" s="672" t="s">
        <v>188</v>
      </c>
      <c r="D79" s="595"/>
      <c r="E79" s="598"/>
      <c r="F79" s="595"/>
      <c r="G79" s="596">
        <v>437.5</v>
      </c>
      <c r="H79" s="594"/>
      <c r="I79" s="602"/>
      <c r="J79" s="594"/>
      <c r="K79" s="602"/>
      <c r="L79" s="602"/>
      <c r="M79" s="602"/>
      <c r="N79" s="646">
        <f t="shared" si="4"/>
        <v>437.5</v>
      </c>
    </row>
    <row r="80" spans="1:14" s="387" customFormat="1" ht="22.5" customHeight="1">
      <c r="A80" s="363"/>
      <c r="B80" s="377">
        <v>42</v>
      </c>
      <c r="C80" s="672" t="s">
        <v>205</v>
      </c>
      <c r="D80" s="595"/>
      <c r="E80" s="598"/>
      <c r="F80" s="595"/>
      <c r="G80" s="596">
        <v>106</v>
      </c>
      <c r="H80" s="594"/>
      <c r="I80" s="602"/>
      <c r="J80" s="594"/>
      <c r="K80" s="602"/>
      <c r="L80" s="602"/>
      <c r="M80" s="602"/>
      <c r="N80" s="646">
        <f t="shared" si="4"/>
        <v>106</v>
      </c>
    </row>
    <row r="81" spans="1:14" s="387" customFormat="1" ht="22.5" customHeight="1">
      <c r="A81" s="363"/>
      <c r="B81" s="377">
        <v>43</v>
      </c>
      <c r="C81" s="672" t="s">
        <v>206</v>
      </c>
      <c r="D81" s="595"/>
      <c r="E81" s="598"/>
      <c r="F81" s="595"/>
      <c r="G81" s="596">
        <v>39</v>
      </c>
      <c r="H81" s="594"/>
      <c r="I81" s="602"/>
      <c r="J81" s="594"/>
      <c r="K81" s="602"/>
      <c r="L81" s="602"/>
      <c r="M81" s="602"/>
      <c r="N81" s="646">
        <f t="shared" si="4"/>
        <v>39</v>
      </c>
    </row>
    <row r="82" spans="1:14" s="387" customFormat="1" ht="22.5" customHeight="1">
      <c r="A82" s="363"/>
      <c r="B82" s="377">
        <v>44</v>
      </c>
      <c r="C82" s="672" t="s">
        <v>228</v>
      </c>
      <c r="D82" s="595"/>
      <c r="E82" s="598"/>
      <c r="F82" s="595"/>
      <c r="G82" s="596">
        <v>110.4</v>
      </c>
      <c r="H82" s="594"/>
      <c r="I82" s="602"/>
      <c r="J82" s="594"/>
      <c r="K82" s="602"/>
      <c r="L82" s="602"/>
      <c r="M82" s="602"/>
      <c r="N82" s="646">
        <f t="shared" si="4"/>
        <v>110.4</v>
      </c>
    </row>
    <row r="83" spans="1:14" s="387" customFormat="1" ht="42">
      <c r="A83" s="363"/>
      <c r="B83" s="377">
        <v>45</v>
      </c>
      <c r="C83" s="672" t="s">
        <v>424</v>
      </c>
      <c r="D83" s="595">
        <v>10</v>
      </c>
      <c r="E83" s="598">
        <v>186.5</v>
      </c>
      <c r="F83" s="595"/>
      <c r="G83" s="596"/>
      <c r="H83" s="594"/>
      <c r="I83" s="602"/>
      <c r="J83" s="594"/>
      <c r="K83" s="602"/>
      <c r="L83" s="602">
        <v>2303.3</v>
      </c>
      <c r="M83" s="602"/>
      <c r="N83" s="646">
        <f t="shared" si="4"/>
        <v>2489.8</v>
      </c>
    </row>
    <row r="84" spans="1:14" s="387" customFormat="1" ht="22.5" customHeight="1">
      <c r="A84" s="363"/>
      <c r="B84" s="377">
        <v>46</v>
      </c>
      <c r="C84" s="672" t="s">
        <v>370</v>
      </c>
      <c r="D84" s="595"/>
      <c r="E84" s="598"/>
      <c r="F84" s="595"/>
      <c r="G84" s="596">
        <v>898.2</v>
      </c>
      <c r="H84" s="594">
        <v>3</v>
      </c>
      <c r="I84" s="602">
        <v>474.2</v>
      </c>
      <c r="J84" s="594"/>
      <c r="K84" s="602"/>
      <c r="L84" s="602">
        <v>547.5</v>
      </c>
      <c r="M84" s="602"/>
      <c r="N84" s="646">
        <f t="shared" si="4"/>
        <v>1919.9</v>
      </c>
    </row>
    <row r="85" spans="1:14" s="206" customFormat="1" ht="42">
      <c r="A85" s="697"/>
      <c r="B85" s="377">
        <v>47</v>
      </c>
      <c r="C85" s="600" t="s">
        <v>309</v>
      </c>
      <c r="D85" s="618"/>
      <c r="E85" s="598"/>
      <c r="F85" s="618"/>
      <c r="G85" s="598">
        <v>1682.2</v>
      </c>
      <c r="H85" s="615"/>
      <c r="I85" s="598"/>
      <c r="J85" s="615"/>
      <c r="K85" s="598"/>
      <c r="L85" s="602"/>
      <c r="M85" s="598"/>
      <c r="N85" s="646">
        <f t="shared" si="4"/>
        <v>1682.2</v>
      </c>
    </row>
    <row r="86" spans="1:14" s="206" customFormat="1" ht="42">
      <c r="A86" s="697"/>
      <c r="B86" s="377">
        <v>48</v>
      </c>
      <c r="C86" s="877" t="s">
        <v>722</v>
      </c>
      <c r="D86" s="618"/>
      <c r="E86" s="598"/>
      <c r="F86" s="618"/>
      <c r="G86" s="598">
        <v>273.6</v>
      </c>
      <c r="H86" s="615"/>
      <c r="I86" s="598"/>
      <c r="J86" s="615"/>
      <c r="K86" s="598"/>
      <c r="L86" s="602"/>
      <c r="M86" s="598"/>
      <c r="N86" s="646">
        <f t="shared" si="4"/>
        <v>273.6</v>
      </c>
    </row>
    <row r="87" spans="1:14" s="206" customFormat="1" ht="42">
      <c r="A87" s="697"/>
      <c r="B87" s="377">
        <v>49</v>
      </c>
      <c r="C87" s="1076" t="s">
        <v>495</v>
      </c>
      <c r="D87" s="1052"/>
      <c r="E87" s="598"/>
      <c r="F87" s="618"/>
      <c r="G87" s="598"/>
      <c r="H87" s="615"/>
      <c r="I87" s="598"/>
      <c r="J87" s="615"/>
      <c r="K87" s="598"/>
      <c r="L87" s="602">
        <v>345</v>
      </c>
      <c r="M87" s="598"/>
      <c r="N87" s="646">
        <f t="shared" si="4"/>
        <v>345</v>
      </c>
    </row>
    <row r="88" spans="1:14" s="206" customFormat="1" ht="42">
      <c r="A88" s="697"/>
      <c r="B88" s="377"/>
      <c r="C88" s="1076" t="s">
        <v>612</v>
      </c>
      <c r="D88" s="1052"/>
      <c r="E88" s="598"/>
      <c r="F88" s="618"/>
      <c r="G88" s="598"/>
      <c r="H88" s="615">
        <v>4</v>
      </c>
      <c r="I88" s="598">
        <v>253.9</v>
      </c>
      <c r="J88" s="615"/>
      <c r="K88" s="598"/>
      <c r="L88" s="602"/>
      <c r="M88" s="598"/>
      <c r="N88" s="646">
        <f t="shared" si="4"/>
        <v>253.9</v>
      </c>
    </row>
    <row r="89" spans="1:14" s="206" customFormat="1" ht="81">
      <c r="A89" s="361" t="s">
        <v>230</v>
      </c>
      <c r="B89" s="371">
        <v>50</v>
      </c>
      <c r="C89" s="840" t="s">
        <v>399</v>
      </c>
      <c r="D89" s="618">
        <v>40</v>
      </c>
      <c r="E89" s="598">
        <v>343.1</v>
      </c>
      <c r="F89" s="618"/>
      <c r="G89" s="598"/>
      <c r="H89" s="615"/>
      <c r="I89" s="598"/>
      <c r="J89" s="615"/>
      <c r="K89" s="598"/>
      <c r="L89" s="598"/>
      <c r="M89" s="598"/>
      <c r="N89" s="646">
        <f t="shared" si="4"/>
        <v>343.1</v>
      </c>
    </row>
    <row r="90" spans="1:14" s="387" customFormat="1" ht="26.25" customHeight="1">
      <c r="A90" s="1370" t="s">
        <v>190</v>
      </c>
      <c r="B90" s="377">
        <v>51</v>
      </c>
      <c r="C90" s="597" t="s">
        <v>718</v>
      </c>
      <c r="D90" s="595"/>
      <c r="E90" s="813"/>
      <c r="F90" s="595"/>
      <c r="G90" s="596"/>
      <c r="H90" s="594">
        <v>8</v>
      </c>
      <c r="I90" s="602">
        <v>186.9</v>
      </c>
      <c r="J90" s="594"/>
      <c r="K90" s="602"/>
      <c r="L90" s="602"/>
      <c r="M90" s="602"/>
      <c r="N90" s="646">
        <f t="shared" si="4"/>
        <v>186.9</v>
      </c>
    </row>
    <row r="91" spans="1:14" s="387" customFormat="1" ht="42">
      <c r="A91" s="1371"/>
      <c r="B91" s="377">
        <v>52</v>
      </c>
      <c r="C91" s="597" t="s">
        <v>418</v>
      </c>
      <c r="D91" s="595">
        <v>30</v>
      </c>
      <c r="E91" s="598">
        <v>334.2</v>
      </c>
      <c r="F91" s="595"/>
      <c r="G91" s="596"/>
      <c r="H91" s="594"/>
      <c r="I91" s="602"/>
      <c r="J91" s="594"/>
      <c r="K91" s="602"/>
      <c r="L91" s="602"/>
      <c r="M91" s="602"/>
      <c r="N91" s="646">
        <f t="shared" si="4"/>
        <v>334.2</v>
      </c>
    </row>
    <row r="92" spans="1:14" s="601" customFormat="1" ht="42">
      <c r="A92" s="363"/>
      <c r="B92" s="377"/>
      <c r="C92" s="599" t="s">
        <v>649</v>
      </c>
      <c r="D92" s="595"/>
      <c r="E92" s="598"/>
      <c r="F92" s="595"/>
      <c r="G92" s="596"/>
      <c r="H92" s="594">
        <v>18</v>
      </c>
      <c r="I92" s="602">
        <v>895.3</v>
      </c>
      <c r="J92" s="594"/>
      <c r="K92" s="602"/>
      <c r="L92" s="602"/>
      <c r="M92" s="602"/>
      <c r="N92" s="646">
        <f t="shared" si="4"/>
        <v>895.3</v>
      </c>
    </row>
    <row r="93" spans="1:14" s="601" customFormat="1" ht="42">
      <c r="A93" s="363"/>
      <c r="B93" s="377"/>
      <c r="C93" s="599" t="s">
        <v>655</v>
      </c>
      <c r="D93" s="595"/>
      <c r="E93" s="598"/>
      <c r="F93" s="595"/>
      <c r="G93" s="596"/>
      <c r="H93" s="594">
        <v>8</v>
      </c>
      <c r="I93" s="602">
        <v>216.4</v>
      </c>
      <c r="J93" s="594"/>
      <c r="K93" s="602"/>
      <c r="L93" s="602"/>
      <c r="M93" s="602"/>
      <c r="N93" s="646">
        <f t="shared" si="4"/>
        <v>216.4</v>
      </c>
    </row>
    <row r="94" spans="1:14" s="601" customFormat="1" ht="63">
      <c r="A94" s="362" t="s">
        <v>132</v>
      </c>
      <c r="B94" s="377">
        <v>53</v>
      </c>
      <c r="C94" s="597" t="s">
        <v>433</v>
      </c>
      <c r="D94" s="595"/>
      <c r="E94" s="598"/>
      <c r="F94" s="595"/>
      <c r="G94" s="596"/>
      <c r="H94" s="594"/>
      <c r="I94" s="602"/>
      <c r="J94" s="594"/>
      <c r="K94" s="602"/>
      <c r="L94" s="602"/>
      <c r="M94" s="602">
        <v>1932.9</v>
      </c>
      <c r="N94" s="646">
        <f t="shared" si="4"/>
        <v>1932.9</v>
      </c>
    </row>
    <row r="95" spans="1:14" s="206" customFormat="1" ht="42">
      <c r="A95" s="389"/>
      <c r="B95" s="377">
        <v>54</v>
      </c>
      <c r="C95" s="600" t="s">
        <v>202</v>
      </c>
      <c r="D95" s="618">
        <v>10</v>
      </c>
      <c r="E95" s="598">
        <v>284.4</v>
      </c>
      <c r="F95" s="618"/>
      <c r="G95" s="598"/>
      <c r="H95" s="615"/>
      <c r="I95" s="598"/>
      <c r="J95" s="615"/>
      <c r="K95" s="598"/>
      <c r="L95" s="598">
        <v>1270</v>
      </c>
      <c r="M95" s="598"/>
      <c r="N95" s="646">
        <f>SUM(E95,G95,I95,L95,K95,M95)</f>
        <v>1554.4</v>
      </c>
    </row>
    <row r="96" spans="1:14" s="206" customFormat="1" ht="42">
      <c r="A96" s="389"/>
      <c r="B96" s="377"/>
      <c r="C96" s="1076" t="s">
        <v>613</v>
      </c>
      <c r="D96" s="618"/>
      <c r="E96" s="598"/>
      <c r="F96" s="618"/>
      <c r="G96" s="598"/>
      <c r="H96" s="615">
        <v>4</v>
      </c>
      <c r="I96" s="598">
        <v>207.1</v>
      </c>
      <c r="J96" s="615"/>
      <c r="K96" s="598"/>
      <c r="L96" s="598"/>
      <c r="M96" s="598"/>
      <c r="N96" s="646">
        <f t="shared" si="4"/>
        <v>207.1</v>
      </c>
    </row>
    <row r="97" spans="1:14" s="399" customFormat="1" ht="21.75">
      <c r="A97" s="400"/>
      <c r="B97" s="410"/>
      <c r="C97" s="372" t="s">
        <v>94</v>
      </c>
      <c r="D97" s="374">
        <f aca="true" t="shared" si="5" ref="D97:N97">SUM(D66:D96)</f>
        <v>184</v>
      </c>
      <c r="E97" s="373">
        <f t="shared" si="5"/>
        <v>4512.8</v>
      </c>
      <c r="F97" s="374">
        <f t="shared" si="5"/>
        <v>7</v>
      </c>
      <c r="G97" s="373">
        <f t="shared" si="5"/>
        <v>8383.5</v>
      </c>
      <c r="H97" s="374">
        <f t="shared" si="5"/>
        <v>77</v>
      </c>
      <c r="I97" s="373">
        <f t="shared" si="5"/>
        <v>3811</v>
      </c>
      <c r="J97" s="374">
        <f t="shared" si="5"/>
        <v>1</v>
      </c>
      <c r="K97" s="373">
        <f t="shared" si="5"/>
        <v>205.8</v>
      </c>
      <c r="L97" s="373">
        <f t="shared" si="5"/>
        <v>26029.899999999998</v>
      </c>
      <c r="M97" s="373">
        <f t="shared" si="5"/>
        <v>1932.9</v>
      </c>
      <c r="N97" s="373">
        <f t="shared" si="5"/>
        <v>44875.9</v>
      </c>
    </row>
    <row r="98" spans="1:14" s="399" customFormat="1" ht="21.75">
      <c r="A98" s="360" t="s">
        <v>445</v>
      </c>
      <c r="B98" s="721"/>
      <c r="C98" s="360" t="s">
        <v>93</v>
      </c>
      <c r="D98" s="722"/>
      <c r="E98" s="379"/>
      <c r="F98" s="722"/>
      <c r="G98" s="379"/>
      <c r="H98" s="723"/>
      <c r="I98" s="379"/>
      <c r="J98" s="723"/>
      <c r="K98" s="379"/>
      <c r="L98" s="379"/>
      <c r="M98" s="379"/>
      <c r="N98" s="376"/>
    </row>
    <row r="99" spans="1:14" s="399" customFormat="1" ht="24" customHeight="1">
      <c r="A99" s="361" t="s">
        <v>133</v>
      </c>
      <c r="B99" s="716">
        <v>55</v>
      </c>
      <c r="C99" s="599" t="s">
        <v>635</v>
      </c>
      <c r="D99" s="624"/>
      <c r="E99" s="603"/>
      <c r="F99" s="624"/>
      <c r="G99" s="603"/>
      <c r="H99" s="620">
        <v>4</v>
      </c>
      <c r="I99" s="603">
        <v>487.8</v>
      </c>
      <c r="J99" s="620"/>
      <c r="K99" s="603"/>
      <c r="L99" s="710"/>
      <c r="M99" s="710"/>
      <c r="N99" s="646">
        <f>SUM(E99,G99,I99,L99,K99,M99)</f>
        <v>487.8</v>
      </c>
    </row>
    <row r="100" spans="1:14" s="399" customFormat="1" ht="21.75">
      <c r="A100" s="400"/>
      <c r="B100" s="702"/>
      <c r="C100" s="372" t="s">
        <v>94</v>
      </c>
      <c r="D100" s="374">
        <f aca="true" t="shared" si="6" ref="D100:N100">SUM(D99:D99)</f>
        <v>0</v>
      </c>
      <c r="E100" s="373">
        <f t="shared" si="6"/>
        <v>0</v>
      </c>
      <c r="F100" s="842">
        <f t="shared" si="6"/>
        <v>0</v>
      </c>
      <c r="G100" s="843">
        <f t="shared" si="6"/>
        <v>0</v>
      </c>
      <c r="H100" s="844">
        <f t="shared" si="6"/>
        <v>4</v>
      </c>
      <c r="I100" s="843">
        <f t="shared" si="6"/>
        <v>487.8</v>
      </c>
      <c r="J100" s="818">
        <f t="shared" si="6"/>
        <v>0</v>
      </c>
      <c r="K100" s="818">
        <f t="shared" si="6"/>
        <v>0</v>
      </c>
      <c r="L100" s="843">
        <f t="shared" si="6"/>
        <v>0</v>
      </c>
      <c r="M100" s="818">
        <f t="shared" si="6"/>
        <v>0</v>
      </c>
      <c r="N100" s="704">
        <f t="shared" si="6"/>
        <v>487.8</v>
      </c>
    </row>
    <row r="101" spans="1:14" s="724" customFormat="1" ht="21">
      <c r="A101" s="360" t="s">
        <v>444</v>
      </c>
      <c r="B101" s="721"/>
      <c r="C101" s="375" t="s">
        <v>92</v>
      </c>
      <c r="D101" s="722"/>
      <c r="E101" s="379"/>
      <c r="F101" s="722"/>
      <c r="G101" s="379"/>
      <c r="H101" s="723"/>
      <c r="I101" s="379"/>
      <c r="J101" s="723"/>
      <c r="K101" s="379"/>
      <c r="L101" s="379"/>
      <c r="M101" s="379"/>
      <c r="N101" s="376"/>
    </row>
    <row r="102" spans="1:14" s="724" customFormat="1" ht="21.75">
      <c r="A102" s="1374" t="s">
        <v>163</v>
      </c>
      <c r="B102" s="716">
        <v>56</v>
      </c>
      <c r="C102" s="659" t="s">
        <v>568</v>
      </c>
      <c r="D102" s="595">
        <v>2</v>
      </c>
      <c r="E102" s="602">
        <v>238.4</v>
      </c>
      <c r="F102" s="1079"/>
      <c r="G102" s="1080"/>
      <c r="H102" s="1081"/>
      <c r="I102" s="1080"/>
      <c r="J102" s="1081"/>
      <c r="K102" s="1080"/>
      <c r="L102" s="1080"/>
      <c r="M102" s="1080"/>
      <c r="N102" s="646">
        <f>SUM(E102,G102,I102,L102,K102,M102)</f>
        <v>238.4</v>
      </c>
    </row>
    <row r="103" spans="1:14" s="724" customFormat="1" ht="42" customHeight="1">
      <c r="A103" s="1376"/>
      <c r="B103" s="1078"/>
      <c r="C103" s="375" t="s">
        <v>93</v>
      </c>
      <c r="D103" s="1079"/>
      <c r="E103" s="1080"/>
      <c r="F103" s="1079"/>
      <c r="G103" s="1080"/>
      <c r="H103" s="1081"/>
      <c r="I103" s="1080"/>
      <c r="J103" s="1081"/>
      <c r="K103" s="1080"/>
      <c r="L103" s="1080"/>
      <c r="M103" s="1080"/>
      <c r="N103" s="646"/>
    </row>
    <row r="104" spans="1:14" s="711" customFormat="1" ht="60.75">
      <c r="A104" s="697" t="s">
        <v>190</v>
      </c>
      <c r="B104" s="716"/>
      <c r="C104" s="599" t="s">
        <v>512</v>
      </c>
      <c r="D104" s="624">
        <v>10</v>
      </c>
      <c r="E104" s="603">
        <v>911.6</v>
      </c>
      <c r="F104" s="624"/>
      <c r="G104" s="603"/>
      <c r="H104" s="620"/>
      <c r="I104" s="603"/>
      <c r="J104" s="620"/>
      <c r="K104" s="603"/>
      <c r="L104" s="710"/>
      <c r="M104" s="710"/>
      <c r="N104" s="646">
        <f>SUM(E104,G104,I104,L104,K104,M104)</f>
        <v>911.6</v>
      </c>
    </row>
    <row r="105" spans="1:14" s="711" customFormat="1" ht="59.25" customHeight="1">
      <c r="A105" s="361" t="s">
        <v>622</v>
      </c>
      <c r="B105" s="716">
        <v>57</v>
      </c>
      <c r="C105" s="599" t="s">
        <v>630</v>
      </c>
      <c r="D105" s="624">
        <v>16</v>
      </c>
      <c r="E105" s="603">
        <v>492.8</v>
      </c>
      <c r="F105" s="624"/>
      <c r="G105" s="603"/>
      <c r="H105" s="620"/>
      <c r="I105" s="603"/>
      <c r="J105" s="620"/>
      <c r="K105" s="603"/>
      <c r="L105" s="710"/>
      <c r="M105" s="710"/>
      <c r="N105" s="646">
        <f>SUM(E105,G105,I105,L105,K105,M105)</f>
        <v>492.8</v>
      </c>
    </row>
    <row r="106" spans="1:14" s="701" customFormat="1" ht="21.75">
      <c r="A106" s="400"/>
      <c r="B106" s="702"/>
      <c r="C106" s="372" t="s">
        <v>94</v>
      </c>
      <c r="D106" s="374">
        <f>SUM(D102:D105)</f>
        <v>28</v>
      </c>
      <c r="E106" s="373">
        <f>SUM(E102:E105)</f>
        <v>1642.8</v>
      </c>
      <c r="F106" s="842">
        <f aca="true" t="shared" si="7" ref="F106:M106">SUM(F105:F105)</f>
        <v>0</v>
      </c>
      <c r="G106" s="843">
        <f t="shared" si="7"/>
        <v>0</v>
      </c>
      <c r="H106" s="844">
        <f t="shared" si="7"/>
        <v>0</v>
      </c>
      <c r="I106" s="843">
        <f t="shared" si="7"/>
        <v>0</v>
      </c>
      <c r="J106" s="818">
        <f t="shared" si="7"/>
        <v>0</v>
      </c>
      <c r="K106" s="818">
        <f t="shared" si="7"/>
        <v>0</v>
      </c>
      <c r="L106" s="843">
        <f t="shared" si="7"/>
        <v>0</v>
      </c>
      <c r="M106" s="818">
        <f t="shared" si="7"/>
        <v>0</v>
      </c>
      <c r="N106" s="704">
        <f>SUM(N102:N105)</f>
        <v>1642.8</v>
      </c>
    </row>
    <row r="107" spans="1:14" s="724" customFormat="1" ht="21">
      <c r="A107" s="360" t="s">
        <v>569</v>
      </c>
      <c r="B107" s="721"/>
      <c r="C107" s="360" t="s">
        <v>93</v>
      </c>
      <c r="D107" s="722"/>
      <c r="E107" s="379"/>
      <c r="F107" s="722"/>
      <c r="G107" s="379"/>
      <c r="H107" s="723"/>
      <c r="I107" s="379"/>
      <c r="J107" s="723"/>
      <c r="K107" s="379"/>
      <c r="L107" s="379"/>
      <c r="M107" s="379"/>
      <c r="N107" s="376"/>
    </row>
    <row r="108" spans="1:14" s="711" customFormat="1" ht="45.75" customHeight="1">
      <c r="A108" s="361" t="s">
        <v>570</v>
      </c>
      <c r="B108" s="716">
        <v>58</v>
      </c>
      <c r="C108" s="599" t="s">
        <v>571</v>
      </c>
      <c r="D108" s="624"/>
      <c r="E108" s="603"/>
      <c r="F108" s="624"/>
      <c r="G108" s="603"/>
      <c r="H108" s="620">
        <v>3</v>
      </c>
      <c r="I108" s="603">
        <v>447.1</v>
      </c>
      <c r="J108" s="620"/>
      <c r="K108" s="603"/>
      <c r="L108" s="710"/>
      <c r="M108" s="710"/>
      <c r="N108" s="646">
        <f>SUM(E108,G108,I108,L108,K108,M108)</f>
        <v>447.1</v>
      </c>
    </row>
    <row r="109" spans="1:14" s="701" customFormat="1" ht="21.75">
      <c r="A109" s="400"/>
      <c r="B109" s="702"/>
      <c r="C109" s="372" t="s">
        <v>94</v>
      </c>
      <c r="D109" s="374">
        <f aca="true" t="shared" si="8" ref="D109:N109">SUM(D108:D108)</f>
        <v>0</v>
      </c>
      <c r="E109" s="373">
        <f t="shared" si="8"/>
        <v>0</v>
      </c>
      <c r="F109" s="842">
        <f t="shared" si="8"/>
        <v>0</v>
      </c>
      <c r="G109" s="843">
        <f t="shared" si="8"/>
        <v>0</v>
      </c>
      <c r="H109" s="844">
        <f t="shared" si="8"/>
        <v>3</v>
      </c>
      <c r="I109" s="843">
        <f t="shared" si="8"/>
        <v>447.1</v>
      </c>
      <c r="J109" s="818">
        <f t="shared" si="8"/>
        <v>0</v>
      </c>
      <c r="K109" s="818">
        <f t="shared" si="8"/>
        <v>0</v>
      </c>
      <c r="L109" s="843">
        <f t="shared" si="8"/>
        <v>0</v>
      </c>
      <c r="M109" s="818">
        <f t="shared" si="8"/>
        <v>0</v>
      </c>
      <c r="N109" s="704">
        <f t="shared" si="8"/>
        <v>447.1</v>
      </c>
    </row>
    <row r="110" spans="1:14" s="724" customFormat="1" ht="21">
      <c r="A110" s="360" t="s">
        <v>256</v>
      </c>
      <c r="B110" s="721"/>
      <c r="C110" s="360" t="s">
        <v>93</v>
      </c>
      <c r="D110" s="722"/>
      <c r="E110" s="379"/>
      <c r="F110" s="722"/>
      <c r="G110" s="379"/>
      <c r="H110" s="723"/>
      <c r="I110" s="379"/>
      <c r="J110" s="723"/>
      <c r="K110" s="379"/>
      <c r="L110" s="379"/>
      <c r="M110" s="379"/>
      <c r="N110" s="376"/>
    </row>
    <row r="111" spans="1:14" s="711" customFormat="1" ht="141.75">
      <c r="A111" s="380" t="s">
        <v>623</v>
      </c>
      <c r="B111" s="716">
        <v>59</v>
      </c>
      <c r="C111" s="599" t="s">
        <v>633</v>
      </c>
      <c r="D111" s="624"/>
      <c r="E111" s="603"/>
      <c r="F111" s="624"/>
      <c r="G111" s="603"/>
      <c r="H111" s="620">
        <v>3</v>
      </c>
      <c r="I111" s="603">
        <v>1328</v>
      </c>
      <c r="J111" s="620"/>
      <c r="K111" s="603">
        <v>248.5</v>
      </c>
      <c r="L111" s="603">
        <v>5406.7</v>
      </c>
      <c r="M111" s="710"/>
      <c r="N111" s="646">
        <f>SUM(E111,G111,I111,L111,K111,M111)</f>
        <v>6983.2</v>
      </c>
    </row>
    <row r="112" spans="1:14" s="701" customFormat="1" ht="21.75">
      <c r="A112" s="400"/>
      <c r="B112" s="702"/>
      <c r="C112" s="372" t="s">
        <v>94</v>
      </c>
      <c r="D112" s="374">
        <f aca="true" t="shared" si="9" ref="D112:N112">SUM(D111:D111)</f>
        <v>0</v>
      </c>
      <c r="E112" s="373">
        <f t="shared" si="9"/>
        <v>0</v>
      </c>
      <c r="F112" s="842">
        <f t="shared" si="9"/>
        <v>0</v>
      </c>
      <c r="G112" s="843">
        <f t="shared" si="9"/>
        <v>0</v>
      </c>
      <c r="H112" s="844">
        <f t="shared" si="9"/>
        <v>3</v>
      </c>
      <c r="I112" s="843">
        <f t="shared" si="9"/>
        <v>1328</v>
      </c>
      <c r="J112" s="818">
        <f t="shared" si="9"/>
        <v>0</v>
      </c>
      <c r="K112" s="843">
        <f t="shared" si="9"/>
        <v>248.5</v>
      </c>
      <c r="L112" s="843">
        <f t="shared" si="9"/>
        <v>5406.7</v>
      </c>
      <c r="M112" s="818">
        <f t="shared" si="9"/>
        <v>0</v>
      </c>
      <c r="N112" s="704">
        <f t="shared" si="9"/>
        <v>6983.2</v>
      </c>
    </row>
    <row r="113" spans="1:14" s="387" customFormat="1" ht="21">
      <c r="A113" s="360" t="s">
        <v>194</v>
      </c>
      <c r="B113" s="371"/>
      <c r="C113" s="375" t="s">
        <v>92</v>
      </c>
      <c r="D113" s="381"/>
      <c r="E113" s="382"/>
      <c r="F113" s="381"/>
      <c r="G113" s="382"/>
      <c r="H113" s="383"/>
      <c r="I113" s="382"/>
      <c r="J113" s="383"/>
      <c r="K113" s="382"/>
      <c r="L113" s="382"/>
      <c r="M113" s="382"/>
      <c r="N113" s="388"/>
    </row>
    <row r="114" spans="1:14" s="387" customFormat="1" ht="21.75">
      <c r="A114" s="362" t="s">
        <v>131</v>
      </c>
      <c r="B114" s="371"/>
      <c r="C114" s="363" t="s">
        <v>624</v>
      </c>
      <c r="D114" s="381"/>
      <c r="E114" s="382"/>
      <c r="F114" s="381"/>
      <c r="G114" s="382"/>
      <c r="H114" s="383"/>
      <c r="I114" s="382"/>
      <c r="J114" s="383"/>
      <c r="K114" s="382"/>
      <c r="L114" s="598">
        <v>9440</v>
      </c>
      <c r="M114" s="382"/>
      <c r="N114" s="646">
        <f aca="true" t="shared" si="10" ref="N114:N128">SUM(E114,G114,I114,L114,K114,M114)</f>
        <v>9440</v>
      </c>
    </row>
    <row r="115" spans="1:14" s="387" customFormat="1" ht="21.75">
      <c r="A115" s="375"/>
      <c r="B115" s="371"/>
      <c r="C115" s="375" t="s">
        <v>93</v>
      </c>
      <c r="D115" s="381"/>
      <c r="E115" s="382"/>
      <c r="F115" s="381"/>
      <c r="G115" s="382"/>
      <c r="H115" s="383"/>
      <c r="I115" s="382"/>
      <c r="J115" s="383"/>
      <c r="K115" s="382"/>
      <c r="L115" s="382"/>
      <c r="M115" s="382"/>
      <c r="N115" s="646">
        <f t="shared" si="10"/>
        <v>0</v>
      </c>
    </row>
    <row r="116" spans="1:14" s="387" customFormat="1" ht="60.75">
      <c r="A116" s="361" t="s">
        <v>133</v>
      </c>
      <c r="B116" s="371">
        <v>60</v>
      </c>
      <c r="C116" s="599" t="s">
        <v>377</v>
      </c>
      <c r="D116" s="618">
        <v>8</v>
      </c>
      <c r="E116" s="598">
        <v>296.9</v>
      </c>
      <c r="F116" s="618"/>
      <c r="G116" s="598"/>
      <c r="H116" s="620"/>
      <c r="I116" s="603"/>
      <c r="J116" s="620"/>
      <c r="K116" s="603"/>
      <c r="L116" s="598"/>
      <c r="M116" s="598"/>
      <c r="N116" s="646">
        <f t="shared" si="10"/>
        <v>296.9</v>
      </c>
    </row>
    <row r="117" spans="1:14" s="387" customFormat="1" ht="68.25" customHeight="1">
      <c r="A117" s="362" t="s">
        <v>131</v>
      </c>
      <c r="B117" s="371">
        <v>61</v>
      </c>
      <c r="C117" s="709" t="s">
        <v>505</v>
      </c>
      <c r="D117" s="618"/>
      <c r="E117" s="598"/>
      <c r="F117" s="618"/>
      <c r="G117" s="598">
        <v>866.2</v>
      </c>
      <c r="H117" s="615">
        <v>8</v>
      </c>
      <c r="I117" s="598">
        <v>732.7</v>
      </c>
      <c r="J117" s="615"/>
      <c r="K117" s="598"/>
      <c r="L117" s="598"/>
      <c r="M117" s="378"/>
      <c r="N117" s="646">
        <f t="shared" si="10"/>
        <v>1598.9</v>
      </c>
    </row>
    <row r="118" spans="1:14" s="387" customFormat="1" ht="64.5" customHeight="1">
      <c r="A118" s="362"/>
      <c r="B118" s="371">
        <v>62</v>
      </c>
      <c r="C118" s="709" t="s">
        <v>507</v>
      </c>
      <c r="D118" s="618"/>
      <c r="E118" s="598"/>
      <c r="F118" s="618"/>
      <c r="G118" s="598"/>
      <c r="H118" s="615">
        <v>1</v>
      </c>
      <c r="I118" s="598">
        <v>16.7</v>
      </c>
      <c r="J118" s="615">
        <v>2</v>
      </c>
      <c r="K118" s="598">
        <v>989.4</v>
      </c>
      <c r="L118" s="598">
        <v>8.6</v>
      </c>
      <c r="M118" s="378"/>
      <c r="N118" s="646">
        <f t="shared" si="10"/>
        <v>1014.6999999999999</v>
      </c>
    </row>
    <row r="119" spans="1:14" s="387" customFormat="1" ht="40.5" customHeight="1">
      <c r="A119" s="362"/>
      <c r="B119" s="371"/>
      <c r="C119" s="1054" t="s">
        <v>625</v>
      </c>
      <c r="D119" s="618"/>
      <c r="E119" s="598"/>
      <c r="F119" s="618"/>
      <c r="G119" s="598"/>
      <c r="H119" s="615">
        <v>9</v>
      </c>
      <c r="I119" s="598">
        <v>202.1</v>
      </c>
      <c r="J119" s="615"/>
      <c r="K119" s="598"/>
      <c r="M119" s="378"/>
      <c r="N119" s="646">
        <f>SUM(E119,G119,I119,L119,K119,M119)</f>
        <v>202.1</v>
      </c>
    </row>
    <row r="120" spans="1:14" s="387" customFormat="1" ht="81">
      <c r="A120" s="361" t="s">
        <v>230</v>
      </c>
      <c r="B120" s="371">
        <v>63</v>
      </c>
      <c r="C120" s="840" t="s">
        <v>576</v>
      </c>
      <c r="D120" s="618">
        <v>100</v>
      </c>
      <c r="E120" s="598">
        <v>679.6</v>
      </c>
      <c r="F120" s="618"/>
      <c r="G120" s="598"/>
      <c r="H120" s="615"/>
      <c r="I120" s="598"/>
      <c r="J120" s="615"/>
      <c r="K120" s="598"/>
      <c r="L120" s="598"/>
      <c r="M120" s="598"/>
      <c r="N120" s="646">
        <f>SUM(E120,G120,I120,L120,K120,M120)</f>
        <v>679.6</v>
      </c>
    </row>
    <row r="121" spans="1:14" s="387" customFormat="1" ht="42">
      <c r="A121" s="697"/>
      <c r="B121" s="377">
        <v>64</v>
      </c>
      <c r="C121" s="1318" t="s">
        <v>508</v>
      </c>
      <c r="D121" s="618">
        <v>6</v>
      </c>
      <c r="E121" s="598">
        <v>240.6</v>
      </c>
      <c r="F121" s="618"/>
      <c r="G121" s="598"/>
      <c r="H121" s="615"/>
      <c r="I121" s="598"/>
      <c r="J121" s="615"/>
      <c r="K121" s="598"/>
      <c r="L121" s="602"/>
      <c r="M121" s="598"/>
      <c r="N121" s="646">
        <f t="shared" si="10"/>
        <v>240.6</v>
      </c>
    </row>
    <row r="122" spans="1:14" s="387" customFormat="1" ht="147">
      <c r="A122" s="361" t="s">
        <v>163</v>
      </c>
      <c r="B122" s="371">
        <v>65</v>
      </c>
      <c r="C122" s="599" t="s">
        <v>506</v>
      </c>
      <c r="D122" s="618"/>
      <c r="E122" s="598"/>
      <c r="F122" s="618"/>
      <c r="G122" s="598">
        <v>131.2</v>
      </c>
      <c r="H122" s="620">
        <v>4</v>
      </c>
      <c r="I122" s="603">
        <v>150.6</v>
      </c>
      <c r="J122" s="620"/>
      <c r="K122" s="603"/>
      <c r="L122" s="598"/>
      <c r="M122" s="598"/>
      <c r="N122" s="646">
        <f t="shared" si="10"/>
        <v>281.79999999999995</v>
      </c>
    </row>
    <row r="123" spans="1:14" s="601" customFormat="1" ht="42.75" customHeight="1">
      <c r="A123" s="361" t="s">
        <v>190</v>
      </c>
      <c r="B123" s="371"/>
      <c r="C123" s="599" t="s">
        <v>611</v>
      </c>
      <c r="D123" s="618"/>
      <c r="E123" s="598"/>
      <c r="F123" s="618"/>
      <c r="G123" s="598"/>
      <c r="H123" s="620">
        <v>13</v>
      </c>
      <c r="I123" s="603">
        <v>749.6</v>
      </c>
      <c r="J123" s="620"/>
      <c r="K123" s="603"/>
      <c r="L123" s="598"/>
      <c r="M123" s="598"/>
      <c r="N123" s="646">
        <f t="shared" si="10"/>
        <v>749.6</v>
      </c>
    </row>
    <row r="124" spans="1:14" s="601" customFormat="1" ht="63">
      <c r="A124" s="362" t="s">
        <v>132</v>
      </c>
      <c r="B124" s="377">
        <v>66</v>
      </c>
      <c r="C124" s="597" t="s">
        <v>577</v>
      </c>
      <c r="D124" s="595"/>
      <c r="E124" s="598"/>
      <c r="F124" s="595"/>
      <c r="G124" s="596"/>
      <c r="H124" s="594"/>
      <c r="I124" s="602"/>
      <c r="J124" s="594"/>
      <c r="K124" s="602"/>
      <c r="L124" s="602"/>
      <c r="M124" s="602">
        <v>1307.9</v>
      </c>
      <c r="N124" s="646">
        <f t="shared" si="10"/>
        <v>1307.9</v>
      </c>
    </row>
    <row r="125" spans="1:14" s="601" customFormat="1" ht="63">
      <c r="A125" s="362"/>
      <c r="B125" s="377">
        <v>67</v>
      </c>
      <c r="C125" s="1317" t="s">
        <v>723</v>
      </c>
      <c r="D125" s="595"/>
      <c r="E125" s="598"/>
      <c r="F125" s="595"/>
      <c r="G125" s="596"/>
      <c r="H125" s="594">
        <v>30</v>
      </c>
      <c r="I125" s="602">
        <v>3122.4</v>
      </c>
      <c r="J125" s="594"/>
      <c r="K125" s="602"/>
      <c r="L125" s="602"/>
      <c r="M125" s="602"/>
      <c r="N125" s="646">
        <f t="shared" si="10"/>
        <v>3122.4</v>
      </c>
    </row>
    <row r="126" spans="1:14" s="387" customFormat="1" ht="60.75">
      <c r="A126" s="1374" t="s">
        <v>151</v>
      </c>
      <c r="B126" s="377"/>
      <c r="C126" s="817" t="s">
        <v>376</v>
      </c>
      <c r="D126" s="595"/>
      <c r="E126" s="596"/>
      <c r="F126" s="595"/>
      <c r="G126" s="596"/>
      <c r="H126" s="594"/>
      <c r="I126" s="602"/>
      <c r="J126" s="594"/>
      <c r="K126" s="602"/>
      <c r="L126" s="602"/>
      <c r="M126" s="602"/>
      <c r="N126" s="646">
        <f t="shared" si="10"/>
        <v>0</v>
      </c>
    </row>
    <row r="127" spans="1:14" s="387" customFormat="1" ht="42">
      <c r="A127" s="1376"/>
      <c r="B127" s="898">
        <v>68</v>
      </c>
      <c r="C127" s="604" t="s">
        <v>456</v>
      </c>
      <c r="D127" s="595">
        <v>10</v>
      </c>
      <c r="E127" s="596">
        <v>614.4</v>
      </c>
      <c r="F127" s="595"/>
      <c r="G127" s="596"/>
      <c r="H127" s="594">
        <v>12</v>
      </c>
      <c r="I127" s="602">
        <v>452.8</v>
      </c>
      <c r="J127" s="594"/>
      <c r="K127" s="602"/>
      <c r="L127" s="602"/>
      <c r="M127" s="602"/>
      <c r="N127" s="646">
        <f t="shared" si="10"/>
        <v>1067.2</v>
      </c>
    </row>
    <row r="128" spans="1:14" s="399" customFormat="1" ht="63">
      <c r="A128" s="697"/>
      <c r="B128" s="898">
        <v>69</v>
      </c>
      <c r="C128" s="604" t="s">
        <v>455</v>
      </c>
      <c r="D128" s="595">
        <v>16</v>
      </c>
      <c r="E128" s="596">
        <v>1455.4</v>
      </c>
      <c r="F128" s="595"/>
      <c r="G128" s="596"/>
      <c r="H128" s="594"/>
      <c r="I128" s="602"/>
      <c r="J128" s="594"/>
      <c r="K128" s="602"/>
      <c r="L128" s="602">
        <v>12982.4</v>
      </c>
      <c r="M128" s="602"/>
      <c r="N128" s="646">
        <f t="shared" si="10"/>
        <v>14437.8</v>
      </c>
    </row>
    <row r="129" spans="1:14" s="387" customFormat="1" ht="84">
      <c r="A129" s="1372" t="s">
        <v>623</v>
      </c>
      <c r="B129" s="371">
        <v>70</v>
      </c>
      <c r="C129" s="885" t="s">
        <v>636</v>
      </c>
      <c r="D129" s="618"/>
      <c r="E129" s="598"/>
      <c r="F129" s="618"/>
      <c r="G129" s="598"/>
      <c r="H129" s="620">
        <v>2</v>
      </c>
      <c r="I129" s="603">
        <v>139.9</v>
      </c>
      <c r="J129" s="620"/>
      <c r="K129" s="603"/>
      <c r="L129" s="598"/>
      <c r="M129" s="598"/>
      <c r="N129" s="646">
        <f>SUM(E129,G129,I129,L129,K129,M129)</f>
        <v>139.9</v>
      </c>
    </row>
    <row r="130" spans="1:14" s="387" customFormat="1" ht="63">
      <c r="A130" s="1373"/>
      <c r="B130" s="371">
        <v>71</v>
      </c>
      <c r="C130" s="885" t="s">
        <v>637</v>
      </c>
      <c r="D130" s="618">
        <v>24</v>
      </c>
      <c r="E130" s="598">
        <v>1302.4</v>
      </c>
      <c r="F130" s="618"/>
      <c r="G130" s="598"/>
      <c r="H130" s="620">
        <v>8</v>
      </c>
      <c r="I130" s="603">
        <v>203.5</v>
      </c>
      <c r="J130" s="620"/>
      <c r="K130" s="603"/>
      <c r="L130" s="598"/>
      <c r="M130" s="598"/>
      <c r="N130" s="646">
        <f>SUM(E130,G130,I130,L130,K130,M130)</f>
        <v>1505.9</v>
      </c>
    </row>
    <row r="131" spans="1:14" s="701" customFormat="1" ht="21.75">
      <c r="A131" s="407"/>
      <c r="B131" s="410"/>
      <c r="C131" s="372" t="s">
        <v>94</v>
      </c>
      <c r="D131" s="374">
        <f aca="true" t="shared" si="11" ref="D131:N131">SUM(D114:D130)</f>
        <v>164</v>
      </c>
      <c r="E131" s="373">
        <f t="shared" si="11"/>
        <v>4589.3</v>
      </c>
      <c r="F131" s="374">
        <f t="shared" si="11"/>
        <v>0</v>
      </c>
      <c r="G131" s="373">
        <f t="shared" si="11"/>
        <v>997.4000000000001</v>
      </c>
      <c r="H131" s="374">
        <f t="shared" si="11"/>
        <v>87</v>
      </c>
      <c r="I131" s="373">
        <f t="shared" si="11"/>
        <v>5770.3</v>
      </c>
      <c r="J131" s="374">
        <f t="shared" si="11"/>
        <v>2</v>
      </c>
      <c r="K131" s="373">
        <f t="shared" si="11"/>
        <v>989.4</v>
      </c>
      <c r="L131" s="373">
        <f t="shared" si="11"/>
        <v>22431</v>
      </c>
      <c r="M131" s="373">
        <f t="shared" si="11"/>
        <v>1307.9</v>
      </c>
      <c r="N131" s="373">
        <f t="shared" si="11"/>
        <v>36085.3</v>
      </c>
    </row>
    <row r="132" spans="1:14" s="701" customFormat="1" ht="21.75">
      <c r="A132" s="375" t="s">
        <v>572</v>
      </c>
      <c r="B132" s="700"/>
      <c r="C132" s="360" t="s">
        <v>92</v>
      </c>
      <c r="D132" s="699"/>
      <c r="E132" s="370"/>
      <c r="F132" s="699"/>
      <c r="G132" s="370"/>
      <c r="H132" s="706"/>
      <c r="I132" s="370"/>
      <c r="J132" s="706"/>
      <c r="K132" s="370"/>
      <c r="L132" s="370"/>
      <c r="M132" s="370"/>
      <c r="N132" s="370"/>
    </row>
    <row r="133" spans="1:14" s="701" customFormat="1" ht="147">
      <c r="A133" s="361" t="s">
        <v>622</v>
      </c>
      <c r="B133" s="700">
        <v>72</v>
      </c>
      <c r="C133" s="599" t="s">
        <v>695</v>
      </c>
      <c r="D133" s="699"/>
      <c r="E133" s="370"/>
      <c r="F133" s="699"/>
      <c r="G133" s="370"/>
      <c r="H133" s="615">
        <v>4</v>
      </c>
      <c r="I133" s="598">
        <v>296.9</v>
      </c>
      <c r="J133" s="706"/>
      <c r="K133" s="370"/>
      <c r="L133" s="370"/>
      <c r="M133" s="370"/>
      <c r="N133" s="646">
        <f>SUM(E133,G133,I133,L133,M133)</f>
        <v>296.9</v>
      </c>
    </row>
    <row r="134" spans="1:14" s="701" customFormat="1" ht="21.75">
      <c r="A134" s="400"/>
      <c r="B134" s="702"/>
      <c r="C134" s="372" t="s">
        <v>696</v>
      </c>
      <c r="D134" s="819"/>
      <c r="E134" s="820"/>
      <c r="F134" s="374"/>
      <c r="G134" s="374"/>
      <c r="H134" s="819">
        <f>SUM(H133)</f>
        <v>4</v>
      </c>
      <c r="I134" s="373">
        <f>SUM(I133)</f>
        <v>296.9</v>
      </c>
      <c r="J134" s="374"/>
      <c r="K134" s="373"/>
      <c r="L134" s="373"/>
      <c r="M134" s="374"/>
      <c r="N134" s="373">
        <f>SUM(N133)</f>
        <v>296.9</v>
      </c>
    </row>
    <row r="135" spans="1:14" s="701" customFormat="1" ht="21.75">
      <c r="A135" s="375" t="s">
        <v>273</v>
      </c>
      <c r="B135" s="700"/>
      <c r="C135" s="360" t="s">
        <v>92</v>
      </c>
      <c r="D135" s="699"/>
      <c r="E135" s="370"/>
      <c r="F135" s="699"/>
      <c r="G135" s="370"/>
      <c r="H135" s="706"/>
      <c r="I135" s="370"/>
      <c r="J135" s="706"/>
      <c r="K135" s="370"/>
      <c r="L135" s="370"/>
      <c r="M135" s="370"/>
      <c r="N135" s="370"/>
    </row>
    <row r="136" spans="1:14" s="701" customFormat="1" ht="42.75" customHeight="1">
      <c r="A136" s="361" t="s">
        <v>190</v>
      </c>
      <c r="B136" s="700">
        <v>73</v>
      </c>
      <c r="C136" s="599" t="s">
        <v>620</v>
      </c>
      <c r="D136" s="699"/>
      <c r="E136" s="370"/>
      <c r="F136" s="699"/>
      <c r="G136" s="370"/>
      <c r="H136" s="615">
        <v>3</v>
      </c>
      <c r="I136" s="598">
        <v>171.2</v>
      </c>
      <c r="J136" s="706"/>
      <c r="K136" s="370"/>
      <c r="L136" s="370"/>
      <c r="M136" s="370"/>
      <c r="N136" s="646">
        <f>SUM(E136,G136,I136,L136,M136)</f>
        <v>171.2</v>
      </c>
    </row>
    <row r="137" spans="1:14" s="701" customFormat="1" ht="21.75">
      <c r="A137" s="375"/>
      <c r="B137" s="700"/>
      <c r="C137" s="375" t="s">
        <v>93</v>
      </c>
      <c r="D137" s="699"/>
      <c r="E137" s="370"/>
      <c r="F137" s="699"/>
      <c r="G137" s="370"/>
      <c r="H137" s="706"/>
      <c r="I137" s="370"/>
      <c r="J137" s="706"/>
      <c r="K137" s="370"/>
      <c r="L137" s="370"/>
      <c r="M137" s="370"/>
      <c r="N137" s="646"/>
    </row>
    <row r="138" spans="1:14" s="701" customFormat="1" ht="84">
      <c r="A138" s="361" t="s">
        <v>151</v>
      </c>
      <c r="B138" s="700"/>
      <c r="C138" s="599" t="s">
        <v>515</v>
      </c>
      <c r="D138" s="699"/>
      <c r="E138" s="370"/>
      <c r="F138" s="699"/>
      <c r="G138" s="370"/>
      <c r="H138" s="615">
        <v>4</v>
      </c>
      <c r="I138" s="598">
        <v>134.8</v>
      </c>
      <c r="J138" s="706"/>
      <c r="K138" s="370"/>
      <c r="L138" s="370"/>
      <c r="M138" s="370"/>
      <c r="N138" s="646">
        <f>SUM(E138,G138,I138,L138,M138)</f>
        <v>134.8</v>
      </c>
    </row>
    <row r="139" spans="1:14" s="701" customFormat="1" ht="21.75">
      <c r="A139" s="400"/>
      <c r="B139" s="702"/>
      <c r="C139" s="372" t="s">
        <v>94</v>
      </c>
      <c r="D139" s="819"/>
      <c r="E139" s="820"/>
      <c r="F139" s="374"/>
      <c r="G139" s="374"/>
      <c r="H139" s="819">
        <f>SUM(H136:H138)</f>
        <v>7</v>
      </c>
      <c r="I139" s="820">
        <f>SUM(I136:I138)</f>
        <v>306</v>
      </c>
      <c r="J139" s="374"/>
      <c r="K139" s="373"/>
      <c r="L139" s="373"/>
      <c r="M139" s="374"/>
      <c r="N139" s="373">
        <f>SUM(N136:N138)</f>
        <v>306</v>
      </c>
    </row>
    <row r="140" spans="1:14" s="701" customFormat="1" ht="21.75">
      <c r="A140" s="375" t="s">
        <v>373</v>
      </c>
      <c r="B140" s="700"/>
      <c r="C140" s="360" t="s">
        <v>93</v>
      </c>
      <c r="D140" s="699"/>
      <c r="E140" s="370"/>
      <c r="F140" s="699"/>
      <c r="G140" s="370"/>
      <c r="H140" s="706"/>
      <c r="I140" s="370"/>
      <c r="J140" s="706"/>
      <c r="K140" s="370"/>
      <c r="L140" s="370"/>
      <c r="M140" s="370"/>
      <c r="N140" s="370"/>
    </row>
    <row r="141" spans="1:14" s="701" customFormat="1" ht="24" customHeight="1">
      <c r="A141" s="362" t="s">
        <v>132</v>
      </c>
      <c r="B141" s="700">
        <v>74</v>
      </c>
      <c r="C141" s="599" t="s">
        <v>374</v>
      </c>
      <c r="D141" s="823"/>
      <c r="E141" s="824"/>
      <c r="F141" s="707"/>
      <c r="G141" s="598">
        <v>402.5</v>
      </c>
      <c r="H141" s="621"/>
      <c r="I141" s="619"/>
      <c r="J141" s="621"/>
      <c r="K141" s="619"/>
      <c r="L141" s="598">
        <v>449.4</v>
      </c>
      <c r="M141" s="370"/>
      <c r="N141" s="646">
        <f>SUM(E141,G141,I141,L141,M141)</f>
        <v>851.9</v>
      </c>
    </row>
    <row r="142" spans="1:14" s="701" customFormat="1" ht="21.75">
      <c r="A142" s="400"/>
      <c r="B142" s="702"/>
      <c r="C142" s="878" t="s">
        <v>94</v>
      </c>
      <c r="D142" s="374"/>
      <c r="E142" s="373"/>
      <c r="F142" s="374">
        <f>SUM(F141:F141)</f>
        <v>0</v>
      </c>
      <c r="G142" s="373">
        <f>SUM(G141)</f>
        <v>402.5</v>
      </c>
      <c r="H142" s="819"/>
      <c r="I142" s="373"/>
      <c r="J142" s="374"/>
      <c r="K142" s="373"/>
      <c r="L142" s="373">
        <f>SUM(L141)</f>
        <v>449.4</v>
      </c>
      <c r="M142" s="374"/>
      <c r="N142" s="373">
        <f>SUM(N141:N141)</f>
        <v>851.9</v>
      </c>
    </row>
    <row r="143" spans="1:14" s="701" customFormat="1" ht="25.5" customHeight="1">
      <c r="A143" s="821" t="s">
        <v>385</v>
      </c>
      <c r="B143" s="705"/>
      <c r="C143" s="360" t="s">
        <v>93</v>
      </c>
      <c r="D143" s="401"/>
      <c r="E143" s="376"/>
      <c r="F143" s="401"/>
      <c r="G143" s="376"/>
      <c r="H143" s="402"/>
      <c r="I143" s="376"/>
      <c r="J143" s="402"/>
      <c r="K143" s="376"/>
      <c r="L143" s="376"/>
      <c r="M143" s="376"/>
      <c r="N143" s="376"/>
    </row>
    <row r="144" spans="1:14" s="711" customFormat="1" ht="65.25" customHeight="1">
      <c r="A144" s="380" t="s">
        <v>623</v>
      </c>
      <c r="B144" s="700">
        <v>75</v>
      </c>
      <c r="C144" s="883" t="s">
        <v>699</v>
      </c>
      <c r="D144" s="881"/>
      <c r="E144" s="882"/>
      <c r="F144" s="881"/>
      <c r="G144" s="882"/>
      <c r="H144" s="887">
        <v>5</v>
      </c>
      <c r="I144" s="888">
        <v>557.8</v>
      </c>
      <c r="J144" s="881"/>
      <c r="K144" s="882"/>
      <c r="L144" s="884"/>
      <c r="M144" s="884"/>
      <c r="N144" s="646">
        <f>SUM(E144,G144,I144,L144,M144)</f>
        <v>557.8</v>
      </c>
    </row>
    <row r="145" spans="1:14" s="701" customFormat="1" ht="24.75" customHeight="1">
      <c r="A145" s="400"/>
      <c r="B145" s="702"/>
      <c r="C145" s="878" t="s">
        <v>94</v>
      </c>
      <c r="D145" s="374"/>
      <c r="E145" s="373"/>
      <c r="F145" s="374"/>
      <c r="G145" s="374"/>
      <c r="H145" s="819">
        <f>SUM(H144:H144)</f>
        <v>5</v>
      </c>
      <c r="I145" s="820">
        <f>SUM(I144:I144)</f>
        <v>557.8</v>
      </c>
      <c r="J145" s="374"/>
      <c r="K145" s="373"/>
      <c r="L145" s="373"/>
      <c r="M145" s="374"/>
      <c r="N145" s="373">
        <f>SUM(N144:N144)</f>
        <v>557.8</v>
      </c>
    </row>
    <row r="146" spans="1:14" s="389" customFormat="1" ht="25.5" customHeight="1">
      <c r="A146" s="821" t="s">
        <v>259</v>
      </c>
      <c r="B146" s="705"/>
      <c r="C146" s="360" t="s">
        <v>92</v>
      </c>
      <c r="D146" s="401"/>
      <c r="E146" s="376"/>
      <c r="F146" s="401"/>
      <c r="G146" s="376"/>
      <c r="H146" s="402"/>
      <c r="I146" s="376"/>
      <c r="J146" s="402"/>
      <c r="K146" s="376"/>
      <c r="L146" s="376"/>
      <c r="M146" s="376"/>
      <c r="N146" s="376"/>
    </row>
    <row r="147" spans="1:14" s="389" customFormat="1" ht="43.5" customHeight="1">
      <c r="A147" s="361" t="s">
        <v>190</v>
      </c>
      <c r="B147" s="700">
        <v>76</v>
      </c>
      <c r="C147" s="599" t="s">
        <v>621</v>
      </c>
      <c r="D147" s="699"/>
      <c r="E147" s="370"/>
      <c r="F147" s="699"/>
      <c r="G147" s="370"/>
      <c r="H147" s="615">
        <v>5</v>
      </c>
      <c r="I147" s="598">
        <v>1583.9</v>
      </c>
      <c r="J147" s="706"/>
      <c r="K147" s="370"/>
      <c r="L147" s="370"/>
      <c r="M147" s="370"/>
      <c r="N147" s="646">
        <f>SUM(E147,G147,I147,K147,L147,M147)</f>
        <v>1583.9</v>
      </c>
    </row>
    <row r="148" spans="1:14" s="389" customFormat="1" ht="27.75" customHeight="1">
      <c r="A148" s="1077"/>
      <c r="B148" s="700"/>
      <c r="C148" s="1131" t="s">
        <v>258</v>
      </c>
      <c r="D148" s="699"/>
      <c r="E148" s="370"/>
      <c r="F148" s="699"/>
      <c r="G148" s="370"/>
      <c r="H148" s="706"/>
      <c r="I148" s="370"/>
      <c r="J148" s="706"/>
      <c r="K148" s="370"/>
      <c r="L148" s="370"/>
      <c r="M148" s="370"/>
      <c r="N148" s="646"/>
    </row>
    <row r="149" spans="1:14" s="387" customFormat="1" ht="46.5" customHeight="1">
      <c r="A149" s="361" t="s">
        <v>190</v>
      </c>
      <c r="B149" s="716"/>
      <c r="C149" s="599" t="s">
        <v>513</v>
      </c>
      <c r="D149" s="624"/>
      <c r="E149" s="603"/>
      <c r="F149" s="624"/>
      <c r="G149" s="603"/>
      <c r="H149" s="620">
        <v>5</v>
      </c>
      <c r="I149" s="603">
        <v>1037.6</v>
      </c>
      <c r="J149" s="620"/>
      <c r="K149" s="603"/>
      <c r="L149" s="603"/>
      <c r="M149" s="710"/>
      <c r="N149" s="646">
        <f>SUM(E149,G149,I149,K149,L149,M149)</f>
        <v>1037.6</v>
      </c>
    </row>
    <row r="150" spans="1:14" s="387" customFormat="1" ht="24.75" customHeight="1">
      <c r="A150" s="400"/>
      <c r="B150" s="719"/>
      <c r="C150" s="878" t="s">
        <v>94</v>
      </c>
      <c r="D150" s="714">
        <f>SUM(D149:D149)</f>
        <v>0</v>
      </c>
      <c r="E150" s="715">
        <f>SUM(E149:E149)</f>
        <v>0</v>
      </c>
      <c r="F150" s="714"/>
      <c r="G150" s="715"/>
      <c r="H150" s="714">
        <f>SUM(H147:H149)</f>
        <v>10</v>
      </c>
      <c r="I150" s="715">
        <f>SUM(I147:I149)</f>
        <v>2621.5</v>
      </c>
      <c r="J150" s="714"/>
      <c r="K150" s="715"/>
      <c r="L150" s="715">
        <f>SUM(L149:L149)</f>
        <v>0</v>
      </c>
      <c r="M150" s="714"/>
      <c r="N150" s="715">
        <f>SUM(N147:N149)</f>
        <v>2621.5</v>
      </c>
    </row>
    <row r="151" spans="1:14" s="389" customFormat="1" ht="25.5" customHeight="1">
      <c r="A151" s="821" t="s">
        <v>264</v>
      </c>
      <c r="B151" s="705"/>
      <c r="C151" s="725" t="s">
        <v>258</v>
      </c>
      <c r="D151" s="401"/>
      <c r="E151" s="376"/>
      <c r="F151" s="401"/>
      <c r="G151" s="376"/>
      <c r="H151" s="402"/>
      <c r="I151" s="376"/>
      <c r="J151" s="402"/>
      <c r="K151" s="376"/>
      <c r="L151" s="376"/>
      <c r="M151" s="376"/>
      <c r="N151" s="376"/>
    </row>
    <row r="152" spans="1:14" s="387" customFormat="1" ht="60.75">
      <c r="A152" s="361" t="s">
        <v>190</v>
      </c>
      <c r="B152" s="716">
        <v>77</v>
      </c>
      <c r="C152" s="599" t="s">
        <v>386</v>
      </c>
      <c r="D152" s="624">
        <v>7</v>
      </c>
      <c r="E152" s="603">
        <v>1781.9</v>
      </c>
      <c r="F152" s="624"/>
      <c r="G152" s="603"/>
      <c r="H152" s="620">
        <v>5</v>
      </c>
      <c r="I152" s="603">
        <v>993.9</v>
      </c>
      <c r="J152" s="620"/>
      <c r="K152" s="603"/>
      <c r="L152" s="603">
        <v>7643.8</v>
      </c>
      <c r="M152" s="710"/>
      <c r="N152" s="646">
        <f>SUM(E152,G152,I152,K152,L152,M152)</f>
        <v>10419.6</v>
      </c>
    </row>
    <row r="153" spans="1:14" s="387" customFormat="1" ht="21.75">
      <c r="A153" s="400"/>
      <c r="B153" s="719"/>
      <c r="C153" s="878" t="s">
        <v>94</v>
      </c>
      <c r="D153" s="714">
        <f>SUM(D152:D152)</f>
        <v>7</v>
      </c>
      <c r="E153" s="715">
        <f>SUM(E152:E152)</f>
        <v>1781.9</v>
      </c>
      <c r="F153" s="714"/>
      <c r="G153" s="715"/>
      <c r="H153" s="714">
        <f>SUM(H152)</f>
        <v>5</v>
      </c>
      <c r="I153" s="715">
        <f>SUM(I152)</f>
        <v>993.9</v>
      </c>
      <c r="J153" s="714"/>
      <c r="K153" s="715"/>
      <c r="L153" s="715">
        <f>SUM(L152:L152)</f>
        <v>7643.8</v>
      </c>
      <c r="M153" s="714"/>
      <c r="N153" s="715">
        <f>SUM(N152:N152)</f>
        <v>10419.6</v>
      </c>
    </row>
    <row r="154" spans="1:14" s="387" customFormat="1" ht="21.75">
      <c r="A154" s="375" t="s">
        <v>96</v>
      </c>
      <c r="B154" s="411"/>
      <c r="C154" s="375" t="s">
        <v>93</v>
      </c>
      <c r="D154" s="403"/>
      <c r="E154" s="404"/>
      <c r="F154" s="403"/>
      <c r="G154" s="404"/>
      <c r="H154" s="405"/>
      <c r="I154" s="404"/>
      <c r="J154" s="405"/>
      <c r="K154" s="404"/>
      <c r="L154" s="404"/>
      <c r="M154" s="404"/>
      <c r="N154" s="379"/>
    </row>
    <row r="155" spans="1:14" s="399" customFormat="1" ht="84">
      <c r="A155" s="362" t="s">
        <v>97</v>
      </c>
      <c r="B155" s="371">
        <v>78</v>
      </c>
      <c r="C155" s="709" t="s">
        <v>719</v>
      </c>
      <c r="D155" s="394"/>
      <c r="E155" s="366"/>
      <c r="F155" s="394"/>
      <c r="G155" s="366">
        <v>14.4</v>
      </c>
      <c r="H155" s="395"/>
      <c r="I155" s="366"/>
      <c r="J155" s="395"/>
      <c r="K155" s="366"/>
      <c r="L155" s="366"/>
      <c r="M155" s="366"/>
      <c r="N155" s="646">
        <f aca="true" t="shared" si="12" ref="N155:N160">SUM(E155,G155,I155,K155,L155,M155)</f>
        <v>14.4</v>
      </c>
    </row>
    <row r="156" spans="1:14" s="399" customFormat="1" ht="21.75">
      <c r="A156" s="363"/>
      <c r="B156" s="371">
        <v>79</v>
      </c>
      <c r="C156" s="673" t="s">
        <v>211</v>
      </c>
      <c r="D156" s="391"/>
      <c r="E156" s="392"/>
      <c r="F156" s="387"/>
      <c r="G156" s="814">
        <v>595.1</v>
      </c>
      <c r="H156" s="387"/>
      <c r="I156" s="814"/>
      <c r="J156" s="387">
        <v>5</v>
      </c>
      <c r="K156" s="1134">
        <v>2013.4</v>
      </c>
      <c r="L156" s="387"/>
      <c r="M156" s="392"/>
      <c r="N156" s="646">
        <f t="shared" si="12"/>
        <v>2608.5</v>
      </c>
    </row>
    <row r="157" spans="1:14" s="399" customFormat="1" ht="21.75">
      <c r="A157" s="363"/>
      <c r="B157" s="371">
        <v>80</v>
      </c>
      <c r="C157" s="364" t="s">
        <v>98</v>
      </c>
      <c r="D157" s="391"/>
      <c r="E157" s="392"/>
      <c r="F157" s="391">
        <v>1</v>
      </c>
      <c r="G157" s="392">
        <v>1041.4</v>
      </c>
      <c r="H157" s="393">
        <v>3</v>
      </c>
      <c r="I157" s="392">
        <v>205.9</v>
      </c>
      <c r="J157" s="393">
        <v>1</v>
      </c>
      <c r="K157" s="392">
        <v>293.3</v>
      </c>
      <c r="L157" s="392"/>
      <c r="M157" s="619"/>
      <c r="N157" s="646">
        <f t="shared" si="12"/>
        <v>1540.6000000000001</v>
      </c>
    </row>
    <row r="158" spans="1:14" s="1055" customFormat="1" ht="21.75">
      <c r="A158" s="363"/>
      <c r="B158" s="371">
        <v>81</v>
      </c>
      <c r="C158" s="1035" t="s">
        <v>425</v>
      </c>
      <c r="D158" s="391">
        <v>4</v>
      </c>
      <c r="E158" s="392">
        <v>377.1</v>
      </c>
      <c r="F158" s="391"/>
      <c r="G158" s="392"/>
      <c r="H158" s="393"/>
      <c r="I158" s="392"/>
      <c r="J158" s="393"/>
      <c r="K158" s="392"/>
      <c r="L158" s="392"/>
      <c r="M158" s="619"/>
      <c r="N158" s="646">
        <f t="shared" si="12"/>
        <v>377.1</v>
      </c>
    </row>
    <row r="159" spans="1:14" s="1055" customFormat="1" ht="65.25">
      <c r="A159" s="363"/>
      <c r="B159" s="371"/>
      <c r="C159" s="1056" t="s">
        <v>510</v>
      </c>
      <c r="D159" s="391"/>
      <c r="E159" s="392"/>
      <c r="F159" s="391"/>
      <c r="G159" s="392"/>
      <c r="H159" s="393"/>
      <c r="I159" s="392"/>
      <c r="J159" s="393"/>
      <c r="K159" s="392"/>
      <c r="L159" s="392"/>
      <c r="M159" s="598">
        <v>368.4</v>
      </c>
      <c r="N159" s="646">
        <f t="shared" si="12"/>
        <v>368.4</v>
      </c>
    </row>
    <row r="160" spans="1:14" s="1055" customFormat="1" ht="65.25">
      <c r="A160" s="363"/>
      <c r="B160" s="371"/>
      <c r="C160" s="1056" t="s">
        <v>511</v>
      </c>
      <c r="D160" s="394">
        <v>40</v>
      </c>
      <c r="E160" s="366">
        <v>3528.1</v>
      </c>
      <c r="F160" s="391"/>
      <c r="G160" s="392"/>
      <c r="H160" s="393"/>
      <c r="I160" s="392"/>
      <c r="J160" s="393"/>
      <c r="K160" s="392"/>
      <c r="L160" s="392"/>
      <c r="M160" s="598"/>
      <c r="N160" s="646">
        <f t="shared" si="12"/>
        <v>3528.1</v>
      </c>
    </row>
    <row r="161" spans="1:14" s="399" customFormat="1" ht="121.5">
      <c r="A161" s="1082" t="s">
        <v>670</v>
      </c>
      <c r="B161" s="371">
        <v>82</v>
      </c>
      <c r="C161" s="883" t="s">
        <v>509</v>
      </c>
      <c r="D161" s="391"/>
      <c r="E161" s="392"/>
      <c r="F161" s="391"/>
      <c r="G161" s="392"/>
      <c r="H161" s="395">
        <v>5</v>
      </c>
      <c r="I161" s="366">
        <v>195.8</v>
      </c>
      <c r="J161" s="393"/>
      <c r="K161" s="392"/>
      <c r="L161" s="392"/>
      <c r="M161" s="619"/>
      <c r="N161" s="646">
        <f>SUM(E161,G161,I161,K161,L161,M161)</f>
        <v>195.8</v>
      </c>
    </row>
    <row r="162" spans="1:14" s="1055" customFormat="1" ht="141.75">
      <c r="A162" s="380" t="s">
        <v>623</v>
      </c>
      <c r="B162" s="700">
        <v>83</v>
      </c>
      <c r="C162" s="599" t="s">
        <v>720</v>
      </c>
      <c r="D162" s="394">
        <v>9</v>
      </c>
      <c r="E162" s="366">
        <v>636</v>
      </c>
      <c r="F162" s="391"/>
      <c r="G162" s="392"/>
      <c r="H162" s="395">
        <v>5</v>
      </c>
      <c r="I162" s="366">
        <v>161.5</v>
      </c>
      <c r="J162" s="393"/>
      <c r="K162" s="392"/>
      <c r="L162" s="392"/>
      <c r="M162" s="619"/>
      <c r="N162" s="646">
        <f>SUM(E162,G162,I162,K162,L162,M162)</f>
        <v>797.5</v>
      </c>
    </row>
    <row r="163" spans="1:14" ht="19.5" customHeight="1">
      <c r="A163" s="400"/>
      <c r="B163" s="410"/>
      <c r="C163" s="372" t="s">
        <v>94</v>
      </c>
      <c r="D163" s="374">
        <f aca="true" t="shared" si="13" ref="D163:K163">SUM(D155:D162)</f>
        <v>53</v>
      </c>
      <c r="E163" s="373">
        <f t="shared" si="13"/>
        <v>4541.2</v>
      </c>
      <c r="F163" s="374">
        <f t="shared" si="13"/>
        <v>1</v>
      </c>
      <c r="G163" s="373">
        <f t="shared" si="13"/>
        <v>1650.9</v>
      </c>
      <c r="H163" s="374">
        <f t="shared" si="13"/>
        <v>13</v>
      </c>
      <c r="I163" s="373">
        <f t="shared" si="13"/>
        <v>563.2</v>
      </c>
      <c r="J163" s="374">
        <f t="shared" si="13"/>
        <v>6</v>
      </c>
      <c r="K163" s="373">
        <f t="shared" si="13"/>
        <v>2306.7000000000003</v>
      </c>
      <c r="L163" s="373">
        <f>SUM(L155:L161)</f>
        <v>0</v>
      </c>
      <c r="M163" s="373">
        <f>SUM(M155:M162)</f>
        <v>368.4</v>
      </c>
      <c r="N163" s="373">
        <f>SUM(N155:N162)</f>
        <v>9430.4</v>
      </c>
    </row>
    <row r="164" spans="1:14" s="601" customFormat="1" ht="21.75">
      <c r="A164" s="835" t="s">
        <v>306</v>
      </c>
      <c r="B164" s="880"/>
      <c r="C164" s="360" t="s">
        <v>92</v>
      </c>
      <c r="D164" s="881"/>
      <c r="E164" s="882"/>
      <c r="F164" s="881"/>
      <c r="G164" s="882"/>
      <c r="H164" s="887"/>
      <c r="I164" s="888"/>
      <c r="J164" s="881"/>
      <c r="K164" s="882"/>
      <c r="L164" s="881"/>
      <c r="M164" s="884"/>
      <c r="N164" s="646"/>
    </row>
    <row r="165" spans="1:14" s="601" customFormat="1" ht="129.75" customHeight="1">
      <c r="A165" s="1133" t="s">
        <v>97</v>
      </c>
      <c r="B165" s="880">
        <v>84</v>
      </c>
      <c r="C165" s="883" t="s">
        <v>307</v>
      </c>
      <c r="D165" s="881"/>
      <c r="E165" s="882"/>
      <c r="F165" s="881"/>
      <c r="G165" s="882"/>
      <c r="H165" s="881"/>
      <c r="I165" s="882"/>
      <c r="J165" s="881"/>
      <c r="K165" s="882"/>
      <c r="L165" s="881"/>
      <c r="M165" s="884">
        <v>28237.9</v>
      </c>
      <c r="N165" s="646">
        <f>SUM(E165,G165,I165,K165,L165,M165)</f>
        <v>28237.9</v>
      </c>
    </row>
    <row r="166" spans="1:14" ht="42">
      <c r="A166" s="1372" t="s">
        <v>623</v>
      </c>
      <c r="B166" s="880"/>
      <c r="C166" s="1125" t="s">
        <v>673</v>
      </c>
      <c r="D166" s="881"/>
      <c r="E166" s="882"/>
      <c r="F166" s="881"/>
      <c r="G166" s="882"/>
      <c r="H166" s="881"/>
      <c r="I166" s="882"/>
      <c r="J166" s="881"/>
      <c r="K166" s="882"/>
      <c r="L166" s="881"/>
      <c r="M166" s="881"/>
      <c r="N166" s="882"/>
    </row>
    <row r="167" spans="1:17" ht="21.75" customHeight="1">
      <c r="A167" s="1376"/>
      <c r="B167" s="880"/>
      <c r="C167" s="886" t="s">
        <v>651</v>
      </c>
      <c r="D167" s="881"/>
      <c r="E167" s="882"/>
      <c r="F167" s="881"/>
      <c r="G167" s="882"/>
      <c r="H167" s="881"/>
      <c r="I167" s="882"/>
      <c r="J167" s="881"/>
      <c r="K167" s="882"/>
      <c r="L167" s="881"/>
      <c r="M167" s="884">
        <v>9557.5</v>
      </c>
      <c r="N167" s="646">
        <f aca="true" t="shared" si="14" ref="N167:N185">SUM(E167,G167,I167,K167,L167,M167)</f>
        <v>9557.5</v>
      </c>
      <c r="Q167" s="204">
        <f>2631+2050+4430+20</f>
        <v>9131</v>
      </c>
    </row>
    <row r="168" spans="1:17" ht="48.75" customHeight="1">
      <c r="A168" s="1376"/>
      <c r="B168" s="880"/>
      <c r="C168" s="886" t="s">
        <v>653</v>
      </c>
      <c r="D168" s="881"/>
      <c r="E168" s="882"/>
      <c r="F168" s="881"/>
      <c r="G168" s="882"/>
      <c r="H168" s="881"/>
      <c r="I168" s="882"/>
      <c r="J168" s="881"/>
      <c r="K168" s="882"/>
      <c r="L168" s="881"/>
      <c r="M168" s="884">
        <v>600</v>
      </c>
      <c r="N168" s="646">
        <f t="shared" si="14"/>
        <v>600</v>
      </c>
      <c r="Q168" s="204">
        <f>4425+2631</f>
        <v>7056</v>
      </c>
    </row>
    <row r="169" spans="1:14" s="601" customFormat="1" ht="27" customHeight="1">
      <c r="A169" s="1091"/>
      <c r="B169" s="880"/>
      <c r="C169" s="886" t="s">
        <v>443</v>
      </c>
      <c r="D169" s="881"/>
      <c r="E169" s="882"/>
      <c r="F169" s="881"/>
      <c r="G169" s="882"/>
      <c r="H169" s="881"/>
      <c r="I169" s="882"/>
      <c r="J169" s="881"/>
      <c r="K169" s="882"/>
      <c r="L169" s="881"/>
      <c r="M169" s="884">
        <v>3.2</v>
      </c>
      <c r="N169" s="646">
        <f t="shared" si="14"/>
        <v>3.2</v>
      </c>
    </row>
    <row r="170" spans="1:14" s="601" customFormat="1" ht="21.75">
      <c r="A170" s="1091"/>
      <c r="B170" s="880"/>
      <c r="C170" s="886" t="s">
        <v>639</v>
      </c>
      <c r="D170" s="881"/>
      <c r="E170" s="882"/>
      <c r="F170" s="881"/>
      <c r="G170" s="882"/>
      <c r="H170" s="881"/>
      <c r="I170" s="882"/>
      <c r="J170" s="881"/>
      <c r="K170" s="882"/>
      <c r="L170" s="881"/>
      <c r="M170" s="884">
        <v>158.9</v>
      </c>
      <c r="N170" s="646">
        <f t="shared" si="14"/>
        <v>158.9</v>
      </c>
    </row>
    <row r="171" spans="1:14" s="601" customFormat="1" ht="43.5">
      <c r="A171" s="1091"/>
      <c r="B171" s="880"/>
      <c r="C171" s="886" t="s">
        <v>643</v>
      </c>
      <c r="D171" s="881"/>
      <c r="E171" s="882"/>
      <c r="F171" s="881"/>
      <c r="G171" s="882"/>
      <c r="H171" s="887">
        <v>5</v>
      </c>
      <c r="I171" s="888">
        <v>113.1</v>
      </c>
      <c r="J171" s="881"/>
      <c r="K171" s="882"/>
      <c r="L171" s="881"/>
      <c r="M171" s="884"/>
      <c r="N171" s="646">
        <f t="shared" si="14"/>
        <v>113.1</v>
      </c>
    </row>
    <row r="172" spans="1:14" s="601" customFormat="1" ht="43.5">
      <c r="A172" s="380"/>
      <c r="B172" s="880"/>
      <c r="C172" s="886" t="s">
        <v>644</v>
      </c>
      <c r="D172" s="881"/>
      <c r="E172" s="882"/>
      <c r="F172" s="881"/>
      <c r="G172" s="882"/>
      <c r="H172" s="887">
        <v>7</v>
      </c>
      <c r="I172" s="888">
        <v>2.5</v>
      </c>
      <c r="J172" s="881"/>
      <c r="K172" s="882"/>
      <c r="L172" s="881"/>
      <c r="M172" s="884"/>
      <c r="N172" s="646">
        <f t="shared" si="14"/>
        <v>2.5</v>
      </c>
    </row>
    <row r="173" spans="1:14" s="601" customFormat="1" ht="65.25">
      <c r="A173" s="380"/>
      <c r="B173" s="880"/>
      <c r="C173" s="886" t="s">
        <v>645</v>
      </c>
      <c r="D173" s="881"/>
      <c r="E173" s="882"/>
      <c r="F173" s="881"/>
      <c r="G173" s="882"/>
      <c r="H173" s="887">
        <v>1</v>
      </c>
      <c r="I173" s="888">
        <v>4617.7</v>
      </c>
      <c r="J173" s="881"/>
      <c r="K173" s="882"/>
      <c r="L173" s="881"/>
      <c r="M173" s="884"/>
      <c r="N173" s="646">
        <f t="shared" si="14"/>
        <v>4617.7</v>
      </c>
    </row>
    <row r="174" spans="1:14" s="601" customFormat="1" ht="65.25">
      <c r="A174" s="380"/>
      <c r="B174" s="880"/>
      <c r="C174" s="886" t="s">
        <v>646</v>
      </c>
      <c r="D174" s="881"/>
      <c r="E174" s="882"/>
      <c r="F174" s="881"/>
      <c r="G174" s="882"/>
      <c r="H174" s="887">
        <v>5</v>
      </c>
      <c r="I174" s="888">
        <v>16.6</v>
      </c>
      <c r="J174" s="881"/>
      <c r="K174" s="882"/>
      <c r="L174" s="881"/>
      <c r="M174" s="884"/>
      <c r="N174" s="646">
        <f t="shared" si="14"/>
        <v>16.6</v>
      </c>
    </row>
    <row r="175" spans="1:14" s="601" customFormat="1" ht="46.5" customHeight="1">
      <c r="A175" s="380"/>
      <c r="B175" s="880"/>
      <c r="C175" s="886" t="s">
        <v>647</v>
      </c>
      <c r="D175" s="1089">
        <v>71</v>
      </c>
      <c r="E175" s="1090">
        <v>252.7</v>
      </c>
      <c r="F175" s="881"/>
      <c r="G175" s="882"/>
      <c r="H175" s="887"/>
      <c r="I175" s="888"/>
      <c r="J175" s="881"/>
      <c r="K175" s="882"/>
      <c r="L175" s="881"/>
      <c r="M175" s="884"/>
      <c r="N175" s="646">
        <f t="shared" si="14"/>
        <v>252.7</v>
      </c>
    </row>
    <row r="176" spans="1:14" s="601" customFormat="1" ht="65.25">
      <c r="A176" s="380"/>
      <c r="B176" s="880"/>
      <c r="C176" s="886" t="s">
        <v>664</v>
      </c>
      <c r="D176" s="1089">
        <v>38</v>
      </c>
      <c r="E176" s="1090">
        <v>355</v>
      </c>
      <c r="F176" s="881"/>
      <c r="G176" s="882"/>
      <c r="H176" s="887"/>
      <c r="I176" s="888"/>
      <c r="J176" s="881"/>
      <c r="K176" s="882"/>
      <c r="L176" s="881"/>
      <c r="M176" s="884"/>
      <c r="N176" s="646">
        <f t="shared" si="14"/>
        <v>355</v>
      </c>
    </row>
    <row r="177" spans="1:14" s="601" customFormat="1" ht="48.75" customHeight="1">
      <c r="A177" s="380"/>
      <c r="B177" s="880"/>
      <c r="C177" s="886" t="s">
        <v>665</v>
      </c>
      <c r="D177" s="881"/>
      <c r="E177" s="882"/>
      <c r="F177" s="881"/>
      <c r="G177" s="882"/>
      <c r="H177" s="887"/>
      <c r="I177" s="888"/>
      <c r="J177" s="881"/>
      <c r="K177" s="882"/>
      <c r="L177" s="881"/>
      <c r="M177" s="884">
        <v>1134.5</v>
      </c>
      <c r="N177" s="646">
        <f>SUM(E177,G177,I177,K177,L177,M177)</f>
        <v>1134.5</v>
      </c>
    </row>
    <row r="178" spans="1:14" s="601" customFormat="1" ht="28.5" customHeight="1">
      <c r="A178" s="380"/>
      <c r="B178" s="880"/>
      <c r="C178" s="1125" t="s">
        <v>674</v>
      </c>
      <c r="D178" s="881"/>
      <c r="E178" s="882"/>
      <c r="F178" s="881"/>
      <c r="G178" s="882"/>
      <c r="H178" s="887"/>
      <c r="I178" s="888"/>
      <c r="J178" s="881"/>
      <c r="K178" s="882"/>
      <c r="L178" s="881"/>
      <c r="M178" s="884"/>
      <c r="N178" s="646"/>
    </row>
    <row r="179" spans="1:14" s="601" customFormat="1" ht="27.75" customHeight="1">
      <c r="A179" s="1368" t="s">
        <v>656</v>
      </c>
      <c r="B179" s="880"/>
      <c r="C179" s="886" t="s">
        <v>662</v>
      </c>
      <c r="D179" s="1089">
        <v>70</v>
      </c>
      <c r="E179" s="1090">
        <v>93.5</v>
      </c>
      <c r="F179" s="881"/>
      <c r="G179" s="882"/>
      <c r="H179" s="887"/>
      <c r="I179" s="888"/>
      <c r="J179" s="881"/>
      <c r="K179" s="882"/>
      <c r="L179" s="881"/>
      <c r="M179" s="884"/>
      <c r="N179" s="646">
        <f t="shared" si="14"/>
        <v>93.5</v>
      </c>
    </row>
    <row r="180" spans="1:14" s="601" customFormat="1" ht="29.25" customHeight="1">
      <c r="A180" s="1369"/>
      <c r="B180" s="880"/>
      <c r="C180" s="886" t="s">
        <v>661</v>
      </c>
      <c r="D180" s="1089"/>
      <c r="E180" s="1090"/>
      <c r="F180" s="881"/>
      <c r="G180" s="882"/>
      <c r="H180" s="887">
        <v>2</v>
      </c>
      <c r="I180" s="888">
        <v>163.5</v>
      </c>
      <c r="J180" s="881"/>
      <c r="K180" s="882"/>
      <c r="L180" s="881"/>
      <c r="M180" s="884"/>
      <c r="N180" s="646">
        <f t="shared" si="14"/>
        <v>163.5</v>
      </c>
    </row>
    <row r="181" spans="1:14" s="601" customFormat="1" ht="27.75" customHeight="1">
      <c r="A181" s="1093"/>
      <c r="B181" s="880"/>
      <c r="C181" s="886" t="s">
        <v>663</v>
      </c>
      <c r="D181" s="1089"/>
      <c r="E181" s="1090"/>
      <c r="F181" s="881"/>
      <c r="G181" s="882"/>
      <c r="H181" s="887"/>
      <c r="I181" s="888"/>
      <c r="J181" s="881"/>
      <c r="K181" s="882"/>
      <c r="L181" s="1132">
        <v>299.6</v>
      </c>
      <c r="M181" s="884"/>
      <c r="N181" s="646">
        <f t="shared" si="14"/>
        <v>299.6</v>
      </c>
    </row>
    <row r="182" spans="1:14" s="601" customFormat="1" ht="69.75" customHeight="1">
      <c r="A182" s="380"/>
      <c r="B182" s="880"/>
      <c r="C182" s="886" t="s">
        <v>654</v>
      </c>
      <c r="D182" s="1089">
        <v>180</v>
      </c>
      <c r="E182" s="1090">
        <v>79.2</v>
      </c>
      <c r="F182" s="881"/>
      <c r="G182" s="882"/>
      <c r="H182" s="887"/>
      <c r="I182" s="888"/>
      <c r="J182" s="881"/>
      <c r="K182" s="882"/>
      <c r="L182" s="881"/>
      <c r="M182" s="884"/>
      <c r="N182" s="646">
        <f t="shared" si="14"/>
        <v>79.2</v>
      </c>
    </row>
    <row r="183" spans="1:14" s="601" customFormat="1" ht="45.75" customHeight="1">
      <c r="A183" s="380"/>
      <c r="B183" s="880"/>
      <c r="C183" s="886" t="s">
        <v>657</v>
      </c>
      <c r="D183" s="1089">
        <v>140</v>
      </c>
      <c r="E183" s="1090">
        <v>436.7</v>
      </c>
      <c r="F183" s="881"/>
      <c r="G183" s="882"/>
      <c r="H183" s="887"/>
      <c r="I183" s="888"/>
      <c r="J183" s="881"/>
      <c r="K183" s="882"/>
      <c r="L183" s="881"/>
      <c r="M183" s="884"/>
      <c r="N183" s="646">
        <f t="shared" si="14"/>
        <v>436.7</v>
      </c>
    </row>
    <row r="184" spans="1:14" s="601" customFormat="1" ht="26.25" customHeight="1">
      <c r="A184" s="380"/>
      <c r="B184" s="880"/>
      <c r="C184" s="886" t="s">
        <v>660</v>
      </c>
      <c r="D184" s="1089">
        <v>200</v>
      </c>
      <c r="E184" s="1090">
        <v>122.4</v>
      </c>
      <c r="F184" s="881"/>
      <c r="G184" s="882"/>
      <c r="H184" s="887"/>
      <c r="I184" s="888"/>
      <c r="J184" s="881"/>
      <c r="K184" s="882"/>
      <c r="L184" s="881"/>
      <c r="M184" s="884"/>
      <c r="N184" s="646">
        <f t="shared" si="14"/>
        <v>122.4</v>
      </c>
    </row>
    <row r="185" spans="1:14" s="601" customFormat="1" ht="47.25" customHeight="1">
      <c r="A185" s="380"/>
      <c r="B185" s="880"/>
      <c r="C185" s="886" t="s">
        <v>650</v>
      </c>
      <c r="D185" s="881"/>
      <c r="E185" s="882"/>
      <c r="F185" s="881"/>
      <c r="G185" s="882"/>
      <c r="H185" s="887"/>
      <c r="I185" s="888"/>
      <c r="J185" s="881"/>
      <c r="K185" s="882"/>
      <c r="L185" s="881"/>
      <c r="M185" s="884">
        <v>4.3</v>
      </c>
      <c r="N185" s="646">
        <f t="shared" si="14"/>
        <v>4.3</v>
      </c>
    </row>
    <row r="186" spans="1:14" ht="19.5" customHeight="1" thickBot="1">
      <c r="A186" s="400"/>
      <c r="B186" s="410"/>
      <c r="C186" s="372" t="s">
        <v>94</v>
      </c>
      <c r="D186" s="374">
        <f aca="true" t="shared" si="15" ref="D186:N186">SUM(D165:D185)</f>
        <v>699</v>
      </c>
      <c r="E186" s="373">
        <f t="shared" si="15"/>
        <v>1339.5000000000002</v>
      </c>
      <c r="F186" s="374">
        <f t="shared" si="15"/>
        <v>0</v>
      </c>
      <c r="G186" s="373">
        <f t="shared" si="15"/>
        <v>0</v>
      </c>
      <c r="H186" s="374">
        <f t="shared" si="15"/>
        <v>20</v>
      </c>
      <c r="I186" s="373">
        <f t="shared" si="15"/>
        <v>4913.400000000001</v>
      </c>
      <c r="J186" s="374">
        <f t="shared" si="15"/>
        <v>0</v>
      </c>
      <c r="K186" s="373">
        <f t="shared" si="15"/>
        <v>0</v>
      </c>
      <c r="L186" s="373">
        <f t="shared" si="15"/>
        <v>299.6</v>
      </c>
      <c r="M186" s="373">
        <f t="shared" si="15"/>
        <v>39696.3</v>
      </c>
      <c r="N186" s="373">
        <f t="shared" si="15"/>
        <v>46248.79999999999</v>
      </c>
    </row>
    <row r="187" spans="1:14" ht="21.75" thickBot="1">
      <c r="A187" s="1357" t="s">
        <v>53</v>
      </c>
      <c r="B187" s="1357"/>
      <c r="C187" s="1357"/>
      <c r="D187" s="728">
        <f aca="true" t="shared" si="16" ref="D187:N187">SUM(D4:D186)/2</f>
        <v>1978</v>
      </c>
      <c r="E187" s="539">
        <f t="shared" si="16"/>
        <v>38356.49999999999</v>
      </c>
      <c r="F187" s="538">
        <f t="shared" si="16"/>
        <v>36</v>
      </c>
      <c r="G187" s="539">
        <f t="shared" si="16"/>
        <v>16210.600000000002</v>
      </c>
      <c r="H187" s="538">
        <f t="shared" si="16"/>
        <v>447</v>
      </c>
      <c r="I187" s="539">
        <f t="shared" si="16"/>
        <v>44195.19999999998</v>
      </c>
      <c r="J187" s="538">
        <f t="shared" si="16"/>
        <v>12</v>
      </c>
      <c r="K187" s="539">
        <f t="shared" si="16"/>
        <v>5033.7</v>
      </c>
      <c r="L187" s="539">
        <f t="shared" si="16"/>
        <v>79320.29999999999</v>
      </c>
      <c r="M187" s="539">
        <f t="shared" si="16"/>
        <v>54618.05790000001</v>
      </c>
      <c r="N187" s="539">
        <f t="shared" si="16"/>
        <v>237734.35790000006</v>
      </c>
    </row>
    <row r="188" ht="21">
      <c r="A188" s="727" t="s">
        <v>154</v>
      </c>
    </row>
  </sheetData>
  <sheetProtection/>
  <mergeCells count="20">
    <mergeCell ref="A179:A180"/>
    <mergeCell ref="A90:A91"/>
    <mergeCell ref="A70:A71"/>
    <mergeCell ref="A129:A130"/>
    <mergeCell ref="J2:K2"/>
    <mergeCell ref="A44:A45"/>
    <mergeCell ref="A52:A53"/>
    <mergeCell ref="A102:A103"/>
    <mergeCell ref="A126:A127"/>
    <mergeCell ref="A166:A168"/>
    <mergeCell ref="A187:C187"/>
    <mergeCell ref="H2:I2"/>
    <mergeCell ref="L2:L3"/>
    <mergeCell ref="M2:M3"/>
    <mergeCell ref="N2:N3"/>
    <mergeCell ref="A2:A3"/>
    <mergeCell ref="B2:B3"/>
    <mergeCell ref="C2:C3"/>
    <mergeCell ref="F2:G2"/>
    <mergeCell ref="D2:E2"/>
  </mergeCells>
  <printOptions/>
  <pageMargins left="0" right="0" top="0.196850393700787" bottom="0.118110236220472" header="0.511811023622047" footer="0.511811023622047"/>
  <pageSetup horizontalDpi="600" verticalDpi="600" orientation="landscape" paperSize="9" scale="95"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AT74"/>
  <sheetViews>
    <sheetView zoomScalePageLayoutView="0" workbookViewId="0" topLeftCell="A1">
      <pane xSplit="1" ySplit="3" topLeftCell="B31" activePane="bottomRight" state="frozen"/>
      <selection pane="topLeft" activeCell="A1" sqref="A1"/>
      <selection pane="topRight" activeCell="B1" sqref="B1"/>
      <selection pane="bottomLeft" activeCell="A4" sqref="A4"/>
      <selection pane="bottomRight" activeCell="I44" sqref="I44"/>
    </sheetView>
  </sheetViews>
  <sheetFormatPr defaultColWidth="9.140625" defaultRowHeight="12.75"/>
  <cols>
    <col min="1" max="1" width="26.57421875" style="91" customWidth="1"/>
    <col min="2" max="2" width="4.140625" style="110" bestFit="1" customWidth="1"/>
    <col min="3" max="3" width="8.28125" style="222" bestFit="1" customWidth="1"/>
    <col min="4" max="4" width="4.7109375" style="222" bestFit="1" customWidth="1"/>
    <col min="5" max="5" width="6.7109375" style="222" customWidth="1"/>
    <col min="6" max="6" width="3.8515625" style="111" bestFit="1" customWidth="1"/>
    <col min="7" max="7" width="8.28125" style="232" bestFit="1" customWidth="1"/>
    <col min="8" max="8" width="4.7109375" style="232" bestFit="1" customWidth="1"/>
    <col min="9" max="9" width="6.7109375" style="232" bestFit="1" customWidth="1"/>
    <col min="10" max="10" width="4.28125" style="232" customWidth="1"/>
    <col min="11" max="11" width="6.7109375" style="232" bestFit="1" customWidth="1"/>
    <col min="12" max="12" width="3.8515625" style="91" bestFit="1" customWidth="1"/>
    <col min="13" max="13" width="8.28125" style="230" bestFit="1" customWidth="1"/>
    <col min="14" max="14" width="5.00390625" style="112" bestFit="1" customWidth="1"/>
    <col min="15" max="15" width="6.7109375" style="91" bestFit="1" customWidth="1"/>
    <col min="16" max="16" width="4.421875" style="91" customWidth="1"/>
    <col min="17" max="17" width="8.28125" style="194" bestFit="1" customWidth="1"/>
    <col min="18" max="18" width="3.8515625" style="112" customWidth="1"/>
    <col min="19" max="19" width="8.28125" style="111" bestFit="1" customWidth="1"/>
    <col min="20" max="20" width="3.7109375" style="112" customWidth="1"/>
    <col min="21" max="21" width="8.28125" style="91" bestFit="1" customWidth="1"/>
    <col min="22" max="22" width="4.8515625" style="91" customWidth="1"/>
    <col min="23" max="23" width="6.7109375" style="91" bestFit="1" customWidth="1"/>
    <col min="24" max="24" width="6.28125" style="112" hidden="1" customWidth="1"/>
    <col min="25" max="25" width="0.13671875" style="91" hidden="1" customWidth="1"/>
    <col min="26" max="26" width="6.140625" style="112" bestFit="1" customWidth="1"/>
    <col min="27" max="27" width="9.00390625" style="230" customWidth="1"/>
    <col min="28" max="28" width="7.8515625" style="0" customWidth="1"/>
    <col min="29" max="29" width="5.00390625" style="0" customWidth="1"/>
    <col min="31" max="31" width="5.00390625" style="0" customWidth="1"/>
    <col min="33" max="33" width="4.8515625" style="0" customWidth="1"/>
    <col min="35" max="35" width="4.8515625" style="0" customWidth="1"/>
    <col min="37" max="37" width="4.8515625" style="0" customWidth="1"/>
    <col min="39" max="39" width="4.7109375" style="0" customWidth="1"/>
    <col min="41" max="41" width="5.00390625" style="0" customWidth="1"/>
    <col min="43" max="43" width="5.140625" style="0" customWidth="1"/>
    <col min="45" max="45" width="4.8515625" style="0" customWidth="1"/>
    <col min="47" max="47" width="4.8515625" style="91" customWidth="1"/>
    <col min="48" max="48" width="9.140625" style="91" customWidth="1"/>
    <col min="49" max="49" width="4.7109375" style="91" customWidth="1"/>
    <col min="50" max="50" width="9.140625" style="91" customWidth="1"/>
    <col min="51" max="51" width="5.140625" style="91" customWidth="1"/>
    <col min="52" max="52" width="9.140625" style="91" customWidth="1"/>
    <col min="53" max="53" width="5.140625" style="91" customWidth="1"/>
    <col min="54" max="16384" width="9.140625" style="91" customWidth="1"/>
  </cols>
  <sheetData>
    <row r="1" spans="1:46" s="53" customFormat="1" ht="29.25" customHeight="1" thickBot="1">
      <c r="A1" s="136" t="s">
        <v>476</v>
      </c>
      <c r="B1" s="110"/>
      <c r="C1" s="222"/>
      <c r="D1" s="222"/>
      <c r="E1" s="222"/>
      <c r="F1" s="111"/>
      <c r="G1" s="232"/>
      <c r="H1" s="232"/>
      <c r="I1" s="232"/>
      <c r="J1" s="232"/>
      <c r="K1" s="232"/>
      <c r="L1" s="111"/>
      <c r="M1" s="232"/>
      <c r="N1" s="112"/>
      <c r="O1" s="111"/>
      <c r="P1" s="111"/>
      <c r="Q1" s="222"/>
      <c r="T1" s="112"/>
      <c r="X1" s="66"/>
      <c r="Y1" s="66"/>
      <c r="Z1" s="66"/>
      <c r="AA1" s="227" t="s">
        <v>0</v>
      </c>
      <c r="AB1"/>
      <c r="AC1"/>
      <c r="AD1"/>
      <c r="AE1"/>
      <c r="AF1"/>
      <c r="AG1"/>
      <c r="AH1"/>
      <c r="AI1"/>
      <c r="AJ1"/>
      <c r="AK1"/>
      <c r="AL1"/>
      <c r="AM1"/>
      <c r="AN1"/>
      <c r="AO1"/>
      <c r="AP1"/>
      <c r="AQ1"/>
      <c r="AR1"/>
      <c r="AS1"/>
      <c r="AT1"/>
    </row>
    <row r="2" spans="1:46" s="53" customFormat="1" ht="73.5" customHeight="1" thickBot="1">
      <c r="A2" s="1379" t="s">
        <v>1</v>
      </c>
      <c r="B2" s="847" t="s">
        <v>62</v>
      </c>
      <c r="C2" s="847"/>
      <c r="D2" s="847" t="s">
        <v>407</v>
      </c>
      <c r="E2" s="847"/>
      <c r="F2" s="1381" t="s">
        <v>74</v>
      </c>
      <c r="G2" s="1381"/>
      <c r="H2" s="1257" t="s">
        <v>458</v>
      </c>
      <c r="I2" s="1257"/>
      <c r="J2" s="1377" t="s">
        <v>64</v>
      </c>
      <c r="K2" s="1377"/>
      <c r="L2" s="1384" t="s">
        <v>67</v>
      </c>
      <c r="M2" s="1384"/>
      <c r="N2" s="1377" t="s">
        <v>68</v>
      </c>
      <c r="O2" s="1377"/>
      <c r="P2" s="1384" t="s">
        <v>69</v>
      </c>
      <c r="Q2" s="1384"/>
      <c r="R2" s="1385" t="s">
        <v>70</v>
      </c>
      <c r="S2" s="1385"/>
      <c r="T2" s="1386" t="s">
        <v>71</v>
      </c>
      <c r="U2" s="1386"/>
      <c r="V2" s="1378" t="s">
        <v>72</v>
      </c>
      <c r="W2" s="1378"/>
      <c r="X2" s="1382" t="s">
        <v>191</v>
      </c>
      <c r="Y2" s="1382"/>
      <c r="Z2" s="1383" t="s">
        <v>57</v>
      </c>
      <c r="AA2" s="1383"/>
      <c r="AB2"/>
      <c r="AC2"/>
      <c r="AD2"/>
      <c r="AE2"/>
      <c r="AF2"/>
      <c r="AG2"/>
      <c r="AH2"/>
      <c r="AI2"/>
      <c r="AJ2"/>
      <c r="AK2"/>
      <c r="AL2"/>
      <c r="AM2"/>
      <c r="AN2"/>
      <c r="AO2"/>
      <c r="AP2"/>
      <c r="AQ2"/>
      <c r="AR2"/>
      <c r="AS2"/>
      <c r="AT2"/>
    </row>
    <row r="3" spans="1:46" s="53" customFormat="1" ht="23.25" customHeight="1" thickBot="1">
      <c r="A3" s="1380"/>
      <c r="B3" s="1141" t="s">
        <v>10</v>
      </c>
      <c r="C3" s="1142" t="s">
        <v>9</v>
      </c>
      <c r="D3" s="1141" t="s">
        <v>10</v>
      </c>
      <c r="E3" s="1142" t="s">
        <v>9</v>
      </c>
      <c r="F3" s="1141" t="s">
        <v>10</v>
      </c>
      <c r="G3" s="1143" t="s">
        <v>9</v>
      </c>
      <c r="H3" s="1141" t="s">
        <v>10</v>
      </c>
      <c r="I3" s="1143" t="s">
        <v>9</v>
      </c>
      <c r="J3" s="1140" t="s">
        <v>10</v>
      </c>
      <c r="K3" s="1140" t="s">
        <v>9</v>
      </c>
      <c r="L3" s="1141" t="s">
        <v>10</v>
      </c>
      <c r="M3" s="1143" t="s">
        <v>9</v>
      </c>
      <c r="N3" s="1140" t="s">
        <v>10</v>
      </c>
      <c r="O3" s="1140" t="s">
        <v>9</v>
      </c>
      <c r="P3" s="1140" t="s">
        <v>10</v>
      </c>
      <c r="Q3" s="1142" t="s">
        <v>9</v>
      </c>
      <c r="R3" s="1140" t="s">
        <v>10</v>
      </c>
      <c r="S3" s="1140" t="s">
        <v>9</v>
      </c>
      <c r="T3" s="1140" t="s">
        <v>10</v>
      </c>
      <c r="U3" s="1140" t="s">
        <v>9</v>
      </c>
      <c r="V3" s="1140" t="s">
        <v>10</v>
      </c>
      <c r="W3" s="1140" t="s">
        <v>9</v>
      </c>
      <c r="X3" s="1140" t="s">
        <v>10</v>
      </c>
      <c r="Y3" s="1140" t="s">
        <v>9</v>
      </c>
      <c r="Z3" s="1140" t="s">
        <v>10</v>
      </c>
      <c r="AA3" s="1143" t="s">
        <v>9</v>
      </c>
      <c r="AB3"/>
      <c r="AC3"/>
      <c r="AD3"/>
      <c r="AE3"/>
      <c r="AF3"/>
      <c r="AG3"/>
      <c r="AH3"/>
      <c r="AI3"/>
      <c r="AJ3"/>
      <c r="AK3"/>
      <c r="AL3"/>
      <c r="AM3"/>
      <c r="AN3"/>
      <c r="AO3"/>
      <c r="AP3"/>
      <c r="AQ3"/>
      <c r="AR3"/>
      <c r="AS3"/>
      <c r="AT3"/>
    </row>
    <row r="4" spans="1:46" s="53" customFormat="1" ht="21.75" customHeight="1">
      <c r="A4" s="1208" t="s">
        <v>75</v>
      </c>
      <c r="B4" s="1209"/>
      <c r="C4" s="1210"/>
      <c r="D4" s="1210"/>
      <c r="E4" s="1210"/>
      <c r="F4" s="1211"/>
      <c r="G4" s="1212"/>
      <c r="H4" s="1211"/>
      <c r="I4" s="1212"/>
      <c r="J4" s="1213"/>
      <c r="K4" s="1211"/>
      <c r="L4" s="1211"/>
      <c r="M4" s="1212"/>
      <c r="N4" s="1213"/>
      <c r="O4" s="1211"/>
      <c r="P4" s="1211"/>
      <c r="Q4" s="1210"/>
      <c r="R4" s="1213"/>
      <c r="S4" s="1211"/>
      <c r="T4" s="1213"/>
      <c r="U4" s="1211"/>
      <c r="V4" s="1211"/>
      <c r="W4" s="1211"/>
      <c r="X4" s="1213"/>
      <c r="Y4" s="1211"/>
      <c r="Z4" s="1213"/>
      <c r="AA4" s="1212"/>
      <c r="AB4"/>
      <c r="AC4"/>
      <c r="AD4"/>
      <c r="AE4"/>
      <c r="AF4"/>
      <c r="AG4"/>
      <c r="AH4"/>
      <c r="AI4"/>
      <c r="AJ4"/>
      <c r="AK4"/>
      <c r="AL4"/>
      <c r="AM4"/>
      <c r="AN4"/>
      <c r="AO4"/>
      <c r="AP4"/>
      <c r="AQ4"/>
      <c r="AR4"/>
      <c r="AS4"/>
      <c r="AT4"/>
    </row>
    <row r="5" spans="1:46" s="71" customFormat="1" ht="23.25" customHeight="1">
      <c r="A5" s="89" t="s">
        <v>76</v>
      </c>
      <c r="B5" s="562">
        <v>1</v>
      </c>
      <c r="C5" s="563">
        <v>96.1</v>
      </c>
      <c r="D5" s="563"/>
      <c r="E5" s="563"/>
      <c r="F5" s="562"/>
      <c r="G5" s="564"/>
      <c r="H5" s="562"/>
      <c r="I5" s="564"/>
      <c r="J5" s="562"/>
      <c r="K5" s="562"/>
      <c r="L5" s="562"/>
      <c r="M5" s="564"/>
      <c r="N5" s="562"/>
      <c r="O5" s="562"/>
      <c r="P5" s="566">
        <v>1</v>
      </c>
      <c r="Q5" s="563">
        <v>573.3</v>
      </c>
      <c r="R5" s="562"/>
      <c r="S5" s="562"/>
      <c r="T5" s="562"/>
      <c r="U5" s="562"/>
      <c r="V5" s="562"/>
      <c r="W5" s="562"/>
      <c r="X5" s="562"/>
      <c r="Y5" s="562"/>
      <c r="Z5" s="79">
        <f aca="true" t="shared" si="0" ref="Z5:AA8">SUM(B5,D5,F5,H5,J5,L5,N5,P5,R5,T5,V5,X5)</f>
        <v>2</v>
      </c>
      <c r="AA5" s="609">
        <f t="shared" si="0"/>
        <v>669.4</v>
      </c>
      <c r="AB5"/>
      <c r="AC5"/>
      <c r="AD5"/>
      <c r="AE5"/>
      <c r="AF5"/>
      <c r="AG5"/>
      <c r="AH5"/>
      <c r="AI5"/>
      <c r="AJ5"/>
      <c r="AK5"/>
      <c r="AL5"/>
      <c r="AM5"/>
      <c r="AN5"/>
      <c r="AO5"/>
      <c r="AP5"/>
      <c r="AQ5"/>
      <c r="AR5"/>
      <c r="AS5"/>
      <c r="AT5"/>
    </row>
    <row r="6" spans="1:46" s="71" customFormat="1" ht="23.25" customHeight="1">
      <c r="A6" s="89" t="s">
        <v>77</v>
      </c>
      <c r="B6" s="562"/>
      <c r="C6" s="563">
        <v>266.6</v>
      </c>
      <c r="D6" s="563"/>
      <c r="E6" s="563"/>
      <c r="F6" s="566">
        <v>1</v>
      </c>
      <c r="G6" s="564">
        <v>53.6</v>
      </c>
      <c r="H6" s="565"/>
      <c r="I6" s="564"/>
      <c r="J6" s="562"/>
      <c r="K6" s="562"/>
      <c r="L6" s="565"/>
      <c r="M6" s="564"/>
      <c r="N6" s="562"/>
      <c r="O6" s="562"/>
      <c r="P6" s="566"/>
      <c r="Q6" s="563"/>
      <c r="R6" s="562"/>
      <c r="S6" s="564"/>
      <c r="T6" s="562"/>
      <c r="U6" s="564"/>
      <c r="V6" s="564"/>
      <c r="W6" s="564"/>
      <c r="X6" s="562"/>
      <c r="Y6" s="562"/>
      <c r="Z6" s="79">
        <f t="shared" si="0"/>
        <v>1</v>
      </c>
      <c r="AA6" s="609">
        <f t="shared" si="0"/>
        <v>320.20000000000005</v>
      </c>
      <c r="AB6"/>
      <c r="AC6"/>
      <c r="AD6"/>
      <c r="AE6"/>
      <c r="AF6"/>
      <c r="AG6"/>
      <c r="AH6"/>
      <c r="AI6"/>
      <c r="AJ6"/>
      <c r="AK6"/>
      <c r="AL6"/>
      <c r="AM6"/>
      <c r="AN6"/>
      <c r="AO6"/>
      <c r="AP6"/>
      <c r="AQ6"/>
      <c r="AR6"/>
      <c r="AS6"/>
      <c r="AT6"/>
    </row>
    <row r="7" spans="1:46" s="71" customFormat="1" ht="23.25" customHeight="1">
      <c r="A7" s="89" t="s">
        <v>78</v>
      </c>
      <c r="B7" s="562">
        <v>7</v>
      </c>
      <c r="C7" s="579">
        <f>900.7+24.4</f>
        <v>925.1</v>
      </c>
      <c r="D7" s="566"/>
      <c r="E7" s="566"/>
      <c r="F7" s="562"/>
      <c r="G7" s="564"/>
      <c r="H7" s="562"/>
      <c r="I7" s="564"/>
      <c r="J7" s="562"/>
      <c r="K7" s="562"/>
      <c r="L7" s="562"/>
      <c r="M7" s="564">
        <v>1791.7</v>
      </c>
      <c r="N7" s="562"/>
      <c r="O7" s="562">
        <v>446.1</v>
      </c>
      <c r="P7" s="562">
        <v>1</v>
      </c>
      <c r="Q7" s="563">
        <v>391.5</v>
      </c>
      <c r="R7" s="562">
        <v>3</v>
      </c>
      <c r="S7" s="562">
        <v>815.2</v>
      </c>
      <c r="T7" s="562"/>
      <c r="U7" s="562">
        <v>242.9</v>
      </c>
      <c r="V7" s="562"/>
      <c r="W7" s="562"/>
      <c r="X7" s="562"/>
      <c r="Y7" s="562"/>
      <c r="Z7" s="79">
        <f t="shared" si="0"/>
        <v>11</v>
      </c>
      <c r="AA7" s="609">
        <f t="shared" si="0"/>
        <v>4612.5</v>
      </c>
      <c r="AB7"/>
      <c r="AC7"/>
      <c r="AD7"/>
      <c r="AE7"/>
      <c r="AF7"/>
      <c r="AG7"/>
      <c r="AH7"/>
      <c r="AI7"/>
      <c r="AJ7"/>
      <c r="AK7"/>
      <c r="AL7"/>
      <c r="AM7"/>
      <c r="AN7"/>
      <c r="AO7"/>
      <c r="AP7"/>
      <c r="AQ7"/>
      <c r="AR7"/>
      <c r="AS7"/>
      <c r="AT7"/>
    </row>
    <row r="8" spans="1:46" s="71" customFormat="1" ht="23.25" customHeight="1">
      <c r="A8" s="89" t="s">
        <v>79</v>
      </c>
      <c r="B8" s="562"/>
      <c r="C8" s="563">
        <v>257.8</v>
      </c>
      <c r="D8" s="563"/>
      <c r="E8" s="563"/>
      <c r="F8" s="562"/>
      <c r="G8" s="564"/>
      <c r="H8" s="562"/>
      <c r="I8" s="564"/>
      <c r="J8" s="566"/>
      <c r="K8" s="579"/>
      <c r="L8" s="562"/>
      <c r="M8" s="564"/>
      <c r="N8" s="566"/>
      <c r="O8" s="579"/>
      <c r="P8" s="566"/>
      <c r="Q8" s="563"/>
      <c r="R8" s="566"/>
      <c r="S8" s="562"/>
      <c r="T8" s="562"/>
      <c r="U8" s="562"/>
      <c r="V8" s="562"/>
      <c r="W8" s="562"/>
      <c r="X8" s="565"/>
      <c r="Y8" s="562"/>
      <c r="Z8" s="79">
        <f t="shared" si="0"/>
        <v>0</v>
      </c>
      <c r="AA8" s="609">
        <f t="shared" si="0"/>
        <v>257.8</v>
      </c>
      <c r="AB8"/>
      <c r="AC8"/>
      <c r="AD8"/>
      <c r="AE8"/>
      <c r="AF8"/>
      <c r="AG8"/>
      <c r="AH8"/>
      <c r="AI8"/>
      <c r="AJ8"/>
      <c r="AK8"/>
      <c r="AL8"/>
      <c r="AM8"/>
      <c r="AN8"/>
      <c r="AO8"/>
      <c r="AP8"/>
      <c r="AQ8"/>
      <c r="AR8"/>
      <c r="AS8"/>
      <c r="AT8"/>
    </row>
    <row r="9" spans="1:46" s="157" customFormat="1" ht="24.75" customHeight="1">
      <c r="A9" s="1214" t="s">
        <v>15</v>
      </c>
      <c r="B9" s="1202"/>
      <c r="C9" s="1215"/>
      <c r="D9" s="1215"/>
      <c r="E9" s="1215"/>
      <c r="F9" s="1216"/>
      <c r="G9" s="1217"/>
      <c r="H9" s="1216"/>
      <c r="I9" s="1217"/>
      <c r="J9" s="1218"/>
      <c r="K9" s="1218"/>
      <c r="L9" s="1216"/>
      <c r="M9" s="1217"/>
      <c r="N9" s="1218"/>
      <c r="O9" s="1218"/>
      <c r="P9" s="1218"/>
      <c r="Q9" s="1219"/>
      <c r="R9" s="1216"/>
      <c r="S9" s="1220"/>
      <c r="T9" s="1216"/>
      <c r="U9" s="1216"/>
      <c r="V9" s="1216"/>
      <c r="W9" s="1216"/>
      <c r="X9" s="1216"/>
      <c r="Y9" s="1216"/>
      <c r="Z9" s="1206"/>
      <c r="AA9" s="1207"/>
      <c r="AB9" s="234"/>
      <c r="AC9" s="234"/>
      <c r="AD9" s="234"/>
      <c r="AE9" s="234"/>
      <c r="AF9" s="234"/>
      <c r="AG9" s="234"/>
      <c r="AH9" s="234"/>
      <c r="AI9" s="234"/>
      <c r="AJ9" s="234"/>
      <c r="AK9" s="234"/>
      <c r="AL9" s="234"/>
      <c r="AM9" s="234"/>
      <c r="AN9" s="234"/>
      <c r="AO9" s="234"/>
      <c r="AP9" s="234"/>
      <c r="AQ9" s="234"/>
      <c r="AR9" s="234"/>
      <c r="AS9" s="234"/>
      <c r="AT9" s="234"/>
    </row>
    <row r="10" spans="1:46" s="231" customFormat="1" ht="24" customHeight="1">
      <c r="A10" s="89" t="s">
        <v>80</v>
      </c>
      <c r="B10" s="562">
        <v>2</v>
      </c>
      <c r="C10" s="563">
        <v>618.4</v>
      </c>
      <c r="D10" s="563"/>
      <c r="E10" s="563"/>
      <c r="F10" s="562"/>
      <c r="G10" s="564"/>
      <c r="H10" s="562"/>
      <c r="I10" s="564"/>
      <c r="J10" s="562"/>
      <c r="K10" s="562"/>
      <c r="L10" s="562"/>
      <c r="M10" s="564"/>
      <c r="N10" s="562"/>
      <c r="O10" s="562"/>
      <c r="P10" s="562">
        <v>4</v>
      </c>
      <c r="Q10" s="563">
        <v>866.5</v>
      </c>
      <c r="R10" s="562"/>
      <c r="S10" s="562"/>
      <c r="T10" s="565"/>
      <c r="U10" s="562"/>
      <c r="V10" s="562"/>
      <c r="W10" s="562"/>
      <c r="X10" s="562"/>
      <c r="Y10" s="562"/>
      <c r="Z10" s="79">
        <f>SUM(B10,D10,F10,H10,J10,L10,N10,P10,R10,T10,V10,X10)</f>
        <v>6</v>
      </c>
      <c r="AA10" s="609">
        <f>SUM(C10,E10,G10,I10,K10,M10,O10,Q10,S10,U10,W10,Y10)</f>
        <v>1484.9</v>
      </c>
      <c r="AB10" s="134"/>
      <c r="AC10" s="134"/>
      <c r="AD10" s="134"/>
      <c r="AE10" s="134"/>
      <c r="AF10" s="134"/>
      <c r="AG10" s="134"/>
      <c r="AH10" s="134"/>
      <c r="AI10" s="134"/>
      <c r="AJ10" s="134"/>
      <c r="AK10" s="134"/>
      <c r="AL10" s="134"/>
      <c r="AM10" s="134"/>
      <c r="AN10" s="134"/>
      <c r="AO10" s="134"/>
      <c r="AP10" s="134"/>
      <c r="AQ10" s="134"/>
      <c r="AR10" s="134"/>
      <c r="AS10" s="134"/>
      <c r="AT10" s="134"/>
    </row>
    <row r="11" spans="1:46" s="157" customFormat="1" ht="23.25" customHeight="1">
      <c r="A11" s="1214" t="s">
        <v>198</v>
      </c>
      <c r="B11" s="1202"/>
      <c r="C11" s="1215"/>
      <c r="D11" s="1215"/>
      <c r="E11" s="1215"/>
      <c r="F11" s="1216"/>
      <c r="G11" s="1217"/>
      <c r="H11" s="1220"/>
      <c r="I11" s="1221"/>
      <c r="J11" s="1216"/>
      <c r="K11" s="1220"/>
      <c r="L11" s="1220"/>
      <c r="M11" s="1221"/>
      <c r="N11" s="1216"/>
      <c r="O11" s="1220"/>
      <c r="P11" s="1220"/>
      <c r="Q11" s="1215"/>
      <c r="R11" s="1216"/>
      <c r="S11" s="1220"/>
      <c r="T11" s="1216"/>
      <c r="U11" s="1220"/>
      <c r="V11" s="1220"/>
      <c r="W11" s="1220"/>
      <c r="X11" s="1216"/>
      <c r="Y11" s="1220"/>
      <c r="Z11" s="1206"/>
      <c r="AA11" s="1207"/>
      <c r="AB11" s="234"/>
      <c r="AC11" s="234"/>
      <c r="AD11" s="234"/>
      <c r="AE11" s="234"/>
      <c r="AF11" s="234"/>
      <c r="AG11" s="234"/>
      <c r="AH11" s="234"/>
      <c r="AI11" s="234"/>
      <c r="AJ11" s="234"/>
      <c r="AK11" s="234"/>
      <c r="AL11" s="234"/>
      <c r="AM11" s="234"/>
      <c r="AN11" s="234"/>
      <c r="AO11" s="234"/>
      <c r="AP11" s="234"/>
      <c r="AQ11" s="234"/>
      <c r="AR11" s="234"/>
      <c r="AS11" s="234"/>
      <c r="AT11" s="234"/>
    </row>
    <row r="12" spans="1:46" s="38" customFormat="1" ht="23.25" customHeight="1">
      <c r="A12" s="89" t="s">
        <v>86</v>
      </c>
      <c r="B12" s="566"/>
      <c r="C12" s="563"/>
      <c r="D12" s="563"/>
      <c r="E12" s="563"/>
      <c r="F12" s="562"/>
      <c r="G12" s="564"/>
      <c r="H12" s="566"/>
      <c r="I12" s="564"/>
      <c r="J12" s="565"/>
      <c r="K12" s="562"/>
      <c r="L12" s="566"/>
      <c r="M12" s="564"/>
      <c r="N12" s="565"/>
      <c r="O12" s="562"/>
      <c r="P12" s="562"/>
      <c r="Q12" s="563">
        <v>126.6</v>
      </c>
      <c r="R12" s="562"/>
      <c r="S12" s="562"/>
      <c r="T12" s="562"/>
      <c r="U12" s="562"/>
      <c r="V12" s="562"/>
      <c r="W12" s="564">
        <v>236.2</v>
      </c>
      <c r="X12" s="566"/>
      <c r="Y12" s="562"/>
      <c r="Z12" s="79">
        <f aca="true" t="shared" si="1" ref="Z12:AA17">SUM(B12,D12,F12,H12,J12,L12,N12,P12,R12,T12,V12,X12)</f>
        <v>0</v>
      </c>
      <c r="AA12" s="609">
        <f t="shared" si="1"/>
        <v>362.79999999999995</v>
      </c>
      <c r="AB12"/>
      <c r="AC12"/>
      <c r="AD12"/>
      <c r="AE12"/>
      <c r="AF12"/>
      <c r="AG12"/>
      <c r="AH12"/>
      <c r="AI12"/>
      <c r="AJ12"/>
      <c r="AK12"/>
      <c r="AL12"/>
      <c r="AM12"/>
      <c r="AN12"/>
      <c r="AO12"/>
      <c r="AP12"/>
      <c r="AQ12"/>
      <c r="AR12"/>
      <c r="AS12"/>
      <c r="AT12"/>
    </row>
    <row r="13" spans="1:46" s="38" customFormat="1" ht="23.25" customHeight="1">
      <c r="A13" s="89" t="s">
        <v>82</v>
      </c>
      <c r="B13" s="566"/>
      <c r="C13" s="563"/>
      <c r="D13" s="563"/>
      <c r="E13" s="563"/>
      <c r="F13" s="562"/>
      <c r="G13" s="564"/>
      <c r="H13" s="566"/>
      <c r="I13" s="564"/>
      <c r="J13" s="565"/>
      <c r="K13" s="562"/>
      <c r="L13" s="566"/>
      <c r="M13" s="564"/>
      <c r="N13" s="565"/>
      <c r="O13" s="562"/>
      <c r="P13" s="562"/>
      <c r="Q13" s="563">
        <v>337.1</v>
      </c>
      <c r="R13" s="562"/>
      <c r="S13" s="562"/>
      <c r="T13" s="562"/>
      <c r="U13" s="562"/>
      <c r="V13" s="562"/>
      <c r="W13" s="564"/>
      <c r="X13" s="566"/>
      <c r="Y13" s="562"/>
      <c r="Z13" s="79">
        <f t="shared" si="1"/>
        <v>0</v>
      </c>
      <c r="AA13" s="609">
        <f t="shared" si="1"/>
        <v>337.1</v>
      </c>
      <c r="AB13"/>
      <c r="AC13"/>
      <c r="AD13"/>
      <c r="AE13"/>
      <c r="AF13"/>
      <c r="AG13"/>
      <c r="AH13"/>
      <c r="AI13"/>
      <c r="AJ13"/>
      <c r="AK13"/>
      <c r="AL13"/>
      <c r="AM13"/>
      <c r="AN13"/>
      <c r="AO13"/>
      <c r="AP13"/>
      <c r="AQ13"/>
      <c r="AR13"/>
      <c r="AS13"/>
      <c r="AT13"/>
    </row>
    <row r="14" spans="1:46" s="38" customFormat="1" ht="23.25" customHeight="1">
      <c r="A14" s="89" t="s">
        <v>106</v>
      </c>
      <c r="B14" s="562"/>
      <c r="C14" s="563"/>
      <c r="D14" s="563"/>
      <c r="E14" s="563"/>
      <c r="F14" s="562"/>
      <c r="G14" s="564"/>
      <c r="H14" s="812"/>
      <c r="I14" s="564"/>
      <c r="J14" s="693"/>
      <c r="K14" s="562"/>
      <c r="L14" s="812"/>
      <c r="M14" s="564"/>
      <c r="N14" s="693"/>
      <c r="O14" s="562"/>
      <c r="P14" s="566"/>
      <c r="Q14" s="563">
        <v>262.1</v>
      </c>
      <c r="R14" s="562"/>
      <c r="S14" s="562"/>
      <c r="T14" s="566">
        <v>1</v>
      </c>
      <c r="U14" s="562">
        <v>88</v>
      </c>
      <c r="V14" s="562"/>
      <c r="W14" s="562"/>
      <c r="X14" s="566"/>
      <c r="Y14" s="562"/>
      <c r="Z14" s="79">
        <f t="shared" si="1"/>
        <v>1</v>
      </c>
      <c r="AA14" s="609">
        <f t="shared" si="1"/>
        <v>350.1</v>
      </c>
      <c r="AB14"/>
      <c r="AC14"/>
      <c r="AD14"/>
      <c r="AE14"/>
      <c r="AF14"/>
      <c r="AG14"/>
      <c r="AH14"/>
      <c r="AI14"/>
      <c r="AJ14"/>
      <c r="AK14"/>
      <c r="AL14"/>
      <c r="AM14"/>
      <c r="AN14"/>
      <c r="AO14"/>
      <c r="AP14"/>
      <c r="AQ14"/>
      <c r="AR14"/>
      <c r="AS14"/>
      <c r="AT14"/>
    </row>
    <row r="15" spans="1:46" s="38" customFormat="1" ht="23.25" customHeight="1">
      <c r="A15" s="89" t="s">
        <v>87</v>
      </c>
      <c r="B15" s="562"/>
      <c r="C15" s="563">
        <v>895.9</v>
      </c>
      <c r="D15" s="563"/>
      <c r="E15" s="563"/>
      <c r="F15" s="562"/>
      <c r="G15" s="564"/>
      <c r="H15" s="565"/>
      <c r="I15" s="564"/>
      <c r="J15" s="562">
        <v>1</v>
      </c>
      <c r="K15" s="562">
        <v>91.2</v>
      </c>
      <c r="L15" s="566">
        <v>1</v>
      </c>
      <c r="M15" s="564">
        <v>411.4</v>
      </c>
      <c r="N15" s="562"/>
      <c r="O15" s="562"/>
      <c r="P15" s="566"/>
      <c r="Q15" s="563">
        <v>1874.9</v>
      </c>
      <c r="R15" s="562">
        <v>3</v>
      </c>
      <c r="S15" s="562">
        <v>990.3</v>
      </c>
      <c r="T15" s="566"/>
      <c r="U15" s="562">
        <v>203.1</v>
      </c>
      <c r="V15" s="562"/>
      <c r="W15" s="562"/>
      <c r="X15" s="562"/>
      <c r="Y15" s="562"/>
      <c r="Z15" s="79">
        <f t="shared" si="1"/>
        <v>5</v>
      </c>
      <c r="AA15" s="609">
        <f t="shared" si="1"/>
        <v>4466.8</v>
      </c>
      <c r="AB15"/>
      <c r="AC15"/>
      <c r="AD15"/>
      <c r="AE15"/>
      <c r="AF15"/>
      <c r="AG15"/>
      <c r="AH15"/>
      <c r="AI15"/>
      <c r="AJ15"/>
      <c r="AK15"/>
      <c r="AL15"/>
      <c r="AM15"/>
      <c r="AN15"/>
      <c r="AO15"/>
      <c r="AP15"/>
      <c r="AQ15"/>
      <c r="AR15"/>
      <c r="AS15"/>
      <c r="AT15"/>
    </row>
    <row r="16" spans="1:46" s="38" customFormat="1" ht="23.25" customHeight="1">
      <c r="A16" s="89" t="s">
        <v>107</v>
      </c>
      <c r="B16" s="562"/>
      <c r="C16" s="563">
        <v>512.9</v>
      </c>
      <c r="D16" s="563"/>
      <c r="E16" s="563"/>
      <c r="F16" s="562"/>
      <c r="G16" s="564"/>
      <c r="H16" s="562"/>
      <c r="I16" s="564"/>
      <c r="J16" s="562"/>
      <c r="K16" s="562"/>
      <c r="L16" s="562"/>
      <c r="M16" s="564"/>
      <c r="N16" s="562"/>
      <c r="O16" s="562"/>
      <c r="P16" s="562"/>
      <c r="Q16" s="563"/>
      <c r="R16" s="562"/>
      <c r="S16" s="562"/>
      <c r="T16" s="562"/>
      <c r="U16" s="562"/>
      <c r="V16" s="562"/>
      <c r="W16" s="562"/>
      <c r="X16" s="562"/>
      <c r="Y16" s="562"/>
      <c r="Z16" s="79">
        <f t="shared" si="1"/>
        <v>0</v>
      </c>
      <c r="AA16" s="609">
        <f t="shared" si="1"/>
        <v>512.9</v>
      </c>
      <c r="AB16"/>
      <c r="AC16"/>
      <c r="AD16"/>
      <c r="AE16"/>
      <c r="AF16"/>
      <c r="AG16"/>
      <c r="AH16"/>
      <c r="AI16"/>
      <c r="AJ16"/>
      <c r="AK16"/>
      <c r="AL16"/>
      <c r="AM16"/>
      <c r="AN16"/>
      <c r="AO16"/>
      <c r="AP16"/>
      <c r="AQ16"/>
      <c r="AR16"/>
      <c r="AS16"/>
      <c r="AT16"/>
    </row>
    <row r="17" spans="1:46" s="231" customFormat="1" ht="23.25" customHeight="1">
      <c r="A17" s="89" t="s">
        <v>88</v>
      </c>
      <c r="B17" s="562"/>
      <c r="C17" s="563">
        <v>61.7</v>
      </c>
      <c r="D17" s="563"/>
      <c r="E17" s="563"/>
      <c r="F17" s="562"/>
      <c r="G17" s="564"/>
      <c r="H17" s="562"/>
      <c r="I17" s="564"/>
      <c r="J17" s="562"/>
      <c r="K17" s="562"/>
      <c r="L17" s="562">
        <v>1</v>
      </c>
      <c r="M17" s="564">
        <v>72.2</v>
      </c>
      <c r="N17" s="562"/>
      <c r="O17" s="562"/>
      <c r="P17" s="566"/>
      <c r="Q17" s="563">
        <v>339.8</v>
      </c>
      <c r="R17" s="562"/>
      <c r="S17" s="562"/>
      <c r="T17" s="562"/>
      <c r="U17" s="562"/>
      <c r="V17" s="562"/>
      <c r="W17" s="562"/>
      <c r="X17" s="562"/>
      <c r="Y17" s="562"/>
      <c r="Z17" s="79">
        <f t="shared" si="1"/>
        <v>1</v>
      </c>
      <c r="AA17" s="609">
        <f t="shared" si="1"/>
        <v>473.70000000000005</v>
      </c>
      <c r="AB17" s="134"/>
      <c r="AC17" s="134"/>
      <c r="AD17" s="134"/>
      <c r="AE17" s="134"/>
      <c r="AF17" s="134"/>
      <c r="AG17" s="134"/>
      <c r="AH17" s="134"/>
      <c r="AI17" s="134"/>
      <c r="AJ17" s="134"/>
      <c r="AK17" s="134"/>
      <c r="AL17" s="134"/>
      <c r="AM17" s="134"/>
      <c r="AN17" s="134"/>
      <c r="AO17" s="134"/>
      <c r="AP17" s="134"/>
      <c r="AQ17" s="134"/>
      <c r="AR17" s="134"/>
      <c r="AS17" s="134"/>
      <c r="AT17" s="134"/>
    </row>
    <row r="18" spans="1:46" s="235" customFormat="1" ht="23.25" customHeight="1">
      <c r="A18" s="1201" t="s">
        <v>200</v>
      </c>
      <c r="B18" s="1202"/>
      <c r="C18" s="1203"/>
      <c r="D18" s="1203"/>
      <c r="E18" s="1203"/>
      <c r="F18" s="1202"/>
      <c r="G18" s="1204"/>
      <c r="H18" s="1202"/>
      <c r="I18" s="1204"/>
      <c r="J18" s="1202"/>
      <c r="K18" s="1205"/>
      <c r="L18" s="1202"/>
      <c r="M18" s="1204"/>
      <c r="N18" s="1202"/>
      <c r="O18" s="1205"/>
      <c r="P18" s="1202"/>
      <c r="Q18" s="1203"/>
      <c r="R18" s="1202"/>
      <c r="S18" s="1205"/>
      <c r="T18" s="1202"/>
      <c r="U18" s="1205"/>
      <c r="V18" s="1205"/>
      <c r="W18" s="1205"/>
      <c r="X18" s="1202"/>
      <c r="Y18" s="1205"/>
      <c r="Z18" s="1206"/>
      <c r="AA18" s="1207"/>
      <c r="AB18" s="234"/>
      <c r="AC18" s="234"/>
      <c r="AD18" s="234"/>
      <c r="AE18" s="234"/>
      <c r="AF18" s="234"/>
      <c r="AG18" s="234"/>
      <c r="AH18" s="234"/>
      <c r="AI18" s="234"/>
      <c r="AJ18" s="234"/>
      <c r="AK18" s="234"/>
      <c r="AL18" s="234"/>
      <c r="AM18" s="234"/>
      <c r="AN18" s="234"/>
      <c r="AO18" s="234"/>
      <c r="AP18" s="234"/>
      <c r="AQ18" s="234"/>
      <c r="AR18" s="234"/>
      <c r="AS18" s="234"/>
      <c r="AT18" s="234"/>
    </row>
    <row r="19" spans="1:46" s="190" customFormat="1" ht="23.25" customHeight="1">
      <c r="A19" s="89" t="s">
        <v>129</v>
      </c>
      <c r="B19" s="562"/>
      <c r="C19" s="694"/>
      <c r="D19" s="694"/>
      <c r="E19" s="694"/>
      <c r="F19" s="562"/>
      <c r="G19" s="695"/>
      <c r="H19" s="562"/>
      <c r="I19" s="695"/>
      <c r="J19" s="562"/>
      <c r="K19" s="694"/>
      <c r="L19" s="562"/>
      <c r="M19" s="695"/>
      <c r="N19" s="562"/>
      <c r="O19" s="694"/>
      <c r="P19" s="562"/>
      <c r="Q19" s="694">
        <v>104.3</v>
      </c>
      <c r="R19" s="562"/>
      <c r="S19" s="694"/>
      <c r="T19" s="562"/>
      <c r="U19" s="696"/>
      <c r="V19" s="696"/>
      <c r="W19" s="696"/>
      <c r="X19" s="562"/>
      <c r="Y19" s="696"/>
      <c r="Z19" s="79">
        <f>SUM(B19,D19,F19,H19,J19,L19,N19,P19,R19,T19,V19,X19)</f>
        <v>0</v>
      </c>
      <c r="AA19" s="609">
        <f>SUM(C19,E19,G19,I19,K19,M19,O19,Q19,S19,U19,W19,Y19)</f>
        <v>104.3</v>
      </c>
      <c r="AB19" s="185"/>
      <c r="AC19" s="185"/>
      <c r="AD19" s="185"/>
      <c r="AE19" s="185"/>
      <c r="AF19" s="185"/>
      <c r="AG19" s="185"/>
      <c r="AH19" s="185"/>
      <c r="AI19" s="185"/>
      <c r="AJ19" s="185"/>
      <c r="AK19" s="185"/>
      <c r="AL19" s="185"/>
      <c r="AM19" s="185"/>
      <c r="AN19" s="185"/>
      <c r="AO19" s="185"/>
      <c r="AP19" s="185"/>
      <c r="AQ19" s="185"/>
      <c r="AR19" s="185"/>
      <c r="AS19" s="185"/>
      <c r="AT19" s="185"/>
    </row>
    <row r="20" spans="1:46" s="190" customFormat="1" ht="23.25" customHeight="1">
      <c r="A20" s="128" t="s">
        <v>582</v>
      </c>
      <c r="B20" s="567"/>
      <c r="C20" s="568"/>
      <c r="D20" s="568"/>
      <c r="E20" s="568"/>
      <c r="F20" s="567"/>
      <c r="G20" s="569"/>
      <c r="H20" s="567"/>
      <c r="I20" s="569"/>
      <c r="J20" s="567"/>
      <c r="K20" s="568"/>
      <c r="L20" s="567"/>
      <c r="M20" s="569"/>
      <c r="N20" s="567"/>
      <c r="O20" s="568"/>
      <c r="P20" s="567">
        <v>1</v>
      </c>
      <c r="Q20" s="568">
        <v>146.3</v>
      </c>
      <c r="R20" s="567"/>
      <c r="S20" s="568"/>
      <c r="T20" s="567"/>
      <c r="U20" s="570"/>
      <c r="V20" s="570"/>
      <c r="W20" s="570"/>
      <c r="X20" s="567"/>
      <c r="Y20" s="570"/>
      <c r="Z20" s="79">
        <f>SUM(B20,D20,F20,H20,J20,L20,N20,P20,R20,T20,V20,X20)</f>
        <v>1</v>
      </c>
      <c r="AA20" s="609">
        <f>SUM(C20,E20,G20,I20,K20,M20,O20,Q20,S20,U20,W20,Y20)</f>
        <v>146.3</v>
      </c>
      <c r="AB20" s="185"/>
      <c r="AC20" s="185"/>
      <c r="AD20" s="185"/>
      <c r="AE20" s="185"/>
      <c r="AF20" s="185"/>
      <c r="AG20" s="185"/>
      <c r="AH20" s="185"/>
      <c r="AI20" s="185"/>
      <c r="AJ20" s="185"/>
      <c r="AK20" s="185"/>
      <c r="AL20" s="185"/>
      <c r="AM20" s="185"/>
      <c r="AN20" s="185"/>
      <c r="AO20" s="185"/>
      <c r="AP20" s="185"/>
      <c r="AQ20" s="185"/>
      <c r="AR20" s="185"/>
      <c r="AS20" s="185"/>
      <c r="AT20" s="185"/>
    </row>
    <row r="21" spans="1:27" ht="21.75">
      <c r="A21" s="1222" t="s">
        <v>199</v>
      </c>
      <c r="B21" s="1223"/>
      <c r="C21" s="1224"/>
      <c r="D21" s="1224"/>
      <c r="E21" s="1224"/>
      <c r="F21" s="1225"/>
      <c r="G21" s="1226"/>
      <c r="H21" s="1227"/>
      <c r="I21" s="1228"/>
      <c r="J21" s="1229"/>
      <c r="K21" s="1227"/>
      <c r="L21" s="1227"/>
      <c r="M21" s="1228"/>
      <c r="N21" s="1229"/>
      <c r="O21" s="1227"/>
      <c r="P21" s="1227"/>
      <c r="Q21" s="1230"/>
      <c r="R21" s="1229"/>
      <c r="S21" s="1225"/>
      <c r="T21" s="1229"/>
      <c r="U21" s="1227"/>
      <c r="V21" s="1227"/>
      <c r="W21" s="1227"/>
      <c r="X21" s="1229"/>
      <c r="Y21" s="1227"/>
      <c r="Z21" s="1231"/>
      <c r="AA21" s="1232"/>
    </row>
    <row r="22" spans="1:27" ht="20.25" customHeight="1">
      <c r="A22" s="89" t="s">
        <v>410</v>
      </c>
      <c r="B22" s="571"/>
      <c r="C22" s="572"/>
      <c r="D22" s="572"/>
      <c r="E22" s="572"/>
      <c r="F22" s="574"/>
      <c r="G22" s="573"/>
      <c r="H22" s="575"/>
      <c r="I22" s="576"/>
      <c r="J22" s="577">
        <v>1</v>
      </c>
      <c r="K22" s="575">
        <v>152</v>
      </c>
      <c r="L22" s="575"/>
      <c r="M22" s="576"/>
      <c r="N22" s="577"/>
      <c r="O22" s="575"/>
      <c r="P22" s="575"/>
      <c r="Q22" s="578">
        <v>1258.2</v>
      </c>
      <c r="R22" s="577"/>
      <c r="S22" s="671"/>
      <c r="T22" s="577"/>
      <c r="U22" s="575"/>
      <c r="V22" s="575"/>
      <c r="W22" s="575"/>
      <c r="X22" s="577"/>
      <c r="Y22" s="575"/>
      <c r="Z22" s="79">
        <f aca="true" t="shared" si="2" ref="Z22:Z39">SUM(B22,D22,F22,H22,J22,L22,N22,P22,R22,T22,V22,X22)</f>
        <v>1</v>
      </c>
      <c r="AA22" s="609">
        <f aca="true" t="shared" si="3" ref="AA22:AA39">SUM(C22,E22,G22,I22,K22,M22,O22,Q22,S22,U22,W22,Y22)</f>
        <v>1410.2</v>
      </c>
    </row>
    <row r="23" spans="1:27" ht="20.25" customHeight="1">
      <c r="A23" s="89" t="s">
        <v>223</v>
      </c>
      <c r="B23" s="571"/>
      <c r="C23" s="572"/>
      <c r="D23" s="572"/>
      <c r="E23" s="572"/>
      <c r="F23" s="574"/>
      <c r="G23" s="573"/>
      <c r="H23" s="575"/>
      <c r="I23" s="576"/>
      <c r="J23" s="577"/>
      <c r="K23" s="575"/>
      <c r="L23" s="575"/>
      <c r="M23" s="576">
        <v>100.9</v>
      </c>
      <c r="N23" s="577"/>
      <c r="O23" s="575"/>
      <c r="P23" s="575"/>
      <c r="Q23" s="578"/>
      <c r="R23" s="577"/>
      <c r="S23" s="671"/>
      <c r="T23" s="577"/>
      <c r="U23" s="575"/>
      <c r="V23" s="575"/>
      <c r="W23" s="575"/>
      <c r="X23" s="577"/>
      <c r="Y23" s="575"/>
      <c r="Z23" s="79">
        <f t="shared" si="2"/>
        <v>0</v>
      </c>
      <c r="AA23" s="609">
        <f t="shared" si="3"/>
        <v>100.9</v>
      </c>
    </row>
    <row r="24" spans="1:46" s="38" customFormat="1" ht="23.25" customHeight="1">
      <c r="A24" s="89" t="s">
        <v>408</v>
      </c>
      <c r="B24" s="566"/>
      <c r="C24" s="563"/>
      <c r="D24" s="563"/>
      <c r="E24" s="563"/>
      <c r="F24" s="562"/>
      <c r="G24" s="564"/>
      <c r="H24" s="566"/>
      <c r="I24" s="564"/>
      <c r="J24" s="565"/>
      <c r="K24" s="562"/>
      <c r="L24" s="566">
        <v>1</v>
      </c>
      <c r="M24" s="564">
        <v>119.1</v>
      </c>
      <c r="N24" s="565"/>
      <c r="O24" s="562"/>
      <c r="P24" s="562">
        <v>1</v>
      </c>
      <c r="Q24" s="563">
        <v>122.9</v>
      </c>
      <c r="R24" s="562"/>
      <c r="S24" s="562"/>
      <c r="T24" s="562"/>
      <c r="U24" s="562"/>
      <c r="V24" s="562"/>
      <c r="W24" s="562"/>
      <c r="X24" s="566"/>
      <c r="Y24" s="562"/>
      <c r="Z24" s="79">
        <f t="shared" si="2"/>
        <v>2</v>
      </c>
      <c r="AA24" s="609">
        <f t="shared" si="3"/>
        <v>242</v>
      </c>
      <c r="AB24"/>
      <c r="AC24"/>
      <c r="AD24"/>
      <c r="AE24"/>
      <c r="AF24"/>
      <c r="AG24"/>
      <c r="AH24"/>
      <c r="AI24"/>
      <c r="AJ24"/>
      <c r="AK24"/>
      <c r="AL24"/>
      <c r="AM24"/>
      <c r="AN24"/>
      <c r="AO24"/>
      <c r="AP24"/>
      <c r="AQ24"/>
      <c r="AR24"/>
      <c r="AS24"/>
      <c r="AT24"/>
    </row>
    <row r="25" spans="1:27" ht="20.25" customHeight="1">
      <c r="A25" s="89" t="s">
        <v>162</v>
      </c>
      <c r="B25" s="571"/>
      <c r="C25" s="572"/>
      <c r="D25" s="572"/>
      <c r="E25" s="572"/>
      <c r="F25" s="574"/>
      <c r="G25" s="573">
        <v>309.6</v>
      </c>
      <c r="H25" s="575"/>
      <c r="I25" s="576"/>
      <c r="J25" s="577"/>
      <c r="K25" s="575"/>
      <c r="L25" s="575"/>
      <c r="M25" s="576"/>
      <c r="N25" s="577"/>
      <c r="O25" s="575"/>
      <c r="P25" s="575"/>
      <c r="Q25" s="578"/>
      <c r="R25" s="577"/>
      <c r="S25" s="671">
        <v>259.5</v>
      </c>
      <c r="T25" s="577"/>
      <c r="U25" s="575"/>
      <c r="V25" s="575"/>
      <c r="W25" s="575"/>
      <c r="X25" s="577"/>
      <c r="Y25" s="575"/>
      <c r="Z25" s="79">
        <f t="shared" si="2"/>
        <v>0</v>
      </c>
      <c r="AA25" s="609">
        <f t="shared" si="3"/>
        <v>569.1</v>
      </c>
    </row>
    <row r="26" spans="1:27" ht="20.25" customHeight="1">
      <c r="A26" s="89" t="s">
        <v>471</v>
      </c>
      <c r="B26" s="571"/>
      <c r="C26" s="572"/>
      <c r="D26" s="572"/>
      <c r="E26" s="572"/>
      <c r="F26" s="574"/>
      <c r="G26" s="573"/>
      <c r="H26" s="575"/>
      <c r="I26" s="576"/>
      <c r="J26" s="577"/>
      <c r="K26" s="575"/>
      <c r="L26" s="575"/>
      <c r="M26" s="576">
        <v>314.5</v>
      </c>
      <c r="N26" s="577"/>
      <c r="O26" s="575"/>
      <c r="P26" s="575"/>
      <c r="Q26" s="578"/>
      <c r="R26" s="577"/>
      <c r="S26" s="572">
        <v>308</v>
      </c>
      <c r="T26" s="577"/>
      <c r="U26" s="575"/>
      <c r="V26" s="575"/>
      <c r="W26" s="575"/>
      <c r="X26" s="577"/>
      <c r="Y26" s="575"/>
      <c r="Z26" s="79">
        <f t="shared" si="2"/>
        <v>0</v>
      </c>
      <c r="AA26" s="609">
        <f t="shared" si="3"/>
        <v>622.5</v>
      </c>
    </row>
    <row r="27" spans="1:27" ht="20.25" customHeight="1">
      <c r="A27" s="89" t="s">
        <v>460</v>
      </c>
      <c r="B27" s="571"/>
      <c r="C27" s="572"/>
      <c r="D27" s="572"/>
      <c r="E27" s="572"/>
      <c r="F27" s="574"/>
      <c r="G27" s="573"/>
      <c r="H27" s="575"/>
      <c r="I27" s="576">
        <v>309.9</v>
      </c>
      <c r="J27" s="577"/>
      <c r="K27" s="575"/>
      <c r="L27" s="575"/>
      <c r="M27" s="576"/>
      <c r="N27" s="577"/>
      <c r="O27" s="575"/>
      <c r="P27" s="575"/>
      <c r="Q27" s="578">
        <v>476</v>
      </c>
      <c r="R27" s="577"/>
      <c r="S27" s="671"/>
      <c r="T27" s="577"/>
      <c r="U27" s="575"/>
      <c r="V27" s="575"/>
      <c r="W27" s="575"/>
      <c r="X27" s="577"/>
      <c r="Y27" s="575"/>
      <c r="Z27" s="79">
        <f t="shared" si="2"/>
        <v>0</v>
      </c>
      <c r="AA27" s="609">
        <f t="shared" si="3"/>
        <v>785.9</v>
      </c>
    </row>
    <row r="28" spans="1:27" ht="20.25" customHeight="1">
      <c r="A28" s="89" t="s">
        <v>579</v>
      </c>
      <c r="B28" s="571">
        <v>2</v>
      </c>
      <c r="C28" s="572">
        <v>260</v>
      </c>
      <c r="D28" s="572"/>
      <c r="E28" s="572"/>
      <c r="F28" s="574"/>
      <c r="G28" s="573"/>
      <c r="H28" s="575"/>
      <c r="I28" s="576"/>
      <c r="J28" s="577"/>
      <c r="K28" s="575"/>
      <c r="L28" s="575"/>
      <c r="M28" s="576"/>
      <c r="N28" s="577"/>
      <c r="O28" s="575"/>
      <c r="P28" s="575">
        <v>1</v>
      </c>
      <c r="Q28" s="578">
        <v>241.1</v>
      </c>
      <c r="R28" s="577"/>
      <c r="S28" s="671"/>
      <c r="T28" s="577"/>
      <c r="U28" s="575"/>
      <c r="V28" s="575"/>
      <c r="W28" s="575"/>
      <c r="X28" s="577"/>
      <c r="Y28" s="575"/>
      <c r="Z28" s="79">
        <f t="shared" si="2"/>
        <v>3</v>
      </c>
      <c r="AA28" s="609">
        <f t="shared" si="3"/>
        <v>501.1</v>
      </c>
    </row>
    <row r="29" spans="1:27" ht="18" customHeight="1">
      <c r="A29" s="89" t="s">
        <v>108</v>
      </c>
      <c r="B29" s="571"/>
      <c r="C29" s="572"/>
      <c r="D29" s="572"/>
      <c r="E29" s="572"/>
      <c r="F29" s="574"/>
      <c r="G29" s="573">
        <v>577.8</v>
      </c>
      <c r="H29" s="575"/>
      <c r="I29" s="576"/>
      <c r="J29" s="577"/>
      <c r="K29" s="575"/>
      <c r="L29" s="575"/>
      <c r="M29" s="576">
        <v>329.5</v>
      </c>
      <c r="N29" s="577"/>
      <c r="O29" s="575"/>
      <c r="P29" s="575"/>
      <c r="Q29" s="578">
        <v>420</v>
      </c>
      <c r="R29" s="577">
        <v>1</v>
      </c>
      <c r="S29" s="572">
        <v>712.8</v>
      </c>
      <c r="T29" s="577"/>
      <c r="U29" s="575"/>
      <c r="V29" s="575"/>
      <c r="W29" s="575"/>
      <c r="X29" s="577"/>
      <c r="Y29" s="575"/>
      <c r="Z29" s="79">
        <f t="shared" si="2"/>
        <v>1</v>
      </c>
      <c r="AA29" s="609">
        <f t="shared" si="3"/>
        <v>2040.1</v>
      </c>
    </row>
    <row r="30" spans="1:27" ht="18.75" customHeight="1">
      <c r="A30" s="89" t="s">
        <v>462</v>
      </c>
      <c r="B30" s="571"/>
      <c r="C30" s="572">
        <v>365.1</v>
      </c>
      <c r="D30" s="572"/>
      <c r="E30" s="572"/>
      <c r="F30" s="574"/>
      <c r="G30" s="573"/>
      <c r="H30" s="575"/>
      <c r="I30" s="576"/>
      <c r="J30" s="577"/>
      <c r="K30" s="575"/>
      <c r="L30" s="575"/>
      <c r="M30" s="576">
        <v>331.4</v>
      </c>
      <c r="N30" s="577"/>
      <c r="O30" s="575"/>
      <c r="P30" s="575"/>
      <c r="Q30" s="578"/>
      <c r="R30" s="577"/>
      <c r="S30" s="572"/>
      <c r="T30" s="577"/>
      <c r="U30" s="575"/>
      <c r="V30" s="575"/>
      <c r="W30" s="575"/>
      <c r="X30" s="577"/>
      <c r="Y30" s="575"/>
      <c r="Z30" s="79">
        <f t="shared" si="2"/>
        <v>0</v>
      </c>
      <c r="AA30" s="609">
        <f t="shared" si="3"/>
        <v>696.5</v>
      </c>
    </row>
    <row r="31" spans="1:27" ht="18.75" customHeight="1">
      <c r="A31" s="89" t="s">
        <v>463</v>
      </c>
      <c r="B31" s="571"/>
      <c r="C31" s="572"/>
      <c r="D31" s="572"/>
      <c r="E31" s="572"/>
      <c r="F31" s="574"/>
      <c r="G31" s="573"/>
      <c r="H31" s="575"/>
      <c r="I31" s="576"/>
      <c r="J31" s="577"/>
      <c r="K31" s="575"/>
      <c r="L31" s="575"/>
      <c r="M31" s="576"/>
      <c r="N31" s="577"/>
      <c r="O31" s="575"/>
      <c r="P31" s="575"/>
      <c r="Q31" s="578"/>
      <c r="R31" s="577"/>
      <c r="S31" s="572">
        <v>313.5</v>
      </c>
      <c r="T31" s="577"/>
      <c r="U31" s="575"/>
      <c r="V31" s="575"/>
      <c r="W31" s="575"/>
      <c r="X31" s="577"/>
      <c r="Y31" s="575"/>
      <c r="Z31" s="79">
        <f t="shared" si="2"/>
        <v>0</v>
      </c>
      <c r="AA31" s="609">
        <f t="shared" si="3"/>
        <v>313.5</v>
      </c>
    </row>
    <row r="32" spans="1:27" ht="18.75" customHeight="1">
      <c r="A32" s="89" t="s">
        <v>177</v>
      </c>
      <c r="B32" s="571"/>
      <c r="C32" s="572"/>
      <c r="D32" s="572"/>
      <c r="E32" s="572"/>
      <c r="F32" s="574"/>
      <c r="G32" s="573"/>
      <c r="H32" s="575"/>
      <c r="I32" s="576"/>
      <c r="J32" s="577"/>
      <c r="K32" s="575">
        <v>280.4</v>
      </c>
      <c r="L32" s="575"/>
      <c r="M32" s="576"/>
      <c r="N32" s="577"/>
      <c r="O32" s="575"/>
      <c r="P32" s="575">
        <v>1</v>
      </c>
      <c r="Q32" s="578">
        <v>998.2</v>
      </c>
      <c r="R32" s="577"/>
      <c r="S32" s="572">
        <v>369.9</v>
      </c>
      <c r="T32" s="577"/>
      <c r="U32" s="575">
        <v>223.1</v>
      </c>
      <c r="V32" s="575"/>
      <c r="W32" s="575"/>
      <c r="X32" s="577"/>
      <c r="Y32" s="575"/>
      <c r="Z32" s="79">
        <f t="shared" si="2"/>
        <v>1</v>
      </c>
      <c r="AA32" s="609">
        <f t="shared" si="3"/>
        <v>1871.6</v>
      </c>
    </row>
    <row r="33" spans="1:27" ht="18.75" customHeight="1">
      <c r="A33" s="89" t="s">
        <v>464</v>
      </c>
      <c r="B33" s="571"/>
      <c r="C33" s="572"/>
      <c r="D33" s="572"/>
      <c r="E33" s="572"/>
      <c r="F33" s="574"/>
      <c r="G33" s="573"/>
      <c r="H33" s="575"/>
      <c r="I33" s="576"/>
      <c r="J33" s="577"/>
      <c r="K33" s="575"/>
      <c r="L33" s="575"/>
      <c r="M33" s="576"/>
      <c r="N33" s="577"/>
      <c r="O33" s="575">
        <v>373.8</v>
      </c>
      <c r="P33" s="575"/>
      <c r="Q33" s="578"/>
      <c r="R33" s="577"/>
      <c r="S33" s="572"/>
      <c r="T33" s="577"/>
      <c r="U33" s="575">
        <v>458.5</v>
      </c>
      <c r="V33" s="575"/>
      <c r="W33" s="575"/>
      <c r="X33" s="577"/>
      <c r="Y33" s="575"/>
      <c r="Z33" s="79">
        <f t="shared" si="2"/>
        <v>0</v>
      </c>
      <c r="AA33" s="609">
        <f t="shared" si="3"/>
        <v>832.3</v>
      </c>
    </row>
    <row r="34" spans="1:27" ht="18.75" customHeight="1">
      <c r="A34" s="89" t="s">
        <v>217</v>
      </c>
      <c r="B34" s="571"/>
      <c r="C34" s="572"/>
      <c r="D34" s="572"/>
      <c r="E34" s="572"/>
      <c r="F34" s="574"/>
      <c r="G34" s="573">
        <v>242.1</v>
      </c>
      <c r="H34" s="575"/>
      <c r="I34" s="576"/>
      <c r="J34" s="577"/>
      <c r="K34" s="575"/>
      <c r="L34" s="575"/>
      <c r="M34" s="576"/>
      <c r="N34" s="577"/>
      <c r="O34" s="575"/>
      <c r="P34" s="575"/>
      <c r="Q34" s="578"/>
      <c r="R34" s="577"/>
      <c r="S34" s="572"/>
      <c r="T34" s="577"/>
      <c r="U34" s="575"/>
      <c r="V34" s="575"/>
      <c r="W34" s="575"/>
      <c r="X34" s="577"/>
      <c r="Y34" s="575"/>
      <c r="Z34" s="79">
        <f t="shared" si="2"/>
        <v>0</v>
      </c>
      <c r="AA34" s="609">
        <f t="shared" si="3"/>
        <v>242.1</v>
      </c>
    </row>
    <row r="35" spans="1:27" ht="18.75" customHeight="1">
      <c r="A35" s="89" t="s">
        <v>367</v>
      </c>
      <c r="B35" s="571"/>
      <c r="C35" s="572"/>
      <c r="D35" s="572"/>
      <c r="E35" s="572"/>
      <c r="F35" s="574"/>
      <c r="G35" s="573"/>
      <c r="H35" s="575"/>
      <c r="I35" s="576"/>
      <c r="J35" s="577"/>
      <c r="K35" s="575"/>
      <c r="L35" s="575"/>
      <c r="M35" s="576"/>
      <c r="N35" s="577"/>
      <c r="O35" s="575"/>
      <c r="P35" s="575"/>
      <c r="Q35" s="578">
        <v>214.9</v>
      </c>
      <c r="R35" s="577"/>
      <c r="S35" s="572"/>
      <c r="T35" s="577"/>
      <c r="U35" s="575"/>
      <c r="V35" s="575"/>
      <c r="W35" s="575"/>
      <c r="X35" s="577"/>
      <c r="Y35" s="575"/>
      <c r="Z35" s="79">
        <f t="shared" si="2"/>
        <v>0</v>
      </c>
      <c r="AA35" s="609">
        <f t="shared" si="3"/>
        <v>214.9</v>
      </c>
    </row>
    <row r="36" spans="1:27" ht="18.75" customHeight="1">
      <c r="A36" s="89" t="s">
        <v>368</v>
      </c>
      <c r="B36" s="571"/>
      <c r="C36" s="572">
        <v>268.8</v>
      </c>
      <c r="D36" s="572"/>
      <c r="E36" s="572"/>
      <c r="F36" s="574"/>
      <c r="G36" s="573"/>
      <c r="H36" s="575"/>
      <c r="I36" s="576"/>
      <c r="J36" s="577"/>
      <c r="K36" s="575"/>
      <c r="L36" s="575"/>
      <c r="M36" s="576"/>
      <c r="N36" s="577"/>
      <c r="O36" s="575"/>
      <c r="P36" s="575"/>
      <c r="Q36" s="578">
        <v>358.6</v>
      </c>
      <c r="R36" s="577"/>
      <c r="S36" s="572"/>
      <c r="T36" s="577"/>
      <c r="U36" s="575"/>
      <c r="V36" s="575"/>
      <c r="W36" s="575"/>
      <c r="X36" s="577"/>
      <c r="Y36" s="575"/>
      <c r="Z36" s="79">
        <f t="shared" si="2"/>
        <v>0</v>
      </c>
      <c r="AA36" s="609">
        <f t="shared" si="3"/>
        <v>627.4000000000001</v>
      </c>
    </row>
    <row r="37" spans="1:27" ht="18.75" customHeight="1">
      <c r="A37" s="89" t="s">
        <v>583</v>
      </c>
      <c r="B37" s="571">
        <v>1</v>
      </c>
      <c r="C37" s="572">
        <v>754.8</v>
      </c>
      <c r="D37" s="572"/>
      <c r="E37" s="572">
        <v>342.6</v>
      </c>
      <c r="F37" s="574"/>
      <c r="G37" s="573">
        <v>287.6</v>
      </c>
      <c r="H37" s="575"/>
      <c r="I37" s="576"/>
      <c r="J37" s="577"/>
      <c r="K37" s="575"/>
      <c r="L37" s="575"/>
      <c r="M37" s="576">
        <v>304.1</v>
      </c>
      <c r="N37" s="577"/>
      <c r="O37" s="575"/>
      <c r="P37" s="575"/>
      <c r="Q37" s="578"/>
      <c r="R37" s="577"/>
      <c r="S37" s="572">
        <v>285.5</v>
      </c>
      <c r="T37" s="577"/>
      <c r="U37" s="575"/>
      <c r="V37" s="575"/>
      <c r="W37" s="575"/>
      <c r="X37" s="577"/>
      <c r="Y37" s="575"/>
      <c r="Z37" s="79">
        <f t="shared" si="2"/>
        <v>1</v>
      </c>
      <c r="AA37" s="609">
        <f t="shared" si="3"/>
        <v>1974.6</v>
      </c>
    </row>
    <row r="38" spans="1:27" ht="18.75" customHeight="1">
      <c r="A38" s="89" t="s">
        <v>465</v>
      </c>
      <c r="B38" s="571"/>
      <c r="C38" s="572">
        <v>255</v>
      </c>
      <c r="D38" s="572"/>
      <c r="E38" s="572"/>
      <c r="F38" s="574">
        <v>1</v>
      </c>
      <c r="G38" s="573">
        <v>122.2</v>
      </c>
      <c r="H38" s="575"/>
      <c r="I38" s="576"/>
      <c r="J38" s="577"/>
      <c r="K38" s="575"/>
      <c r="L38" s="575"/>
      <c r="M38" s="576"/>
      <c r="N38" s="577"/>
      <c r="O38" s="575"/>
      <c r="P38" s="575"/>
      <c r="Q38" s="578"/>
      <c r="R38" s="577"/>
      <c r="S38" s="572"/>
      <c r="T38" s="577"/>
      <c r="U38" s="575"/>
      <c r="V38" s="575"/>
      <c r="W38" s="575"/>
      <c r="X38" s="577"/>
      <c r="Y38" s="575"/>
      <c r="Z38" s="79">
        <f t="shared" si="2"/>
        <v>1</v>
      </c>
      <c r="AA38" s="609">
        <f t="shared" si="3"/>
        <v>377.2</v>
      </c>
    </row>
    <row r="39" spans="1:27" ht="18.75" customHeight="1">
      <c r="A39" s="128" t="s">
        <v>466</v>
      </c>
      <c r="B39" s="567"/>
      <c r="C39" s="852"/>
      <c r="D39" s="852"/>
      <c r="E39" s="852"/>
      <c r="F39" s="853"/>
      <c r="G39" s="854"/>
      <c r="H39" s="855"/>
      <c r="I39" s="856"/>
      <c r="J39" s="857"/>
      <c r="K39" s="855"/>
      <c r="L39" s="855"/>
      <c r="M39" s="856">
        <v>449.9</v>
      </c>
      <c r="N39" s="857"/>
      <c r="O39" s="855"/>
      <c r="P39" s="855"/>
      <c r="Q39" s="858"/>
      <c r="R39" s="857"/>
      <c r="S39" s="852"/>
      <c r="T39" s="857"/>
      <c r="U39" s="855"/>
      <c r="V39" s="855"/>
      <c r="W39" s="855"/>
      <c r="X39" s="857"/>
      <c r="Y39" s="855"/>
      <c r="Z39" s="79">
        <f t="shared" si="2"/>
        <v>0</v>
      </c>
      <c r="AA39" s="609">
        <f t="shared" si="3"/>
        <v>449.9</v>
      </c>
    </row>
    <row r="40" spans="1:46" s="235" customFormat="1" ht="23.25" customHeight="1">
      <c r="A40" s="1201" t="s">
        <v>218</v>
      </c>
      <c r="B40" s="1202"/>
      <c r="C40" s="1203"/>
      <c r="D40" s="1203"/>
      <c r="E40" s="1203"/>
      <c r="F40" s="1202"/>
      <c r="G40" s="1204"/>
      <c r="H40" s="1202"/>
      <c r="I40" s="1204"/>
      <c r="J40" s="1202"/>
      <c r="K40" s="1205"/>
      <c r="L40" s="1202"/>
      <c r="M40" s="1204"/>
      <c r="N40" s="1202"/>
      <c r="O40" s="1205"/>
      <c r="P40" s="1202"/>
      <c r="Q40" s="1203"/>
      <c r="R40" s="1202"/>
      <c r="S40" s="1205"/>
      <c r="T40" s="1202"/>
      <c r="U40" s="1205"/>
      <c r="V40" s="1205"/>
      <c r="W40" s="1205"/>
      <c r="X40" s="1202"/>
      <c r="Y40" s="1205"/>
      <c r="Z40" s="1206"/>
      <c r="AA40" s="1207"/>
      <c r="AB40" s="234"/>
      <c r="AC40" s="234"/>
      <c r="AD40" s="234"/>
      <c r="AE40" s="234"/>
      <c r="AF40" s="234"/>
      <c r="AG40" s="234"/>
      <c r="AH40" s="234"/>
      <c r="AI40" s="234"/>
      <c r="AJ40" s="234"/>
      <c r="AK40" s="234"/>
      <c r="AL40" s="234"/>
      <c r="AM40" s="234"/>
      <c r="AN40" s="234"/>
      <c r="AO40" s="234"/>
      <c r="AP40" s="234"/>
      <c r="AQ40" s="234"/>
      <c r="AR40" s="234"/>
      <c r="AS40" s="234"/>
      <c r="AT40" s="234"/>
    </row>
    <row r="41" spans="1:46" s="231" customFormat="1" ht="23.25" customHeight="1">
      <c r="A41" s="89" t="s">
        <v>578</v>
      </c>
      <c r="B41" s="562"/>
      <c r="C41" s="694">
        <v>121.1</v>
      </c>
      <c r="D41" s="694"/>
      <c r="E41" s="694"/>
      <c r="F41" s="562"/>
      <c r="G41" s="695"/>
      <c r="H41" s="562"/>
      <c r="I41" s="695"/>
      <c r="J41" s="562"/>
      <c r="K41" s="696"/>
      <c r="L41" s="562"/>
      <c r="M41" s="695"/>
      <c r="N41" s="562"/>
      <c r="O41" s="696"/>
      <c r="P41" s="562"/>
      <c r="Q41" s="694"/>
      <c r="R41" s="562"/>
      <c r="S41" s="696"/>
      <c r="T41" s="562"/>
      <c r="U41" s="696"/>
      <c r="V41" s="696"/>
      <c r="W41" s="696"/>
      <c r="X41" s="562"/>
      <c r="Y41" s="696"/>
      <c r="Z41" s="79">
        <f aca="true" t="shared" si="4" ref="Z41:AA44">SUM(B41,D41,F41,H41,J41,L41,N41,P41,R41,T41,V41,X41)</f>
        <v>0</v>
      </c>
      <c r="AA41" s="609">
        <f t="shared" si="4"/>
        <v>121.1</v>
      </c>
      <c r="AB41" s="134"/>
      <c r="AC41" s="134"/>
      <c r="AD41" s="134"/>
      <c r="AE41" s="134"/>
      <c r="AF41" s="134"/>
      <c r="AG41" s="134"/>
      <c r="AH41" s="134"/>
      <c r="AI41" s="134"/>
      <c r="AJ41" s="134"/>
      <c r="AK41" s="134"/>
      <c r="AL41" s="134"/>
      <c r="AM41" s="134"/>
      <c r="AN41" s="134"/>
      <c r="AO41" s="134"/>
      <c r="AP41" s="134"/>
      <c r="AQ41" s="134"/>
      <c r="AR41" s="134"/>
      <c r="AS41" s="134"/>
      <c r="AT41" s="134"/>
    </row>
    <row r="42" spans="1:46" s="231" customFormat="1" ht="23.25" customHeight="1">
      <c r="A42" s="89" t="s">
        <v>411</v>
      </c>
      <c r="B42" s="562"/>
      <c r="C42" s="694">
        <v>355.5</v>
      </c>
      <c r="D42" s="694"/>
      <c r="E42" s="694"/>
      <c r="F42" s="562"/>
      <c r="G42" s="695"/>
      <c r="H42" s="562"/>
      <c r="I42" s="695"/>
      <c r="J42" s="562"/>
      <c r="K42" s="696"/>
      <c r="L42" s="562"/>
      <c r="M42" s="695"/>
      <c r="N42" s="562"/>
      <c r="O42" s="696"/>
      <c r="P42" s="562"/>
      <c r="Q42" s="694"/>
      <c r="R42" s="562"/>
      <c r="S42" s="696"/>
      <c r="T42" s="562"/>
      <c r="U42" s="696"/>
      <c r="V42" s="696"/>
      <c r="W42" s="696"/>
      <c r="X42" s="562"/>
      <c r="Y42" s="696"/>
      <c r="Z42" s="79">
        <f t="shared" si="4"/>
        <v>0</v>
      </c>
      <c r="AA42" s="609">
        <f t="shared" si="4"/>
        <v>355.5</v>
      </c>
      <c r="AB42" s="134"/>
      <c r="AC42" s="134"/>
      <c r="AD42" s="134"/>
      <c r="AE42" s="134"/>
      <c r="AF42" s="134"/>
      <c r="AG42" s="134"/>
      <c r="AH42" s="134"/>
      <c r="AI42" s="134"/>
      <c r="AJ42" s="134"/>
      <c r="AK42" s="134"/>
      <c r="AL42" s="134"/>
      <c r="AM42" s="134"/>
      <c r="AN42" s="134"/>
      <c r="AO42" s="134"/>
      <c r="AP42" s="134"/>
      <c r="AQ42" s="134"/>
      <c r="AR42" s="134"/>
      <c r="AS42" s="134"/>
      <c r="AT42" s="134"/>
    </row>
    <row r="43" spans="1:46" s="190" customFormat="1" ht="24" customHeight="1">
      <c r="A43" s="89" t="s">
        <v>461</v>
      </c>
      <c r="B43" s="562"/>
      <c r="C43" s="694">
        <v>251.6</v>
      </c>
      <c r="D43" s="694"/>
      <c r="E43" s="694"/>
      <c r="F43" s="562"/>
      <c r="G43" s="695"/>
      <c r="H43" s="562"/>
      <c r="I43" s="695"/>
      <c r="J43" s="562"/>
      <c r="K43" s="694"/>
      <c r="L43" s="562"/>
      <c r="M43" s="695"/>
      <c r="N43" s="562"/>
      <c r="O43" s="694"/>
      <c r="P43" s="562"/>
      <c r="Q43" s="694"/>
      <c r="R43" s="562"/>
      <c r="S43" s="694"/>
      <c r="T43" s="562"/>
      <c r="U43" s="696"/>
      <c r="V43" s="696"/>
      <c r="W43" s="696"/>
      <c r="X43" s="562"/>
      <c r="Y43" s="696"/>
      <c r="Z43" s="79">
        <f t="shared" si="4"/>
        <v>0</v>
      </c>
      <c r="AA43" s="609">
        <f t="shared" si="4"/>
        <v>251.6</v>
      </c>
      <c r="AB43" s="185"/>
      <c r="AC43" s="185"/>
      <c r="AD43" s="185"/>
      <c r="AE43" s="185"/>
      <c r="AF43" s="185"/>
      <c r="AG43" s="185"/>
      <c r="AH43" s="185"/>
      <c r="AI43" s="185"/>
      <c r="AJ43" s="185"/>
      <c r="AK43" s="185"/>
      <c r="AL43" s="185"/>
      <c r="AM43" s="185"/>
      <c r="AN43" s="185"/>
      <c r="AO43" s="185"/>
      <c r="AP43" s="185"/>
      <c r="AQ43" s="185"/>
      <c r="AR43" s="185"/>
      <c r="AS43" s="185"/>
      <c r="AT43" s="185"/>
    </row>
    <row r="44" spans="1:46" s="231" customFormat="1" ht="24" customHeight="1" thickBot="1">
      <c r="A44" s="128" t="s">
        <v>581</v>
      </c>
      <c r="B44" s="562"/>
      <c r="C44" s="694"/>
      <c r="D44" s="694"/>
      <c r="E44" s="694"/>
      <c r="F44" s="562"/>
      <c r="G44" s="695"/>
      <c r="H44" s="562"/>
      <c r="I44" s="695"/>
      <c r="J44" s="562"/>
      <c r="K44" s="694"/>
      <c r="L44" s="562"/>
      <c r="M44" s="695"/>
      <c r="N44" s="562"/>
      <c r="O44" s="694"/>
      <c r="P44" s="562">
        <v>1</v>
      </c>
      <c r="Q44" s="694">
        <v>279.6</v>
      </c>
      <c r="R44" s="562"/>
      <c r="S44" s="694"/>
      <c r="T44" s="562"/>
      <c r="U44" s="696"/>
      <c r="V44" s="696"/>
      <c r="W44" s="696"/>
      <c r="X44" s="562"/>
      <c r="Y44" s="696"/>
      <c r="Z44" s="79">
        <f t="shared" si="4"/>
        <v>1</v>
      </c>
      <c r="AA44" s="609">
        <f t="shared" si="4"/>
        <v>279.6</v>
      </c>
      <c r="AB44" s="134"/>
      <c r="AC44" s="134"/>
      <c r="AD44" s="134"/>
      <c r="AE44" s="134"/>
      <c r="AF44" s="134"/>
      <c r="AG44" s="134"/>
      <c r="AH44" s="134"/>
      <c r="AI44" s="134"/>
      <c r="AJ44" s="134"/>
      <c r="AK44" s="134"/>
      <c r="AL44" s="134"/>
      <c r="AM44" s="134"/>
      <c r="AN44" s="134"/>
      <c r="AO44" s="134"/>
      <c r="AP44" s="134"/>
      <c r="AQ44" s="134"/>
      <c r="AR44" s="134"/>
      <c r="AS44" s="134"/>
      <c r="AT44" s="134"/>
    </row>
    <row r="45" spans="1:46" s="38" customFormat="1" ht="22.5" customHeight="1" thickBot="1">
      <c r="A45" s="189" t="s">
        <v>53</v>
      </c>
      <c r="B45" s="125">
        <f aca="true" t="shared" si="5" ref="B45:W45">SUM(B5:B44)</f>
        <v>13</v>
      </c>
      <c r="C45" s="223">
        <f t="shared" si="5"/>
        <v>6266.4000000000015</v>
      </c>
      <c r="D45" s="125">
        <f t="shared" si="5"/>
        <v>0</v>
      </c>
      <c r="E45" s="223">
        <f t="shared" si="5"/>
        <v>342.6</v>
      </c>
      <c r="F45" s="125">
        <f t="shared" si="5"/>
        <v>2</v>
      </c>
      <c r="G45" s="223">
        <f t="shared" si="5"/>
        <v>1592.8999999999999</v>
      </c>
      <c r="H45" s="125">
        <f t="shared" si="5"/>
        <v>0</v>
      </c>
      <c r="I45" s="223">
        <f t="shared" si="5"/>
        <v>309.9</v>
      </c>
      <c r="J45" s="125">
        <f t="shared" si="5"/>
        <v>2</v>
      </c>
      <c r="K45" s="223">
        <f t="shared" si="5"/>
        <v>523.5999999999999</v>
      </c>
      <c r="L45" s="125">
        <f t="shared" si="5"/>
        <v>3</v>
      </c>
      <c r="M45" s="223">
        <f t="shared" si="5"/>
        <v>4224.7</v>
      </c>
      <c r="N45" s="125">
        <f t="shared" si="5"/>
        <v>0</v>
      </c>
      <c r="O45" s="223">
        <f t="shared" si="5"/>
        <v>819.9000000000001</v>
      </c>
      <c r="P45" s="125">
        <f t="shared" si="5"/>
        <v>11</v>
      </c>
      <c r="Q45" s="223">
        <f t="shared" si="5"/>
        <v>9391.900000000001</v>
      </c>
      <c r="R45" s="125">
        <f t="shared" si="5"/>
        <v>7</v>
      </c>
      <c r="S45" s="223">
        <f t="shared" si="5"/>
        <v>4054.7000000000003</v>
      </c>
      <c r="T45" s="125">
        <f t="shared" si="5"/>
        <v>1</v>
      </c>
      <c r="U45" s="223">
        <f t="shared" si="5"/>
        <v>1215.6</v>
      </c>
      <c r="V45" s="125">
        <f t="shared" si="5"/>
        <v>0</v>
      </c>
      <c r="W45" s="223">
        <f t="shared" si="5"/>
        <v>236.2</v>
      </c>
      <c r="X45" s="125">
        <f>SUM(X5:X43)</f>
        <v>0</v>
      </c>
      <c r="Y45" s="223">
        <f>SUM(Y5:Y43)</f>
        <v>0</v>
      </c>
      <c r="Z45" s="125">
        <f>SUM(Z5:Z44)</f>
        <v>39</v>
      </c>
      <c r="AA45" s="223">
        <f>SUM(AA5:AA44)</f>
        <v>28978.399999999994</v>
      </c>
      <c r="AB45"/>
      <c r="AC45"/>
      <c r="AD45"/>
      <c r="AE45"/>
      <c r="AF45"/>
      <c r="AG45"/>
      <c r="AH45"/>
      <c r="AI45"/>
      <c r="AJ45"/>
      <c r="AK45"/>
      <c r="AL45"/>
      <c r="AM45"/>
      <c r="AN45"/>
      <c r="AO45"/>
      <c r="AP45"/>
      <c r="AQ45"/>
      <c r="AR45"/>
      <c r="AS45"/>
      <c r="AT45"/>
    </row>
    <row r="46" spans="1:46" s="53" customFormat="1" ht="18.75" customHeight="1">
      <c r="A46" s="64"/>
      <c r="B46" s="62"/>
      <c r="C46" s="226"/>
      <c r="D46" s="226"/>
      <c r="E46" s="226"/>
      <c r="F46" s="63"/>
      <c r="G46" s="233"/>
      <c r="H46" s="233"/>
      <c r="I46" s="233"/>
      <c r="J46" s="233"/>
      <c r="K46" s="233"/>
      <c r="M46" s="229"/>
      <c r="N46" s="30"/>
      <c r="Q46" s="224"/>
      <c r="R46" s="30"/>
      <c r="S46" s="23"/>
      <c r="T46" s="30"/>
      <c r="X46" s="30"/>
      <c r="Z46" s="30"/>
      <c r="AA46" s="229"/>
      <c r="AB46"/>
      <c r="AC46"/>
      <c r="AD46"/>
      <c r="AE46"/>
      <c r="AF46"/>
      <c r="AG46"/>
      <c r="AH46"/>
      <c r="AI46"/>
      <c r="AJ46"/>
      <c r="AK46"/>
      <c r="AL46"/>
      <c r="AM46"/>
      <c r="AN46"/>
      <c r="AO46"/>
      <c r="AP46"/>
      <c r="AQ46"/>
      <c r="AR46"/>
      <c r="AS46"/>
      <c r="AT46"/>
    </row>
    <row r="47" spans="3:27" ht="18" customHeight="1">
      <c r="C47" s="225"/>
      <c r="D47" s="225"/>
      <c r="E47" s="225"/>
      <c r="G47" s="213"/>
      <c r="H47" s="213"/>
      <c r="I47" s="213"/>
      <c r="J47" s="213"/>
      <c r="K47" s="213"/>
      <c r="M47" s="213"/>
      <c r="Q47" s="225"/>
      <c r="AA47" s="213"/>
    </row>
    <row r="48" spans="3:27" ht="20.25" customHeight="1">
      <c r="C48" s="225"/>
      <c r="D48" s="225"/>
      <c r="E48" s="225"/>
      <c r="G48" s="213"/>
      <c r="H48" s="213"/>
      <c r="I48" s="213"/>
      <c r="J48" s="213"/>
      <c r="K48" s="213"/>
      <c r="M48" s="213"/>
      <c r="Q48" s="225"/>
      <c r="AA48" s="213"/>
    </row>
    <row r="49" spans="3:27" ht="21" customHeight="1">
      <c r="C49" s="225"/>
      <c r="D49" s="225"/>
      <c r="E49" s="225"/>
      <c r="G49" s="213"/>
      <c r="H49" s="213"/>
      <c r="I49" s="213"/>
      <c r="J49" s="213"/>
      <c r="K49" s="213"/>
      <c r="M49" s="213"/>
      <c r="Q49" s="225"/>
      <c r="AA49" s="213"/>
    </row>
    <row r="50" spans="3:27" ht="21" customHeight="1">
      <c r="C50" s="225"/>
      <c r="D50" s="225"/>
      <c r="E50" s="225"/>
      <c r="G50" s="213"/>
      <c r="H50" s="213"/>
      <c r="I50" s="213"/>
      <c r="J50" s="213"/>
      <c r="K50" s="213"/>
      <c r="M50" s="213"/>
      <c r="Q50" s="225"/>
      <c r="AA50" s="213"/>
    </row>
    <row r="51" spans="3:27" ht="21" customHeight="1">
      <c r="C51" s="225"/>
      <c r="D51" s="225"/>
      <c r="E51" s="225"/>
      <c r="G51" s="213"/>
      <c r="H51" s="213"/>
      <c r="I51" s="213"/>
      <c r="J51" s="213"/>
      <c r="K51" s="213"/>
      <c r="M51" s="213"/>
      <c r="Q51" s="225"/>
      <c r="AA51" s="213"/>
    </row>
    <row r="52" spans="3:27" ht="21" customHeight="1">
      <c r="C52" s="225"/>
      <c r="D52" s="225"/>
      <c r="E52" s="225"/>
      <c r="G52" s="213"/>
      <c r="H52" s="213"/>
      <c r="I52" s="213"/>
      <c r="J52" s="213"/>
      <c r="K52" s="213"/>
      <c r="M52" s="213"/>
      <c r="Q52" s="225"/>
      <c r="AA52" s="213"/>
    </row>
    <row r="53" spans="3:27" ht="21" customHeight="1">
      <c r="C53" s="225"/>
      <c r="D53" s="225"/>
      <c r="E53" s="225"/>
      <c r="G53" s="213"/>
      <c r="H53" s="213"/>
      <c r="I53" s="213"/>
      <c r="J53" s="213"/>
      <c r="K53" s="213"/>
      <c r="M53" s="213"/>
      <c r="Q53" s="225"/>
      <c r="AA53" s="213"/>
    </row>
    <row r="54" spans="3:27" ht="21" customHeight="1">
      <c r="C54" s="225"/>
      <c r="D54" s="225"/>
      <c r="E54" s="225"/>
      <c r="G54" s="213"/>
      <c r="H54" s="213"/>
      <c r="I54" s="213"/>
      <c r="J54" s="213"/>
      <c r="K54" s="213"/>
      <c r="M54" s="213"/>
      <c r="Q54" s="225"/>
      <c r="AA54" s="213"/>
    </row>
    <row r="55" spans="3:27" ht="21" customHeight="1">
      <c r="C55" s="225"/>
      <c r="D55" s="225"/>
      <c r="E55" s="225"/>
      <c r="G55" s="213"/>
      <c r="H55" s="213"/>
      <c r="I55" s="213"/>
      <c r="J55" s="213"/>
      <c r="K55" s="213"/>
      <c r="M55" s="213"/>
      <c r="Q55" s="225"/>
      <c r="AA55" s="213"/>
    </row>
    <row r="56" spans="3:27" ht="21" customHeight="1">
      <c r="C56" s="225"/>
      <c r="D56" s="225"/>
      <c r="E56" s="225"/>
      <c r="G56" s="213"/>
      <c r="H56" s="213"/>
      <c r="I56" s="213"/>
      <c r="J56" s="213"/>
      <c r="K56" s="213"/>
      <c r="M56" s="213"/>
      <c r="Q56" s="225"/>
      <c r="AA56" s="213"/>
    </row>
    <row r="57" spans="3:27" ht="21" customHeight="1">
      <c r="C57" s="225"/>
      <c r="D57" s="225"/>
      <c r="E57" s="225"/>
      <c r="G57" s="213"/>
      <c r="H57" s="213"/>
      <c r="I57" s="213"/>
      <c r="J57" s="213"/>
      <c r="K57" s="213"/>
      <c r="M57" s="213"/>
      <c r="Q57" s="225"/>
      <c r="AA57" s="213"/>
    </row>
    <row r="58" spans="3:27" ht="21" customHeight="1">
      <c r="C58" s="225"/>
      <c r="D58" s="225"/>
      <c r="E58" s="225"/>
      <c r="G58" s="213"/>
      <c r="H58" s="213"/>
      <c r="I58" s="213"/>
      <c r="J58" s="213"/>
      <c r="K58" s="213"/>
      <c r="M58" s="213"/>
      <c r="Q58" s="225"/>
      <c r="AA58" s="213"/>
    </row>
    <row r="59" spans="3:27" ht="21" customHeight="1">
      <c r="C59" s="225"/>
      <c r="D59" s="225"/>
      <c r="E59" s="225"/>
      <c r="G59" s="213"/>
      <c r="H59" s="213"/>
      <c r="I59" s="213"/>
      <c r="J59" s="213"/>
      <c r="K59" s="213"/>
      <c r="M59" s="213"/>
      <c r="Q59" s="225"/>
      <c r="AA59" s="213"/>
    </row>
    <row r="60" spans="3:27" ht="21" customHeight="1">
      <c r="C60" s="225"/>
      <c r="D60" s="225"/>
      <c r="E60" s="225"/>
      <c r="G60" s="213"/>
      <c r="H60" s="213"/>
      <c r="I60" s="213"/>
      <c r="J60" s="213"/>
      <c r="K60" s="213"/>
      <c r="M60" s="213"/>
      <c r="Q60" s="225"/>
      <c r="AA60" s="213"/>
    </row>
    <row r="61" spans="3:27" ht="21" customHeight="1">
      <c r="C61" s="225"/>
      <c r="D61" s="225"/>
      <c r="E61" s="225"/>
      <c r="G61" s="213"/>
      <c r="H61" s="213"/>
      <c r="I61" s="213"/>
      <c r="J61" s="213"/>
      <c r="K61" s="213"/>
      <c r="M61" s="213"/>
      <c r="Q61" s="225"/>
      <c r="AA61" s="213"/>
    </row>
    <row r="62" spans="3:27" ht="21" customHeight="1">
      <c r="C62" s="225"/>
      <c r="D62" s="225"/>
      <c r="E62" s="225"/>
      <c r="G62" s="213"/>
      <c r="H62" s="213"/>
      <c r="I62" s="213"/>
      <c r="J62" s="213"/>
      <c r="K62" s="213"/>
      <c r="M62" s="213"/>
      <c r="Q62" s="225"/>
      <c r="AA62" s="213"/>
    </row>
    <row r="63" spans="3:27" ht="21" customHeight="1">
      <c r="C63" s="225"/>
      <c r="D63" s="225"/>
      <c r="E63" s="225"/>
      <c r="G63" s="213"/>
      <c r="H63" s="213"/>
      <c r="I63" s="213"/>
      <c r="J63" s="213"/>
      <c r="K63" s="213"/>
      <c r="M63" s="213"/>
      <c r="Q63" s="225"/>
      <c r="AA63" s="213"/>
    </row>
    <row r="64" spans="3:27" ht="21" customHeight="1">
      <c r="C64" s="225"/>
      <c r="D64" s="225"/>
      <c r="E64" s="225"/>
      <c r="G64" s="213"/>
      <c r="H64" s="213"/>
      <c r="I64" s="213"/>
      <c r="J64" s="213"/>
      <c r="K64" s="213"/>
      <c r="M64" s="213"/>
      <c r="Q64" s="225"/>
      <c r="AA64" s="213"/>
    </row>
    <row r="65" spans="3:27" ht="21" customHeight="1">
      <c r="C65" s="225"/>
      <c r="D65" s="225"/>
      <c r="E65" s="225"/>
      <c r="G65" s="213"/>
      <c r="H65" s="213"/>
      <c r="I65" s="213"/>
      <c r="J65" s="213"/>
      <c r="K65" s="213"/>
      <c r="M65" s="213"/>
      <c r="Q65" s="225"/>
      <c r="AA65" s="213"/>
    </row>
    <row r="66" spans="3:27" ht="21" customHeight="1">
      <c r="C66" s="225"/>
      <c r="D66" s="225"/>
      <c r="E66" s="225"/>
      <c r="G66" s="213"/>
      <c r="H66" s="213"/>
      <c r="I66" s="213"/>
      <c r="J66" s="213"/>
      <c r="K66" s="213"/>
      <c r="M66" s="213"/>
      <c r="Q66" s="225"/>
      <c r="AA66" s="213"/>
    </row>
    <row r="67" spans="3:27" ht="21" customHeight="1">
      <c r="C67" s="225"/>
      <c r="D67" s="225"/>
      <c r="E67" s="225"/>
      <c r="G67" s="213"/>
      <c r="H67" s="213"/>
      <c r="I67" s="213"/>
      <c r="J67" s="213"/>
      <c r="K67" s="213"/>
      <c r="M67" s="213"/>
      <c r="Q67" s="225"/>
      <c r="AA67" s="213"/>
    </row>
    <row r="68" spans="3:27" ht="21" customHeight="1">
      <c r="C68" s="225"/>
      <c r="D68" s="225"/>
      <c r="E68" s="225"/>
      <c r="G68" s="213"/>
      <c r="H68" s="213"/>
      <c r="I68" s="213"/>
      <c r="J68" s="213"/>
      <c r="K68" s="213"/>
      <c r="M68" s="213"/>
      <c r="Q68" s="225"/>
      <c r="AA68" s="213"/>
    </row>
    <row r="69" spans="3:27" ht="21" customHeight="1">
      <c r="C69" s="225"/>
      <c r="D69" s="225"/>
      <c r="E69" s="225"/>
      <c r="G69" s="213"/>
      <c r="H69" s="213"/>
      <c r="I69" s="213"/>
      <c r="J69" s="213"/>
      <c r="K69" s="213"/>
      <c r="M69" s="213"/>
      <c r="Q69" s="225"/>
      <c r="AA69" s="213"/>
    </row>
    <row r="70" spans="3:27" ht="21" customHeight="1">
      <c r="C70" s="225"/>
      <c r="D70" s="225"/>
      <c r="E70" s="225"/>
      <c r="G70" s="213"/>
      <c r="H70" s="213"/>
      <c r="I70" s="213"/>
      <c r="J70" s="213"/>
      <c r="K70" s="213"/>
      <c r="M70" s="213"/>
      <c r="Q70" s="225"/>
      <c r="AA70" s="213"/>
    </row>
    <row r="71" spans="3:27" ht="21" customHeight="1">
      <c r="C71" s="225"/>
      <c r="D71" s="225"/>
      <c r="E71" s="225"/>
      <c r="G71" s="213"/>
      <c r="H71" s="213"/>
      <c r="I71" s="213"/>
      <c r="J71" s="213"/>
      <c r="K71" s="213"/>
      <c r="M71" s="213"/>
      <c r="Q71" s="225"/>
      <c r="AA71" s="213"/>
    </row>
    <row r="72" spans="3:27" ht="21" customHeight="1">
      <c r="C72" s="225"/>
      <c r="D72" s="225"/>
      <c r="E72" s="225"/>
      <c r="G72" s="213"/>
      <c r="H72" s="213"/>
      <c r="I72" s="213"/>
      <c r="J72" s="213"/>
      <c r="K72" s="213"/>
      <c r="M72" s="213"/>
      <c r="Q72" s="225"/>
      <c r="AA72" s="213"/>
    </row>
    <row r="73" spans="3:27" ht="21" customHeight="1">
      <c r="C73" s="225"/>
      <c r="D73" s="225"/>
      <c r="E73" s="225"/>
      <c r="G73" s="213"/>
      <c r="H73" s="213"/>
      <c r="I73" s="213"/>
      <c r="J73" s="213"/>
      <c r="K73" s="213"/>
      <c r="M73" s="213"/>
      <c r="Q73" s="225"/>
      <c r="AA73" s="213"/>
    </row>
    <row r="74" spans="3:27" ht="21" customHeight="1">
      <c r="C74" s="225"/>
      <c r="D74" s="225"/>
      <c r="E74" s="225"/>
      <c r="G74" s="213"/>
      <c r="H74" s="213"/>
      <c r="I74" s="213"/>
      <c r="J74" s="213"/>
      <c r="K74" s="213"/>
      <c r="M74" s="213"/>
      <c r="Q74" s="225"/>
      <c r="AA74" s="213"/>
    </row>
  </sheetData>
  <sheetProtection/>
  <mergeCells count="12">
    <mergeCell ref="Z2:AA2"/>
    <mergeCell ref="P2:Q2"/>
    <mergeCell ref="R2:S2"/>
    <mergeCell ref="T2:U2"/>
    <mergeCell ref="L2:M2"/>
    <mergeCell ref="N2:O2"/>
    <mergeCell ref="J2:K2"/>
    <mergeCell ref="V2:W2"/>
    <mergeCell ref="A2:A3"/>
    <mergeCell ref="F2:G2"/>
    <mergeCell ref="X2:Y2"/>
  </mergeCells>
  <printOptions horizontalCentered="1"/>
  <pageMargins left="0.196850393700787" right="0.196850393700787" top="0.275590551181102" bottom="0" header="0.433070866141732" footer="0.433070866141732"/>
  <pageSetup horizontalDpi="600" verticalDpi="600" orientation="landscape" paperSize="9" scale="85" r:id="rId1"/>
  <rowBreaks count="1" manualBreakCount="1">
    <brk id="20" max="18" man="1"/>
  </rowBreaks>
</worksheet>
</file>

<file path=xl/worksheets/sheet7.xml><?xml version="1.0" encoding="utf-8"?>
<worksheet xmlns="http://schemas.openxmlformats.org/spreadsheetml/2006/main" xmlns:r="http://schemas.openxmlformats.org/officeDocument/2006/relationships">
  <sheetPr>
    <tabColor indexed="45"/>
  </sheetPr>
  <dimension ref="A1:AS33"/>
  <sheetViews>
    <sheetView zoomScalePageLayoutView="0" workbookViewId="0" topLeftCell="A1">
      <selection activeCell="Q17" sqref="Q17"/>
    </sheetView>
  </sheetViews>
  <sheetFormatPr defaultColWidth="9.140625" defaultRowHeight="12.75"/>
  <cols>
    <col min="1" max="1" width="18.7109375" style="91" customWidth="1"/>
    <col min="2" max="2" width="4.57421875" style="110" customWidth="1"/>
    <col min="3" max="3" width="8.140625" style="232" customWidth="1"/>
    <col min="4" max="4" width="4.7109375" style="111" customWidth="1"/>
    <col min="5" max="5" width="6.7109375" style="232" bestFit="1" customWidth="1"/>
    <col min="6" max="6" width="4.7109375" style="111" bestFit="1" customWidth="1"/>
    <col min="7" max="7" width="7.7109375" style="232" customWidth="1"/>
    <col min="8" max="8" width="4.8515625" style="111" customWidth="1"/>
    <col min="9" max="9" width="7.00390625" style="111" customWidth="1"/>
    <col min="10" max="10" width="4.7109375" style="111" customWidth="1"/>
    <col min="11" max="11" width="7.00390625" style="232" customWidth="1"/>
    <col min="12" max="12" width="4.57421875" style="111" customWidth="1"/>
    <col min="13" max="13" width="8.7109375" style="232" customWidth="1"/>
    <col min="14" max="14" width="5.28125" style="112" customWidth="1"/>
    <col min="15" max="15" width="9.28125" style="232" customWidth="1"/>
    <col min="16" max="16" width="4.421875" style="111" customWidth="1"/>
    <col min="17" max="17" width="10.28125" style="111" customWidth="1"/>
    <col min="18" max="18" width="8.140625" style="111" customWidth="1"/>
    <col min="19" max="19" width="8.00390625" style="232" customWidth="1"/>
    <col min="20" max="20" width="5.28125" style="91" customWidth="1"/>
    <col min="21" max="21" width="10.00390625" style="0" customWidth="1"/>
    <col min="22" max="22" width="20.28125" style="0" customWidth="1"/>
    <col min="23" max="23" width="6.140625" style="0" customWidth="1"/>
    <col min="24" max="24" width="8.28125" style="0" customWidth="1"/>
    <col min="25" max="25" width="5.28125" style="0" customWidth="1"/>
    <col min="26" max="26" width="8.421875" style="0" customWidth="1"/>
    <col min="27" max="27" width="5.57421875" style="0" customWidth="1"/>
    <col min="28" max="28" width="7.140625" style="0" customWidth="1"/>
    <col min="29" max="29" width="5.00390625" style="0" customWidth="1"/>
    <col min="30" max="30" width="8.00390625" style="0" customWidth="1"/>
    <col min="31" max="31" width="5.00390625" style="0" customWidth="1"/>
    <col min="32" max="32" width="8.28125" style="0" customWidth="1"/>
    <col min="33" max="33" width="5.28125" style="0" customWidth="1"/>
    <col min="35" max="35" width="5.7109375" style="0" customWidth="1"/>
    <col min="36" max="36" width="7.140625" style="0" customWidth="1"/>
    <col min="37" max="37" width="5.8515625" style="0" customWidth="1"/>
    <col min="39" max="39" width="5.57421875" style="0" customWidth="1"/>
    <col min="40" max="40" width="8.7109375" style="0" customWidth="1"/>
    <col min="41" max="41" width="6.140625" style="0" customWidth="1"/>
    <col min="46" max="16384" width="9.140625" style="91" customWidth="1"/>
  </cols>
  <sheetData>
    <row r="1" spans="1:45" s="53" customFormat="1" ht="25.5" customHeight="1">
      <c r="A1" s="136" t="s">
        <v>477</v>
      </c>
      <c r="B1" s="110"/>
      <c r="C1" s="232"/>
      <c r="D1" s="111"/>
      <c r="E1" s="232"/>
      <c r="F1" s="111"/>
      <c r="G1" s="232"/>
      <c r="H1" s="111"/>
      <c r="I1" s="111"/>
      <c r="J1" s="111"/>
      <c r="K1" s="232"/>
      <c r="L1" s="111"/>
      <c r="M1" s="232"/>
      <c r="O1" s="242"/>
      <c r="P1" s="61"/>
      <c r="Q1" s="61"/>
      <c r="S1" s="229"/>
      <c r="T1" s="91"/>
      <c r="U1"/>
      <c r="V1"/>
      <c r="W1"/>
      <c r="X1"/>
      <c r="Y1"/>
      <c r="Z1"/>
      <c r="AA1"/>
      <c r="AB1"/>
      <c r="AC1"/>
      <c r="AD1"/>
      <c r="AE1"/>
      <c r="AF1"/>
      <c r="AG1"/>
      <c r="AH1"/>
      <c r="AI1"/>
      <c r="AJ1"/>
      <c r="AK1"/>
      <c r="AL1"/>
      <c r="AM1"/>
      <c r="AN1"/>
      <c r="AO1"/>
      <c r="AP1"/>
      <c r="AQ1"/>
      <c r="AR1"/>
      <c r="AS1"/>
    </row>
    <row r="2" spans="1:45" s="53" customFormat="1" ht="21" customHeight="1" thickBot="1">
      <c r="A2" s="123"/>
      <c r="B2" s="110"/>
      <c r="C2" s="232"/>
      <c r="D2" s="111"/>
      <c r="E2" s="232"/>
      <c r="F2" s="111"/>
      <c r="G2" s="232"/>
      <c r="H2" s="111"/>
      <c r="I2" s="111"/>
      <c r="J2" s="111"/>
      <c r="K2" s="232"/>
      <c r="L2" s="111"/>
      <c r="M2" s="232"/>
      <c r="O2" s="242"/>
      <c r="P2" s="61"/>
      <c r="Q2" s="61"/>
      <c r="S2" s="227" t="s">
        <v>0</v>
      </c>
      <c r="T2" s="91"/>
      <c r="U2"/>
      <c r="V2"/>
      <c r="W2"/>
      <c r="X2"/>
      <c r="Y2"/>
      <c r="Z2"/>
      <c r="AA2"/>
      <c r="AB2"/>
      <c r="AC2"/>
      <c r="AD2"/>
      <c r="AE2"/>
      <c r="AF2"/>
      <c r="AG2"/>
      <c r="AH2"/>
      <c r="AI2"/>
      <c r="AJ2"/>
      <c r="AK2"/>
      <c r="AL2"/>
      <c r="AM2"/>
      <c r="AN2"/>
      <c r="AO2"/>
      <c r="AP2"/>
      <c r="AQ2"/>
      <c r="AR2"/>
      <c r="AS2"/>
    </row>
    <row r="3" spans="1:43" s="53" customFormat="1" ht="74.25" customHeight="1" thickBot="1">
      <c r="A3" s="1379" t="s">
        <v>1</v>
      </c>
      <c r="B3" s="1387" t="s">
        <v>62</v>
      </c>
      <c r="C3" s="1387"/>
      <c r="D3" s="1387" t="s">
        <v>74</v>
      </c>
      <c r="E3" s="1387"/>
      <c r="F3" s="1387" t="s">
        <v>128</v>
      </c>
      <c r="G3" s="1387"/>
      <c r="H3" s="1387" t="s">
        <v>67</v>
      </c>
      <c r="I3" s="1387"/>
      <c r="J3" s="1387" t="s">
        <v>68</v>
      </c>
      <c r="K3" s="1387"/>
      <c r="L3" s="1388" t="s">
        <v>69</v>
      </c>
      <c r="M3" s="1388"/>
      <c r="N3" s="1388" t="s">
        <v>70</v>
      </c>
      <c r="O3" s="1388"/>
      <c r="P3" s="1388" t="s">
        <v>191</v>
      </c>
      <c r="Q3" s="1388"/>
      <c r="R3" s="1383" t="s">
        <v>57</v>
      </c>
      <c r="S3" s="1383"/>
      <c r="T3"/>
      <c r="U3"/>
      <c r="V3"/>
      <c r="W3"/>
      <c r="X3"/>
      <c r="Y3"/>
      <c r="Z3"/>
      <c r="AA3"/>
      <c r="AB3"/>
      <c r="AC3"/>
      <c r="AD3"/>
      <c r="AE3"/>
      <c r="AF3"/>
      <c r="AG3"/>
      <c r="AH3"/>
      <c r="AI3"/>
      <c r="AJ3"/>
      <c r="AK3"/>
      <c r="AL3"/>
      <c r="AM3"/>
      <c r="AN3"/>
      <c r="AO3"/>
      <c r="AP3"/>
      <c r="AQ3"/>
    </row>
    <row r="4" spans="1:43" s="53" customFormat="1" ht="24.75" customHeight="1" thickBot="1">
      <c r="A4" s="1380"/>
      <c r="B4" s="87" t="s">
        <v>10</v>
      </c>
      <c r="C4" s="238" t="s">
        <v>9</v>
      </c>
      <c r="D4" s="87" t="s">
        <v>10</v>
      </c>
      <c r="E4" s="238" t="s">
        <v>9</v>
      </c>
      <c r="F4" s="87" t="s">
        <v>10</v>
      </c>
      <c r="G4" s="238" t="s">
        <v>9</v>
      </c>
      <c r="H4" s="87" t="s">
        <v>10</v>
      </c>
      <c r="I4" s="88" t="s">
        <v>9</v>
      </c>
      <c r="J4" s="87" t="s">
        <v>10</v>
      </c>
      <c r="K4" s="238" t="s">
        <v>9</v>
      </c>
      <c r="L4" s="87" t="s">
        <v>10</v>
      </c>
      <c r="M4" s="238" t="s">
        <v>9</v>
      </c>
      <c r="N4" s="87" t="s">
        <v>10</v>
      </c>
      <c r="O4" s="238" t="s">
        <v>9</v>
      </c>
      <c r="P4" s="87" t="s">
        <v>10</v>
      </c>
      <c r="Q4" s="88" t="s">
        <v>9</v>
      </c>
      <c r="R4" s="87" t="s">
        <v>10</v>
      </c>
      <c r="S4" s="238" t="s">
        <v>9</v>
      </c>
      <c r="T4"/>
      <c r="U4"/>
      <c r="V4"/>
      <c r="W4"/>
      <c r="X4"/>
      <c r="Y4"/>
      <c r="Z4"/>
      <c r="AA4"/>
      <c r="AB4"/>
      <c r="AC4"/>
      <c r="AD4"/>
      <c r="AE4"/>
      <c r="AF4"/>
      <c r="AG4"/>
      <c r="AH4"/>
      <c r="AI4"/>
      <c r="AJ4"/>
      <c r="AK4"/>
      <c r="AL4"/>
      <c r="AM4"/>
      <c r="AN4"/>
      <c r="AO4"/>
      <c r="AP4"/>
      <c r="AQ4"/>
    </row>
    <row r="5" spans="1:43" s="53" customFormat="1" ht="22.5" customHeight="1">
      <c r="A5" s="72" t="s">
        <v>101</v>
      </c>
      <c r="B5" s="74"/>
      <c r="C5" s="239"/>
      <c r="D5" s="75"/>
      <c r="E5" s="239"/>
      <c r="F5" s="75"/>
      <c r="G5" s="239"/>
      <c r="H5" s="75"/>
      <c r="I5" s="75"/>
      <c r="J5" s="75"/>
      <c r="K5" s="239"/>
      <c r="L5" s="76"/>
      <c r="M5" s="239"/>
      <c r="N5" s="75"/>
      <c r="O5" s="239"/>
      <c r="P5" s="75"/>
      <c r="Q5" s="75"/>
      <c r="R5" s="69"/>
      <c r="S5" s="243"/>
      <c r="T5"/>
      <c r="U5"/>
      <c r="V5"/>
      <c r="W5"/>
      <c r="X5"/>
      <c r="Y5"/>
      <c r="Z5"/>
      <c r="AA5"/>
      <c r="AB5"/>
      <c r="AC5"/>
      <c r="AD5"/>
      <c r="AE5"/>
      <c r="AF5"/>
      <c r="AG5"/>
      <c r="AH5"/>
      <c r="AI5"/>
      <c r="AJ5"/>
      <c r="AK5"/>
      <c r="AL5"/>
      <c r="AM5"/>
      <c r="AN5"/>
      <c r="AO5"/>
      <c r="AP5"/>
      <c r="AQ5"/>
    </row>
    <row r="6" spans="1:43" s="38" customFormat="1" ht="22.5" customHeight="1">
      <c r="A6" s="68" t="s">
        <v>83</v>
      </c>
      <c r="B6" s="660"/>
      <c r="C6" s="661"/>
      <c r="D6" s="662">
        <v>4</v>
      </c>
      <c r="E6" s="663">
        <v>35.8</v>
      </c>
      <c r="F6" s="660"/>
      <c r="G6" s="663"/>
      <c r="H6" s="660"/>
      <c r="I6" s="660"/>
      <c r="J6" s="660"/>
      <c r="K6" s="663"/>
      <c r="L6" s="660"/>
      <c r="M6" s="663"/>
      <c r="N6" s="660">
        <v>6</v>
      </c>
      <c r="O6" s="663">
        <v>73.8</v>
      </c>
      <c r="P6" s="660"/>
      <c r="Q6" s="670"/>
      <c r="R6" s="79">
        <f>P6+B6+D6+F6+H6+J6+L6+N6</f>
        <v>10</v>
      </c>
      <c r="S6" s="609">
        <f>Q6+C6+E6+G6+I6+K6+M6+O6</f>
        <v>109.6</v>
      </c>
      <c r="T6"/>
      <c r="U6"/>
      <c r="V6"/>
      <c r="W6"/>
      <c r="X6"/>
      <c r="Y6"/>
      <c r="Z6"/>
      <c r="AA6"/>
      <c r="AB6"/>
      <c r="AC6"/>
      <c r="AD6"/>
      <c r="AE6"/>
      <c r="AF6"/>
      <c r="AG6"/>
      <c r="AH6"/>
      <c r="AI6"/>
      <c r="AJ6"/>
      <c r="AK6"/>
      <c r="AL6"/>
      <c r="AM6"/>
      <c r="AN6"/>
      <c r="AO6"/>
      <c r="AP6"/>
      <c r="AQ6"/>
    </row>
    <row r="7" spans="1:43" s="53" customFormat="1" ht="22.5" customHeight="1">
      <c r="A7" s="72" t="s">
        <v>117</v>
      </c>
      <c r="B7" s="664"/>
      <c r="C7" s="665"/>
      <c r="D7" s="666"/>
      <c r="E7" s="665"/>
      <c r="F7" s="666"/>
      <c r="G7" s="665"/>
      <c r="H7" s="666"/>
      <c r="I7" s="666"/>
      <c r="J7" s="666"/>
      <c r="K7" s="665"/>
      <c r="L7" s="667"/>
      <c r="M7" s="665"/>
      <c r="N7" s="666"/>
      <c r="O7" s="665"/>
      <c r="P7" s="666"/>
      <c r="Q7" s="666"/>
      <c r="R7" s="127"/>
      <c r="S7" s="244"/>
      <c r="T7"/>
      <c r="U7"/>
      <c r="V7"/>
      <c r="W7"/>
      <c r="X7"/>
      <c r="Y7"/>
      <c r="Z7"/>
      <c r="AA7"/>
      <c r="AB7"/>
      <c r="AC7"/>
      <c r="AD7"/>
      <c r="AE7"/>
      <c r="AF7"/>
      <c r="AG7"/>
      <c r="AH7"/>
      <c r="AI7"/>
      <c r="AJ7"/>
      <c r="AK7"/>
      <c r="AL7"/>
      <c r="AM7"/>
      <c r="AN7"/>
      <c r="AO7"/>
      <c r="AP7"/>
      <c r="AQ7"/>
    </row>
    <row r="8" spans="1:43" s="38" customFormat="1" ht="22.5" customHeight="1" thickBot="1">
      <c r="A8" s="68" t="s">
        <v>102</v>
      </c>
      <c r="B8" s="668"/>
      <c r="C8" s="668">
        <v>285.1</v>
      </c>
      <c r="D8" s="660"/>
      <c r="E8" s="661">
        <v>140</v>
      </c>
      <c r="F8" s="660"/>
      <c r="G8" s="661"/>
      <c r="H8" s="669"/>
      <c r="I8" s="670"/>
      <c r="J8" s="660"/>
      <c r="K8" s="661"/>
      <c r="L8" s="660"/>
      <c r="M8" s="661"/>
      <c r="N8" s="660"/>
      <c r="O8" s="661">
        <v>1495.1</v>
      </c>
      <c r="P8" s="660"/>
      <c r="Q8" s="670"/>
      <c r="R8" s="79">
        <f>B8+D8+F8+H8+J8+L8+N8+P8</f>
        <v>0</v>
      </c>
      <c r="S8" s="609">
        <f>C8+E8+G8+I8+K8+M8+O8+Q8</f>
        <v>1920.1999999999998</v>
      </c>
      <c r="T8"/>
      <c r="U8"/>
      <c r="V8"/>
      <c r="W8"/>
      <c r="X8"/>
      <c r="Y8"/>
      <c r="Z8"/>
      <c r="AA8"/>
      <c r="AB8"/>
      <c r="AC8"/>
      <c r="AD8"/>
      <c r="AE8"/>
      <c r="AF8"/>
      <c r="AG8"/>
      <c r="AH8"/>
      <c r="AI8"/>
      <c r="AJ8"/>
      <c r="AK8"/>
      <c r="AL8"/>
      <c r="AM8"/>
      <c r="AN8"/>
      <c r="AO8"/>
      <c r="AP8"/>
      <c r="AQ8"/>
    </row>
    <row r="9" spans="1:43" s="38" customFormat="1" ht="22.5" customHeight="1" thickBot="1">
      <c r="A9" s="168" t="s">
        <v>57</v>
      </c>
      <c r="B9" s="125">
        <f>SUM(B5:B7)</f>
        <v>0</v>
      </c>
      <c r="C9" s="223">
        <f>SUM(C5:C8)</f>
        <v>285.1</v>
      </c>
      <c r="D9" s="125">
        <f aca="true" t="shared" si="0" ref="D9:S9">SUM(D5:D8)</f>
        <v>4</v>
      </c>
      <c r="E9" s="223">
        <f>SUM(E6:E8)</f>
        <v>175.8</v>
      </c>
      <c r="F9" s="125">
        <f>F6</f>
        <v>0</v>
      </c>
      <c r="G9" s="223">
        <f t="shared" si="0"/>
        <v>0</v>
      </c>
      <c r="H9" s="125">
        <f>H6</f>
        <v>0</v>
      </c>
      <c r="I9" s="223">
        <f t="shared" si="0"/>
        <v>0</v>
      </c>
      <c r="J9" s="125">
        <f>J6</f>
        <v>0</v>
      </c>
      <c r="K9" s="223">
        <f t="shared" si="0"/>
        <v>0</v>
      </c>
      <c r="L9" s="125">
        <f>L6</f>
        <v>0</v>
      </c>
      <c r="M9" s="223">
        <f t="shared" si="0"/>
        <v>0</v>
      </c>
      <c r="N9" s="125">
        <f>N6</f>
        <v>6</v>
      </c>
      <c r="O9" s="223">
        <f t="shared" si="0"/>
        <v>1568.8999999999999</v>
      </c>
      <c r="P9" s="125">
        <f>P6</f>
        <v>0</v>
      </c>
      <c r="Q9" s="125">
        <f t="shared" si="0"/>
        <v>0</v>
      </c>
      <c r="R9" s="126">
        <f>R6</f>
        <v>10</v>
      </c>
      <c r="S9" s="616">
        <f t="shared" si="0"/>
        <v>2029.7999999999997</v>
      </c>
      <c r="T9"/>
      <c r="U9"/>
      <c r="V9"/>
      <c r="W9"/>
      <c r="X9"/>
      <c r="Y9"/>
      <c r="Z9"/>
      <c r="AA9"/>
      <c r="AB9"/>
      <c r="AC9"/>
      <c r="AD9"/>
      <c r="AE9"/>
      <c r="AF9"/>
      <c r="AG9"/>
      <c r="AH9"/>
      <c r="AI9"/>
      <c r="AJ9"/>
      <c r="AK9"/>
      <c r="AL9"/>
      <c r="AM9"/>
      <c r="AN9"/>
      <c r="AO9"/>
      <c r="AP9"/>
      <c r="AQ9"/>
    </row>
    <row r="10" spans="1:45" s="53" customFormat="1" ht="15" customHeight="1">
      <c r="A10" s="81"/>
      <c r="B10" s="55"/>
      <c r="C10" s="228"/>
      <c r="D10" s="56"/>
      <c r="E10" s="228"/>
      <c r="F10" s="56"/>
      <c r="G10" s="228"/>
      <c r="H10" s="56"/>
      <c r="I10" s="56"/>
      <c r="J10" s="56"/>
      <c r="K10" s="228"/>
      <c r="L10" s="56"/>
      <c r="M10" s="228"/>
      <c r="N10" s="57"/>
      <c r="O10" s="228"/>
      <c r="P10" s="56"/>
      <c r="Q10" s="56"/>
      <c r="R10" s="56"/>
      <c r="S10" s="228"/>
      <c r="U10"/>
      <c r="V10"/>
      <c r="W10"/>
      <c r="X10"/>
      <c r="Y10"/>
      <c r="Z10"/>
      <c r="AA10"/>
      <c r="AB10"/>
      <c r="AC10"/>
      <c r="AD10"/>
      <c r="AE10"/>
      <c r="AF10"/>
      <c r="AG10"/>
      <c r="AH10"/>
      <c r="AI10"/>
      <c r="AJ10"/>
      <c r="AK10"/>
      <c r="AL10"/>
      <c r="AM10"/>
      <c r="AN10"/>
      <c r="AO10"/>
      <c r="AP10"/>
      <c r="AQ10"/>
      <c r="AR10"/>
      <c r="AS10"/>
    </row>
    <row r="11" spans="3:45" s="108" customFormat="1" ht="23.25" customHeight="1">
      <c r="C11" s="236"/>
      <c r="E11" s="236"/>
      <c r="G11" s="236"/>
      <c r="K11" s="236"/>
      <c r="M11" s="236"/>
      <c r="O11" s="236"/>
      <c r="S11" s="236"/>
      <c r="U11"/>
      <c r="V11"/>
      <c r="W11"/>
      <c r="X11"/>
      <c r="Y11"/>
      <c r="Z11"/>
      <c r="AA11"/>
      <c r="AB11"/>
      <c r="AC11"/>
      <c r="AD11"/>
      <c r="AE11"/>
      <c r="AF11"/>
      <c r="AG11"/>
      <c r="AH11"/>
      <c r="AI11"/>
      <c r="AJ11"/>
      <c r="AK11"/>
      <c r="AL11"/>
      <c r="AM11"/>
      <c r="AN11"/>
      <c r="AO11"/>
      <c r="AP11"/>
      <c r="AQ11"/>
      <c r="AR11"/>
      <c r="AS11"/>
    </row>
    <row r="12" spans="3:19" ht="21" customHeight="1">
      <c r="C12" s="213"/>
      <c r="E12" s="213"/>
      <c r="G12" s="213"/>
      <c r="K12" s="213"/>
      <c r="M12" s="213"/>
      <c r="O12" s="213"/>
      <c r="S12" s="213"/>
    </row>
    <row r="13" spans="3:19" ht="21" customHeight="1">
      <c r="C13" s="213"/>
      <c r="E13" s="213"/>
      <c r="G13" s="213"/>
      <c r="K13" s="213"/>
      <c r="M13" s="213"/>
      <c r="O13" s="213"/>
      <c r="S13" s="213"/>
    </row>
    <row r="14" spans="3:19" ht="21" customHeight="1">
      <c r="C14" s="213"/>
      <c r="E14" s="213"/>
      <c r="G14" s="213"/>
      <c r="K14" s="213"/>
      <c r="M14" s="213"/>
      <c r="O14" s="213"/>
      <c r="S14" s="213"/>
    </row>
    <row r="15" spans="3:19" ht="21" customHeight="1">
      <c r="C15" s="213"/>
      <c r="E15" s="213"/>
      <c r="G15" s="213"/>
      <c r="K15" s="213"/>
      <c r="M15" s="213"/>
      <c r="O15" s="213"/>
      <c r="S15" s="213"/>
    </row>
    <row r="16" spans="3:19" ht="21" customHeight="1">
      <c r="C16" s="213"/>
      <c r="E16" s="213"/>
      <c r="G16" s="213"/>
      <c r="K16" s="213"/>
      <c r="M16" s="213"/>
      <c r="O16" s="213"/>
      <c r="S16" s="213"/>
    </row>
    <row r="17" spans="3:19" ht="21" customHeight="1">
      <c r="C17" s="213"/>
      <c r="E17" s="213"/>
      <c r="G17" s="213"/>
      <c r="K17" s="213"/>
      <c r="M17" s="213"/>
      <c r="O17" s="213"/>
      <c r="S17" s="213"/>
    </row>
    <row r="18" spans="3:19" ht="21" customHeight="1">
      <c r="C18" s="213"/>
      <c r="E18" s="213"/>
      <c r="G18" s="213"/>
      <c r="K18" s="213"/>
      <c r="M18" s="213"/>
      <c r="O18" s="213"/>
      <c r="S18" s="213"/>
    </row>
    <row r="19" spans="3:19" ht="21" customHeight="1">
      <c r="C19" s="213"/>
      <c r="E19" s="213"/>
      <c r="G19" s="213"/>
      <c r="K19" s="213"/>
      <c r="M19" s="213"/>
      <c r="O19" s="213"/>
      <c r="S19" s="213"/>
    </row>
    <row r="20" spans="3:19" ht="18.75" customHeight="1">
      <c r="C20" s="213"/>
      <c r="E20" s="241"/>
      <c r="F20" s="172"/>
      <c r="G20" s="241"/>
      <c r="K20" s="213"/>
      <c r="M20" s="213"/>
      <c r="O20" s="213"/>
      <c r="S20" s="213"/>
    </row>
    <row r="21" spans="3:19" ht="18.75" customHeight="1">
      <c r="C21" s="213"/>
      <c r="E21" s="213"/>
      <c r="G21" s="213"/>
      <c r="K21" s="213"/>
      <c r="M21" s="213"/>
      <c r="O21" s="213"/>
      <c r="S21" s="213"/>
    </row>
    <row r="22" spans="3:19" ht="18.75" customHeight="1">
      <c r="C22" s="213"/>
      <c r="E22" s="213"/>
      <c r="G22" s="213"/>
      <c r="K22" s="213"/>
      <c r="M22" s="213"/>
      <c r="O22" s="213"/>
      <c r="S22" s="213"/>
    </row>
    <row r="23" spans="3:19" ht="18.75" customHeight="1">
      <c r="C23" s="213"/>
      <c r="E23" s="213"/>
      <c r="G23" s="213"/>
      <c r="K23" s="213"/>
      <c r="M23" s="213"/>
      <c r="O23" s="213"/>
      <c r="S23" s="213"/>
    </row>
    <row r="24" spans="3:19" ht="18.75" customHeight="1">
      <c r="C24" s="213"/>
      <c r="E24" s="213"/>
      <c r="G24" s="213"/>
      <c r="K24" s="213"/>
      <c r="M24" s="213"/>
      <c r="O24" s="213"/>
      <c r="S24" s="213"/>
    </row>
    <row r="25" spans="3:19" ht="18.75" customHeight="1">
      <c r="C25" s="213"/>
      <c r="E25" s="213"/>
      <c r="G25" s="213"/>
      <c r="K25" s="213"/>
      <c r="M25" s="213"/>
      <c r="O25" s="213"/>
      <c r="S25" s="213"/>
    </row>
    <row r="26" spans="3:19" ht="18.75" customHeight="1">
      <c r="C26" s="213"/>
      <c r="E26" s="213"/>
      <c r="G26" s="213"/>
      <c r="K26" s="213"/>
      <c r="M26" s="213"/>
      <c r="O26" s="213"/>
      <c r="S26" s="213"/>
    </row>
    <row r="27" spans="3:19" ht="18.75" customHeight="1">
      <c r="C27" s="213"/>
      <c r="E27" s="213"/>
      <c r="G27" s="213"/>
      <c r="K27" s="213"/>
      <c r="M27" s="213"/>
      <c r="O27" s="213"/>
      <c r="S27" s="213"/>
    </row>
    <row r="28" spans="3:19" ht="18.75" customHeight="1">
      <c r="C28" s="213"/>
      <c r="E28" s="213"/>
      <c r="G28" s="213"/>
      <c r="K28" s="213"/>
      <c r="M28" s="213"/>
      <c r="O28" s="213"/>
      <c r="S28" s="213"/>
    </row>
    <row r="29" spans="3:19" ht="18.75" customHeight="1">
      <c r="C29" s="213"/>
      <c r="E29" s="213"/>
      <c r="G29" s="213"/>
      <c r="K29" s="213"/>
      <c r="M29" s="213"/>
      <c r="O29" s="213"/>
      <c r="S29" s="213"/>
    </row>
    <row r="30" spans="3:19" ht="18.75" customHeight="1">
      <c r="C30" s="213"/>
      <c r="E30" s="213"/>
      <c r="G30" s="213"/>
      <c r="K30" s="213"/>
      <c r="M30" s="213"/>
      <c r="O30" s="213"/>
      <c r="S30" s="213"/>
    </row>
    <row r="31" spans="3:19" ht="18.75" customHeight="1">
      <c r="C31" s="213"/>
      <c r="E31" s="213"/>
      <c r="G31" s="213"/>
      <c r="K31" s="213"/>
      <c r="M31" s="213"/>
      <c r="O31" s="213"/>
      <c r="S31" s="213"/>
    </row>
    <row r="32" spans="3:19" ht="18.75" customHeight="1">
      <c r="C32" s="213"/>
      <c r="E32" s="213"/>
      <c r="G32" s="213"/>
      <c r="K32" s="213"/>
      <c r="M32" s="213"/>
      <c r="O32" s="213"/>
      <c r="S32" s="213"/>
    </row>
    <row r="33" spans="3:19" ht="18.75" customHeight="1">
      <c r="C33" s="213"/>
      <c r="E33" s="213"/>
      <c r="G33" s="213"/>
      <c r="K33" s="213"/>
      <c r="M33" s="213"/>
      <c r="O33" s="213"/>
      <c r="S33" s="213"/>
    </row>
  </sheetData>
  <sheetProtection/>
  <mergeCells count="10">
    <mergeCell ref="A3:A4"/>
    <mergeCell ref="B3:C3"/>
    <mergeCell ref="F3:G3"/>
    <mergeCell ref="P3:Q3"/>
    <mergeCell ref="R3:S3"/>
    <mergeCell ref="N3:O3"/>
    <mergeCell ref="L3:M3"/>
    <mergeCell ref="H3:I3"/>
    <mergeCell ref="J3:K3"/>
    <mergeCell ref="D3:E3"/>
  </mergeCells>
  <printOptions horizontalCentered="1"/>
  <pageMargins left="0.25" right="0.15" top="0.5" bottom="0.35" header="0.511811023622047" footer="0.511811023622047"/>
  <pageSetup horizontalDpi="600" verticalDpi="600" orientation="landscape" paperSize="9" scale="105" r:id="rId1"/>
</worksheet>
</file>

<file path=xl/worksheets/sheet8.xml><?xml version="1.0" encoding="utf-8"?>
<worksheet xmlns="http://schemas.openxmlformats.org/spreadsheetml/2006/main" xmlns:r="http://schemas.openxmlformats.org/officeDocument/2006/relationships">
  <sheetPr>
    <tabColor indexed="14"/>
  </sheetPr>
  <dimension ref="A1:AK18"/>
  <sheetViews>
    <sheetView zoomScalePageLayoutView="0" workbookViewId="0" topLeftCell="A1">
      <selection activeCell="C14" sqref="C14"/>
    </sheetView>
  </sheetViews>
  <sheetFormatPr defaultColWidth="9.140625" defaultRowHeight="12.75"/>
  <cols>
    <col min="1" max="1" width="21.8515625" style="91" customWidth="1"/>
    <col min="2" max="2" width="4.28125" style="158" customWidth="1"/>
    <col min="3" max="3" width="68.57421875" style="111" customWidth="1"/>
    <col min="4" max="4" width="4.7109375" style="112" bestFit="1" customWidth="1"/>
    <col min="5" max="5" width="6.57421875" style="484" bestFit="1" customWidth="1"/>
    <col min="6" max="6" width="4.140625" style="261" bestFit="1" customWidth="1"/>
    <col min="7" max="7" width="8.421875" style="262" customWidth="1"/>
    <col min="8" max="8" width="6.00390625" style="261" bestFit="1" customWidth="1"/>
    <col min="9" max="9" width="6.57421875" style="261" bestFit="1" customWidth="1"/>
    <col min="10" max="10" width="5.00390625" style="257" customWidth="1"/>
    <col min="11" max="11" width="8.421875" style="265" customWidth="1"/>
    <col min="12" max="12" width="9.8515625" style="91" bestFit="1" customWidth="1"/>
    <col min="13" max="13" width="10.00390625" style="0" customWidth="1"/>
    <col min="14" max="14" width="20.28125" style="0" customWidth="1"/>
    <col min="15" max="15" width="6.57421875" style="0" bestFit="1" customWidth="1"/>
    <col min="16" max="16" width="8.28125" style="0" customWidth="1"/>
    <col min="17" max="17" width="4.7109375" style="0" customWidth="1"/>
    <col min="18" max="18" width="7.8515625" style="0" customWidth="1"/>
    <col min="19" max="19" width="4.8515625" style="0" customWidth="1"/>
    <col min="20" max="20" width="8.421875" style="0" customWidth="1"/>
    <col min="21" max="21" width="5.28125" style="0" customWidth="1"/>
    <col min="22" max="22" width="6.57421875" style="0" customWidth="1"/>
    <col min="23" max="23" width="4.7109375" style="0" customWidth="1"/>
    <col min="24" max="24" width="8.421875" style="0" customWidth="1"/>
    <col min="25" max="25" width="5.28125" style="0" customWidth="1"/>
    <col min="27" max="27" width="5.7109375" style="0" customWidth="1"/>
    <col min="28" max="28" width="7.140625" style="0" customWidth="1"/>
    <col min="29" max="29" width="5.8515625" style="0" customWidth="1"/>
    <col min="31" max="31" width="5.57421875" style="0" customWidth="1"/>
    <col min="32" max="32" width="8.7109375" style="0" customWidth="1"/>
    <col min="33" max="33" width="6.140625" style="0" customWidth="1"/>
    <col min="38" max="16384" width="9.140625" style="91" customWidth="1"/>
  </cols>
  <sheetData>
    <row r="1" spans="1:37" s="53" customFormat="1" ht="25.5" customHeight="1">
      <c r="A1" s="136" t="s">
        <v>478</v>
      </c>
      <c r="B1" s="158"/>
      <c r="C1" s="111"/>
      <c r="E1" s="480"/>
      <c r="F1" s="254"/>
      <c r="G1" s="255"/>
      <c r="H1" s="256"/>
      <c r="I1" s="256"/>
      <c r="J1" s="257"/>
      <c r="K1" s="265"/>
      <c r="L1" s="91"/>
      <c r="M1"/>
      <c r="N1"/>
      <c r="O1"/>
      <c r="P1"/>
      <c r="Q1"/>
      <c r="R1"/>
      <c r="S1"/>
      <c r="T1"/>
      <c r="U1"/>
      <c r="V1"/>
      <c r="W1"/>
      <c r="X1"/>
      <c r="Y1"/>
      <c r="Z1"/>
      <c r="AA1"/>
      <c r="AB1"/>
      <c r="AC1"/>
      <c r="AD1"/>
      <c r="AE1"/>
      <c r="AF1"/>
      <c r="AG1"/>
      <c r="AH1"/>
      <c r="AI1"/>
      <c r="AJ1"/>
      <c r="AK1"/>
    </row>
    <row r="2" spans="1:12" ht="16.5" customHeight="1" thickBot="1">
      <c r="A2" s="137"/>
      <c r="B2" s="159"/>
      <c r="C2" s="153"/>
      <c r="D2" s="153"/>
      <c r="E2" s="481"/>
      <c r="F2" s="258"/>
      <c r="G2" s="259"/>
      <c r="H2" s="258"/>
      <c r="I2" s="258"/>
      <c r="J2" s="258"/>
      <c r="K2" s="266" t="s">
        <v>0</v>
      </c>
      <c r="L2" s="58"/>
    </row>
    <row r="3" spans="1:37" s="58" customFormat="1" ht="33.75" customHeight="1">
      <c r="A3" s="1389" t="s">
        <v>111</v>
      </c>
      <c r="B3" s="1389" t="s">
        <v>116</v>
      </c>
      <c r="C3" s="1391"/>
      <c r="D3" s="1397" t="s">
        <v>103</v>
      </c>
      <c r="E3" s="1397"/>
      <c r="F3" s="1397" t="s">
        <v>59</v>
      </c>
      <c r="G3" s="1398"/>
      <c r="H3" s="1394" t="s">
        <v>55</v>
      </c>
      <c r="I3" s="1394" t="s">
        <v>56</v>
      </c>
      <c r="J3" s="1392" t="s">
        <v>104</v>
      </c>
      <c r="K3" s="1393"/>
      <c r="M3"/>
      <c r="N3"/>
      <c r="O3"/>
      <c r="P3"/>
      <c r="Q3"/>
      <c r="R3"/>
      <c r="S3"/>
      <c r="T3"/>
      <c r="U3"/>
      <c r="V3"/>
      <c r="W3"/>
      <c r="X3"/>
      <c r="Y3"/>
      <c r="Z3"/>
      <c r="AA3"/>
      <c r="AB3"/>
      <c r="AC3"/>
      <c r="AD3"/>
      <c r="AE3"/>
      <c r="AF3"/>
      <c r="AG3"/>
      <c r="AH3"/>
      <c r="AI3"/>
      <c r="AJ3"/>
      <c r="AK3"/>
    </row>
    <row r="4" spans="1:37" s="58" customFormat="1" ht="27.75" customHeight="1" thickBot="1">
      <c r="A4" s="1390"/>
      <c r="B4" s="1390"/>
      <c r="C4" s="1390"/>
      <c r="D4" s="455" t="s">
        <v>10</v>
      </c>
      <c r="E4" s="482" t="s">
        <v>9</v>
      </c>
      <c r="F4" s="455" t="s">
        <v>10</v>
      </c>
      <c r="G4" s="456" t="s">
        <v>9</v>
      </c>
      <c r="H4" s="1395"/>
      <c r="I4" s="1396"/>
      <c r="J4" s="457" t="s">
        <v>10</v>
      </c>
      <c r="K4" s="456" t="s">
        <v>9</v>
      </c>
      <c r="M4"/>
      <c r="N4"/>
      <c r="O4"/>
      <c r="P4"/>
      <c r="Q4"/>
      <c r="R4"/>
      <c r="S4"/>
      <c r="T4"/>
      <c r="U4"/>
      <c r="V4"/>
      <c r="W4"/>
      <c r="X4"/>
      <c r="Y4"/>
      <c r="Z4"/>
      <c r="AA4"/>
      <c r="AB4"/>
      <c r="AC4"/>
      <c r="AD4"/>
      <c r="AE4"/>
      <c r="AF4"/>
      <c r="AG4"/>
      <c r="AH4"/>
      <c r="AI4"/>
      <c r="AJ4"/>
      <c r="AK4"/>
    </row>
    <row r="5" spans="1:37" s="58" customFormat="1" ht="40.5" hidden="1">
      <c r="A5" s="687" t="s">
        <v>175</v>
      </c>
      <c r="B5" s="188">
        <v>5</v>
      </c>
      <c r="C5" s="237" t="s">
        <v>364</v>
      </c>
      <c r="D5" s="412"/>
      <c r="E5" s="357"/>
      <c r="F5" s="605"/>
      <c r="G5" s="608"/>
      <c r="H5" s="187"/>
      <c r="I5" s="187"/>
      <c r="J5" s="260">
        <f aca="true" t="shared" si="0" ref="J5:J14">D5</f>
        <v>0</v>
      </c>
      <c r="K5" s="267">
        <f>E5+G5</f>
        <v>0</v>
      </c>
      <c r="L5" s="786"/>
      <c r="M5"/>
      <c r="N5"/>
      <c r="O5"/>
      <c r="P5"/>
      <c r="Q5"/>
      <c r="R5"/>
      <c r="S5"/>
      <c r="T5"/>
      <c r="U5"/>
      <c r="V5"/>
      <c r="W5"/>
      <c r="X5"/>
      <c r="Y5"/>
      <c r="Z5"/>
      <c r="AA5"/>
      <c r="AB5"/>
      <c r="AC5"/>
      <c r="AD5"/>
      <c r="AE5"/>
      <c r="AF5"/>
      <c r="AG5"/>
      <c r="AH5"/>
      <c r="AI5"/>
      <c r="AJ5"/>
      <c r="AK5"/>
    </row>
    <row r="6" spans="1:37" s="263" customFormat="1" ht="65.25">
      <c r="A6" s="872" t="s">
        <v>175</v>
      </c>
      <c r="B6" s="1039">
        <v>1</v>
      </c>
      <c r="C6" s="1037" t="s">
        <v>485</v>
      </c>
      <c r="D6" s="1040"/>
      <c r="E6" s="1041"/>
      <c r="F6" s="1040">
        <v>3</v>
      </c>
      <c r="G6" s="1042">
        <v>48.1</v>
      </c>
      <c r="H6" s="1043"/>
      <c r="I6" s="1043"/>
      <c r="J6" s="873">
        <f t="shared" si="0"/>
        <v>0</v>
      </c>
      <c r="K6" s="874">
        <f>E6+G6</f>
        <v>48.1</v>
      </c>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row>
    <row r="7" spans="1:37" s="58" customFormat="1" ht="28.5" customHeight="1">
      <c r="A7" s="687"/>
      <c r="B7" s="1038">
        <v>2</v>
      </c>
      <c r="C7" s="1037" t="s">
        <v>486</v>
      </c>
      <c r="D7" s="1044"/>
      <c r="E7" s="1045"/>
      <c r="F7" s="1044">
        <v>6</v>
      </c>
      <c r="G7" s="1046">
        <v>111.9</v>
      </c>
      <c r="H7" s="1047"/>
      <c r="I7" s="1047"/>
      <c r="J7" s="260">
        <f t="shared" si="0"/>
        <v>0</v>
      </c>
      <c r="K7" s="267">
        <f>E7+G7</f>
        <v>111.9</v>
      </c>
      <c r="L7" s="786"/>
      <c r="N7" s="848"/>
      <c r="O7" s="213"/>
      <c r="P7"/>
      <c r="Q7"/>
      <c r="R7"/>
      <c r="S7"/>
      <c r="T7"/>
      <c r="U7"/>
      <c r="V7"/>
      <c r="W7"/>
      <c r="X7"/>
      <c r="Y7"/>
      <c r="Z7"/>
      <c r="AA7"/>
      <c r="AB7"/>
      <c r="AC7"/>
      <c r="AD7"/>
      <c r="AE7"/>
      <c r="AF7"/>
      <c r="AG7"/>
      <c r="AH7"/>
      <c r="AI7"/>
      <c r="AJ7"/>
      <c r="AK7"/>
    </row>
    <row r="8" spans="1:37" s="58" customFormat="1" ht="28.5" customHeight="1">
      <c r="A8" s="687"/>
      <c r="B8" s="1038">
        <v>3</v>
      </c>
      <c r="C8" s="1037" t="s">
        <v>491</v>
      </c>
      <c r="D8" s="1044"/>
      <c r="E8" s="1045"/>
      <c r="F8" s="1044">
        <v>6</v>
      </c>
      <c r="G8" s="1046">
        <v>125.1</v>
      </c>
      <c r="H8" s="1047"/>
      <c r="I8" s="1047"/>
      <c r="J8" s="260">
        <f t="shared" si="0"/>
        <v>0</v>
      </c>
      <c r="K8" s="267">
        <f>E8+G8</f>
        <v>125.1</v>
      </c>
      <c r="L8" s="786"/>
      <c r="N8" s="848"/>
      <c r="O8" s="213"/>
      <c r="P8"/>
      <c r="Q8"/>
      <c r="R8"/>
      <c r="S8"/>
      <c r="T8"/>
      <c r="U8"/>
      <c r="V8"/>
      <c r="W8"/>
      <c r="X8"/>
      <c r="Y8"/>
      <c r="Z8"/>
      <c r="AA8"/>
      <c r="AB8"/>
      <c r="AC8"/>
      <c r="AD8"/>
      <c r="AE8"/>
      <c r="AF8"/>
      <c r="AG8"/>
      <c r="AH8"/>
      <c r="AI8"/>
      <c r="AJ8"/>
      <c r="AK8"/>
    </row>
    <row r="9" spans="1:37" s="58" customFormat="1" ht="28.5" customHeight="1">
      <c r="A9" s="186" t="s">
        <v>492</v>
      </c>
      <c r="B9" s="1038">
        <v>4</v>
      </c>
      <c r="C9" s="1037" t="s">
        <v>493</v>
      </c>
      <c r="D9" s="1044">
        <v>4</v>
      </c>
      <c r="E9" s="1045">
        <v>35.8</v>
      </c>
      <c r="F9" s="1044">
        <v>6</v>
      </c>
      <c r="G9" s="1046">
        <v>140</v>
      </c>
      <c r="H9" s="1047"/>
      <c r="I9" s="1047"/>
      <c r="J9" s="260">
        <f t="shared" si="0"/>
        <v>4</v>
      </c>
      <c r="K9" s="267">
        <f>E9+G9</f>
        <v>175.8</v>
      </c>
      <c r="L9" s="786"/>
      <c r="N9" s="848"/>
      <c r="O9" s="213"/>
      <c r="P9"/>
      <c r="Q9"/>
      <c r="R9"/>
      <c r="S9"/>
      <c r="T9"/>
      <c r="U9"/>
      <c r="V9"/>
      <c r="W9"/>
      <c r="X9"/>
      <c r="Y9"/>
      <c r="Z9"/>
      <c r="AA9"/>
      <c r="AB9"/>
      <c r="AC9"/>
      <c r="AD9"/>
      <c r="AE9"/>
      <c r="AF9"/>
      <c r="AG9"/>
      <c r="AH9"/>
      <c r="AI9"/>
      <c r="AJ9"/>
      <c r="AK9"/>
    </row>
    <row r="10" spans="1:37" s="58" customFormat="1" ht="21.75">
      <c r="A10" s="186" t="s">
        <v>176</v>
      </c>
      <c r="B10" s="1038">
        <v>5</v>
      </c>
      <c r="C10" s="1037" t="s">
        <v>487</v>
      </c>
      <c r="D10" s="1044"/>
      <c r="E10" s="1045"/>
      <c r="F10" s="1044">
        <v>6</v>
      </c>
      <c r="G10" s="1048">
        <v>96.8</v>
      </c>
      <c r="H10" s="1047"/>
      <c r="I10" s="1049"/>
      <c r="J10" s="260">
        <f t="shared" si="0"/>
        <v>0</v>
      </c>
      <c r="K10" s="267">
        <f>E10+G10+I10</f>
        <v>96.8</v>
      </c>
      <c r="M10" s="213"/>
      <c r="N10"/>
      <c r="O10"/>
      <c r="P10"/>
      <c r="Q10"/>
      <c r="R10"/>
      <c r="S10"/>
      <c r="T10"/>
      <c r="U10"/>
      <c r="V10"/>
      <c r="W10"/>
      <c r="X10"/>
      <c r="Y10"/>
      <c r="Z10"/>
      <c r="AA10"/>
      <c r="AB10"/>
      <c r="AC10"/>
      <c r="AD10"/>
      <c r="AE10"/>
      <c r="AF10"/>
      <c r="AG10"/>
      <c r="AH10"/>
      <c r="AI10"/>
      <c r="AJ10"/>
      <c r="AK10"/>
    </row>
    <row r="11" spans="1:37" s="58" customFormat="1" ht="21.75">
      <c r="A11" s="186"/>
      <c r="B11" s="1038">
        <v>6</v>
      </c>
      <c r="C11" s="1037" t="s">
        <v>489</v>
      </c>
      <c r="D11" s="1044"/>
      <c r="E11" s="1045"/>
      <c r="F11" s="1044">
        <v>5</v>
      </c>
      <c r="G11" s="1048">
        <v>124.5</v>
      </c>
      <c r="H11" s="1047"/>
      <c r="I11" s="1049"/>
      <c r="J11" s="260">
        <f t="shared" si="0"/>
        <v>0</v>
      </c>
      <c r="K11" s="267">
        <f>E11+G11+I11</f>
        <v>124.5</v>
      </c>
      <c r="M11" s="213"/>
      <c r="N11"/>
      <c r="O11"/>
      <c r="P11"/>
      <c r="Q11"/>
      <c r="R11"/>
      <c r="S11"/>
      <c r="T11"/>
      <c r="U11"/>
      <c r="V11"/>
      <c r="W11"/>
      <c r="X11"/>
      <c r="Y11"/>
      <c r="Z11"/>
      <c r="AA11"/>
      <c r="AB11"/>
      <c r="AC11"/>
      <c r="AD11"/>
      <c r="AE11"/>
      <c r="AF11"/>
      <c r="AG11"/>
      <c r="AH11"/>
      <c r="AI11"/>
      <c r="AJ11"/>
      <c r="AK11"/>
    </row>
    <row r="12" spans="1:37" s="58" customFormat="1" ht="21.75">
      <c r="A12" s="186"/>
      <c r="B12" s="1038">
        <v>7</v>
      </c>
      <c r="C12" s="1037" t="s">
        <v>490</v>
      </c>
      <c r="D12" s="1044">
        <v>6</v>
      </c>
      <c r="E12" s="1045">
        <v>73.8</v>
      </c>
      <c r="F12" s="1044">
        <v>6</v>
      </c>
      <c r="G12" s="1048">
        <v>144.4</v>
      </c>
      <c r="H12" s="1047"/>
      <c r="I12" s="1049"/>
      <c r="J12" s="260">
        <f t="shared" si="0"/>
        <v>6</v>
      </c>
      <c r="K12" s="267">
        <f>E12+G12+I12</f>
        <v>218.2</v>
      </c>
      <c r="M12" s="213"/>
      <c r="N12"/>
      <c r="O12"/>
      <c r="P12"/>
      <c r="Q12"/>
      <c r="R12"/>
      <c r="S12"/>
      <c r="T12"/>
      <c r="U12"/>
      <c r="V12"/>
      <c r="W12"/>
      <c r="X12"/>
      <c r="Y12"/>
      <c r="Z12"/>
      <c r="AA12"/>
      <c r="AB12"/>
      <c r="AC12"/>
      <c r="AD12"/>
      <c r="AE12"/>
      <c r="AF12"/>
      <c r="AG12"/>
      <c r="AH12"/>
      <c r="AI12"/>
      <c r="AJ12"/>
      <c r="AK12"/>
    </row>
    <row r="13" spans="1:37" s="58" customFormat="1" ht="21.75">
      <c r="A13" s="186"/>
      <c r="B13" s="1038">
        <v>8</v>
      </c>
      <c r="C13" s="1037" t="s">
        <v>494</v>
      </c>
      <c r="D13" s="1044"/>
      <c r="E13" s="1045"/>
      <c r="F13" s="1044">
        <v>6</v>
      </c>
      <c r="G13" s="1048">
        <v>183.5</v>
      </c>
      <c r="H13" s="1047"/>
      <c r="I13" s="1049"/>
      <c r="J13" s="260">
        <f t="shared" si="0"/>
        <v>0</v>
      </c>
      <c r="K13" s="267">
        <f>E13+G13+I13</f>
        <v>183.5</v>
      </c>
      <c r="M13" s="213"/>
      <c r="N13"/>
      <c r="O13"/>
      <c r="P13"/>
      <c r="Q13"/>
      <c r="R13"/>
      <c r="S13"/>
      <c r="T13"/>
      <c r="U13"/>
      <c r="V13"/>
      <c r="W13"/>
      <c r="X13"/>
      <c r="Y13"/>
      <c r="Z13"/>
      <c r="AA13"/>
      <c r="AB13"/>
      <c r="AC13"/>
      <c r="AD13"/>
      <c r="AE13"/>
      <c r="AF13"/>
      <c r="AG13"/>
      <c r="AH13"/>
      <c r="AI13"/>
      <c r="AJ13"/>
      <c r="AK13"/>
    </row>
    <row r="14" spans="1:37" s="58" customFormat="1" ht="44.25" thickBot="1">
      <c r="A14" s="186"/>
      <c r="B14" s="1038">
        <v>9</v>
      </c>
      <c r="C14" s="1037" t="s">
        <v>488</v>
      </c>
      <c r="D14" s="1044"/>
      <c r="E14" s="1045"/>
      <c r="F14" s="1044">
        <v>5</v>
      </c>
      <c r="G14" s="1048">
        <v>945.9</v>
      </c>
      <c r="H14" s="1047"/>
      <c r="I14" s="1049"/>
      <c r="J14" s="260">
        <f t="shared" si="0"/>
        <v>0</v>
      </c>
      <c r="K14" s="267">
        <f>E14+G14+I14</f>
        <v>945.9</v>
      </c>
      <c r="M14" s="213"/>
      <c r="N14"/>
      <c r="O14"/>
      <c r="P14"/>
      <c r="Q14"/>
      <c r="R14"/>
      <c r="S14"/>
      <c r="T14"/>
      <c r="U14"/>
      <c r="V14"/>
      <c r="W14"/>
      <c r="X14"/>
      <c r="Y14"/>
      <c r="Z14"/>
      <c r="AA14"/>
      <c r="AB14"/>
      <c r="AC14"/>
      <c r="AD14"/>
      <c r="AE14"/>
      <c r="AF14"/>
      <c r="AG14"/>
      <c r="AH14"/>
      <c r="AI14"/>
      <c r="AJ14"/>
      <c r="AK14"/>
    </row>
    <row r="15" spans="1:11" s="690" customFormat="1" ht="21.75" thickBot="1">
      <c r="A15" s="688"/>
      <c r="B15" s="268"/>
      <c r="C15" s="689" t="s">
        <v>104</v>
      </c>
      <c r="D15" s="1050">
        <f aca="true" t="shared" si="1" ref="D15:K15">SUM(D5:D14)</f>
        <v>10</v>
      </c>
      <c r="E15" s="1051">
        <f t="shared" si="1"/>
        <v>109.6</v>
      </c>
      <c r="F15" s="1050">
        <f t="shared" si="1"/>
        <v>49</v>
      </c>
      <c r="G15" s="1051">
        <f t="shared" si="1"/>
        <v>1920.1999999999998</v>
      </c>
      <c r="H15" s="1051">
        <f t="shared" si="1"/>
        <v>0</v>
      </c>
      <c r="I15" s="1051">
        <f t="shared" si="1"/>
        <v>0</v>
      </c>
      <c r="J15" s="1050">
        <f t="shared" si="1"/>
        <v>10</v>
      </c>
      <c r="K15" s="1051">
        <f t="shared" si="1"/>
        <v>2029.8000000000002</v>
      </c>
    </row>
    <row r="16" spans="5:11" s="82" customFormat="1" ht="23.25" customHeight="1">
      <c r="E16" s="691"/>
      <c r="F16" s="690"/>
      <c r="G16" s="692"/>
      <c r="H16" s="690"/>
      <c r="I16" s="690"/>
      <c r="J16" s="690"/>
      <c r="K16" s="692"/>
    </row>
    <row r="17" spans="2:37" s="58" customFormat="1" ht="23.25" customHeight="1">
      <c r="B17" s="82"/>
      <c r="E17" s="483"/>
      <c r="F17" s="263"/>
      <c r="G17" s="264"/>
      <c r="H17" s="263"/>
      <c r="I17" s="263"/>
      <c r="J17" s="263"/>
      <c r="K17" s="264"/>
      <c r="M17"/>
      <c r="N17"/>
      <c r="O17"/>
      <c r="P17"/>
      <c r="Q17"/>
      <c r="R17"/>
      <c r="S17"/>
      <c r="T17"/>
      <c r="U17"/>
      <c r="V17"/>
      <c r="W17"/>
      <c r="X17"/>
      <c r="Y17"/>
      <c r="Z17"/>
      <c r="AA17"/>
      <c r="AB17"/>
      <c r="AC17"/>
      <c r="AD17"/>
      <c r="AE17"/>
      <c r="AF17"/>
      <c r="AG17"/>
      <c r="AH17"/>
      <c r="AI17"/>
      <c r="AJ17"/>
      <c r="AK17"/>
    </row>
    <row r="18" spans="2:37" s="58" customFormat="1" ht="23.25" customHeight="1">
      <c r="B18" s="82"/>
      <c r="E18" s="483"/>
      <c r="F18" s="263"/>
      <c r="G18" s="264"/>
      <c r="H18" s="263"/>
      <c r="I18" s="263"/>
      <c r="J18" s="263"/>
      <c r="K18" s="264"/>
      <c r="M18"/>
      <c r="N18"/>
      <c r="O18"/>
      <c r="P18"/>
      <c r="Q18"/>
      <c r="R18"/>
      <c r="S18"/>
      <c r="T18"/>
      <c r="U18"/>
      <c r="V18"/>
      <c r="W18"/>
      <c r="X18"/>
      <c r="Y18"/>
      <c r="Z18"/>
      <c r="AA18"/>
      <c r="AB18"/>
      <c r="AC18"/>
      <c r="AD18"/>
      <c r="AE18"/>
      <c r="AF18"/>
      <c r="AG18"/>
      <c r="AH18"/>
      <c r="AI18"/>
      <c r="AJ18"/>
      <c r="AK18"/>
    </row>
  </sheetData>
  <sheetProtection/>
  <mergeCells count="7">
    <mergeCell ref="A3:A4"/>
    <mergeCell ref="B3:C4"/>
    <mergeCell ref="J3:K3"/>
    <mergeCell ref="H3:H4"/>
    <mergeCell ref="I3:I4"/>
    <mergeCell ref="F3:G3"/>
    <mergeCell ref="D3:E3"/>
  </mergeCells>
  <printOptions horizontalCentered="1"/>
  <pageMargins left="0.15748031496063" right="0.15748031496063" top="0.31496062992126" bottom="0.15748031496063" header="0.31496062992126" footer="0.4724409448818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4"/>
  </sheetPr>
  <dimension ref="A1:BY476"/>
  <sheetViews>
    <sheetView zoomScalePageLayoutView="0" workbookViewId="0" topLeftCell="A1">
      <pane xSplit="1" ySplit="4" topLeftCell="T5" activePane="bottomRight" state="frozen"/>
      <selection pane="topLeft" activeCell="A1" sqref="A1"/>
      <selection pane="topRight" activeCell="B1" sqref="B1"/>
      <selection pane="bottomLeft" activeCell="A5" sqref="A5"/>
      <selection pane="bottomRight" activeCell="A70" sqref="A70:IV70"/>
    </sheetView>
  </sheetViews>
  <sheetFormatPr defaultColWidth="9.140625" defaultRowHeight="12.75"/>
  <cols>
    <col min="1" max="1" width="27.7109375" style="91" customWidth="1"/>
    <col min="2" max="2" width="4.57421875" style="91" customWidth="1"/>
    <col min="3" max="3" width="8.00390625" style="194" bestFit="1" customWidth="1"/>
    <col min="4" max="4" width="4.57421875" style="1066" customWidth="1"/>
    <col min="5" max="5" width="7.8515625" style="194" customWidth="1"/>
    <col min="6" max="6" width="4.57421875" style="1066" customWidth="1"/>
    <col min="7" max="7" width="8.00390625" style="194" bestFit="1" customWidth="1"/>
    <col min="8" max="8" width="4.00390625" style="1066" customWidth="1"/>
    <col min="9" max="9" width="8.00390625" style="194" customWidth="1"/>
    <col min="10" max="10" width="4.57421875" style="91" customWidth="1"/>
    <col min="11" max="11" width="8.00390625" style="194" bestFit="1" customWidth="1"/>
    <col min="12" max="12" width="4.421875" style="1066" customWidth="1"/>
    <col min="13" max="13" width="8.00390625" style="194" bestFit="1" customWidth="1"/>
    <col min="14" max="14" width="5.140625" style="91" bestFit="1" customWidth="1"/>
    <col min="15" max="15" width="9.00390625" style="194" bestFit="1" customWidth="1"/>
    <col min="16" max="16" width="4.00390625" style="91" customWidth="1"/>
    <col min="17" max="17" width="7.8515625" style="194" customWidth="1"/>
    <col min="18" max="18" width="5.140625" style="91" bestFit="1" customWidth="1"/>
    <col min="19" max="19" width="9.00390625" style="194" bestFit="1" customWidth="1"/>
    <col min="20" max="20" width="4.140625" style="91" bestFit="1" customWidth="1"/>
    <col min="21" max="21" width="8.00390625" style="194" bestFit="1" customWidth="1"/>
    <col min="22" max="22" width="4.140625" style="91" customWidth="1"/>
    <col min="23" max="23" width="7.7109375" style="91" customWidth="1"/>
    <col min="24" max="24" width="5.140625" style="141" bestFit="1" customWidth="1"/>
    <col min="25" max="25" width="10.28125" style="140" bestFit="1" customWidth="1"/>
    <col min="26" max="32" width="10.8515625" style="140" customWidth="1"/>
    <col min="33" max="46" width="11.421875" style="51" customWidth="1"/>
    <col min="47" max="47" width="17.421875" style="0" customWidth="1"/>
    <col min="48" max="48" width="5.00390625" style="0" customWidth="1"/>
    <col min="50" max="50" width="4.7109375" style="0" customWidth="1"/>
    <col min="51" max="51" width="7.7109375" style="0" customWidth="1"/>
    <col min="52" max="52" width="4.7109375" style="0" customWidth="1"/>
    <col min="53" max="53" width="8.140625" style="0" customWidth="1"/>
    <col min="54" max="54" width="4.7109375" style="0" customWidth="1"/>
    <col min="55" max="55" width="8.140625" style="0" customWidth="1"/>
    <col min="56" max="56" width="4.7109375" style="0" customWidth="1"/>
    <col min="57" max="57" width="7.7109375" style="0" customWidth="1"/>
    <col min="58" max="58" width="4.00390625" style="0" customWidth="1"/>
    <col min="59" max="59" width="7.28125" style="0" customWidth="1"/>
    <col min="60" max="60" width="4.7109375" style="0" customWidth="1"/>
    <col min="61" max="61" width="8.28125" style="0" customWidth="1"/>
    <col min="62" max="62" width="4.7109375" style="0" customWidth="1"/>
    <col min="63" max="63" width="8.7109375" style="0" customWidth="1"/>
    <col min="64" max="64" width="4.7109375" style="0" customWidth="1"/>
    <col min="65" max="65" width="8.28125" style="0" customWidth="1"/>
    <col min="66" max="66" width="4.7109375" style="0" customWidth="1"/>
    <col min="68" max="68" width="4.7109375" style="0" customWidth="1"/>
    <col min="78" max="16384" width="9.140625" style="91" customWidth="1"/>
  </cols>
  <sheetData>
    <row r="1" spans="1:77" s="53" customFormat="1" ht="25.5" customHeight="1" thickBot="1">
      <c r="A1" s="135" t="s">
        <v>479</v>
      </c>
      <c r="B1" s="90"/>
      <c r="C1" s="193"/>
      <c r="D1" s="90"/>
      <c r="E1" s="1068"/>
      <c r="F1" s="90"/>
      <c r="G1" s="193"/>
      <c r="H1" s="90"/>
      <c r="I1" s="193"/>
      <c r="J1" s="90"/>
      <c r="K1" s="193"/>
      <c r="L1" s="90"/>
      <c r="M1" s="193"/>
      <c r="N1" s="90"/>
      <c r="O1" s="193"/>
      <c r="P1" s="90"/>
      <c r="Q1" s="193"/>
      <c r="R1" s="90"/>
      <c r="S1" s="193"/>
      <c r="T1" s="90"/>
      <c r="U1" s="193"/>
      <c r="V1" s="66"/>
      <c r="W1" s="66"/>
      <c r="X1" s="141"/>
      <c r="Y1" s="140"/>
      <c r="Z1" s="140"/>
      <c r="AA1" s="140"/>
      <c r="AB1" s="140"/>
      <c r="AC1" s="140"/>
      <c r="AD1" s="140"/>
      <c r="AE1" s="140"/>
      <c r="AF1" s="140"/>
      <c r="AG1" s="51"/>
      <c r="AH1" s="51"/>
      <c r="AI1" s="51"/>
      <c r="AJ1" s="51"/>
      <c r="AK1" s="51"/>
      <c r="AL1" s="51"/>
      <c r="AM1" s="51"/>
      <c r="AN1" s="51"/>
      <c r="AO1" s="51"/>
      <c r="AP1" s="51"/>
      <c r="AQ1" s="51"/>
      <c r="AR1" s="51"/>
      <c r="AS1" s="51"/>
      <c r="AT1" s="51"/>
      <c r="AU1"/>
      <c r="AV1"/>
      <c r="AW1"/>
      <c r="AX1"/>
      <c r="AY1"/>
      <c r="AZ1"/>
      <c r="BA1"/>
      <c r="BB1"/>
      <c r="BC1"/>
      <c r="BD1"/>
      <c r="BE1"/>
      <c r="BF1"/>
      <c r="BG1"/>
      <c r="BH1"/>
      <c r="BI1"/>
      <c r="BJ1"/>
      <c r="BK1"/>
      <c r="BL1"/>
      <c r="BM1"/>
      <c r="BN1"/>
      <c r="BO1"/>
      <c r="BP1"/>
      <c r="BQ1"/>
      <c r="BR1"/>
      <c r="BS1"/>
      <c r="BT1"/>
      <c r="BU1"/>
      <c r="BV1"/>
      <c r="BW1"/>
      <c r="BX1"/>
      <c r="BY1"/>
    </row>
    <row r="2" spans="1:55" s="7" customFormat="1" ht="69.75" customHeight="1" thickBot="1">
      <c r="A2" s="1404" t="s">
        <v>1</v>
      </c>
      <c r="B2" s="1399" t="s">
        <v>62</v>
      </c>
      <c r="C2" s="1399"/>
      <c r="D2" s="1399" t="s">
        <v>73</v>
      </c>
      <c r="E2" s="1400"/>
      <c r="F2" s="1399" t="s">
        <v>74</v>
      </c>
      <c r="G2" s="1400"/>
      <c r="H2" s="1403" t="s">
        <v>128</v>
      </c>
      <c r="I2" s="1403"/>
      <c r="J2" s="1401" t="s">
        <v>67</v>
      </c>
      <c r="K2" s="1401"/>
      <c r="L2" s="1401" t="s">
        <v>68</v>
      </c>
      <c r="M2" s="1402"/>
      <c r="N2" s="1403" t="s">
        <v>69</v>
      </c>
      <c r="O2" s="1403"/>
      <c r="P2" s="1401" t="s">
        <v>451</v>
      </c>
      <c r="Q2" s="1401"/>
      <c r="R2" s="1403" t="s">
        <v>452</v>
      </c>
      <c r="S2" s="1403"/>
      <c r="T2" s="1407" t="s">
        <v>72</v>
      </c>
      <c r="U2" s="1407"/>
      <c r="V2" s="1401" t="s">
        <v>191</v>
      </c>
      <c r="W2" s="1401"/>
      <c r="X2" s="1406" t="s">
        <v>57</v>
      </c>
      <c r="Y2" s="1406"/>
      <c r="Z2"/>
      <c r="AA2"/>
      <c r="AB2"/>
      <c r="AC2"/>
      <c r="AD2"/>
      <c r="AE2"/>
      <c r="AF2"/>
      <c r="AG2"/>
      <c r="AH2"/>
      <c r="AI2"/>
      <c r="AJ2"/>
      <c r="AK2"/>
      <c r="AL2"/>
      <c r="AM2"/>
      <c r="AN2"/>
      <c r="AO2"/>
      <c r="AP2"/>
      <c r="AQ2"/>
      <c r="AR2"/>
      <c r="AS2"/>
      <c r="AT2"/>
      <c r="AU2"/>
      <c r="AV2"/>
      <c r="AW2"/>
      <c r="AX2"/>
      <c r="AY2"/>
      <c r="AZ2"/>
      <c r="BA2"/>
      <c r="BB2"/>
      <c r="BC2"/>
    </row>
    <row r="3" spans="1:55" s="102" customFormat="1" ht="28.5" customHeight="1" thickBot="1">
      <c r="A3" s="1405"/>
      <c r="B3" s="107" t="s">
        <v>10</v>
      </c>
      <c r="C3" s="591" t="s">
        <v>9</v>
      </c>
      <c r="D3" s="1067" t="s">
        <v>10</v>
      </c>
      <c r="E3" s="591" t="s">
        <v>9</v>
      </c>
      <c r="F3" s="1067" t="s">
        <v>10</v>
      </c>
      <c r="G3" s="591" t="s">
        <v>9</v>
      </c>
      <c r="H3" s="1067" t="s">
        <v>10</v>
      </c>
      <c r="I3" s="591" t="s">
        <v>9</v>
      </c>
      <c r="J3" s="107" t="s">
        <v>10</v>
      </c>
      <c r="K3" s="591" t="s">
        <v>9</v>
      </c>
      <c r="L3" s="1067" t="s">
        <v>10</v>
      </c>
      <c r="M3" s="591" t="s">
        <v>9</v>
      </c>
      <c r="N3" s="107" t="s">
        <v>10</v>
      </c>
      <c r="O3" s="590" t="s">
        <v>9</v>
      </c>
      <c r="P3" s="107" t="s">
        <v>10</v>
      </c>
      <c r="Q3" s="590" t="s">
        <v>9</v>
      </c>
      <c r="R3" s="107" t="s">
        <v>10</v>
      </c>
      <c r="S3" s="590" t="s">
        <v>9</v>
      </c>
      <c r="T3" s="107" t="s">
        <v>10</v>
      </c>
      <c r="U3" s="590" t="s">
        <v>9</v>
      </c>
      <c r="V3" s="107" t="s">
        <v>10</v>
      </c>
      <c r="W3" s="590" t="s">
        <v>9</v>
      </c>
      <c r="X3" s="107" t="s">
        <v>10</v>
      </c>
      <c r="Y3" s="591" t="s">
        <v>9</v>
      </c>
      <c r="Z3"/>
      <c r="AA3"/>
      <c r="AB3"/>
      <c r="AC3"/>
      <c r="AD3"/>
      <c r="AE3"/>
      <c r="AF3"/>
      <c r="AG3"/>
      <c r="AH3"/>
      <c r="AI3"/>
      <c r="AJ3"/>
      <c r="AK3"/>
      <c r="AL3"/>
      <c r="AM3"/>
      <c r="AN3"/>
      <c r="AO3"/>
      <c r="AP3"/>
      <c r="AQ3"/>
      <c r="AR3"/>
      <c r="AS3"/>
      <c r="AT3"/>
      <c r="AU3"/>
      <c r="AV3"/>
      <c r="AW3"/>
      <c r="AX3"/>
      <c r="AY3"/>
      <c r="AZ3"/>
      <c r="BA3"/>
      <c r="BB3"/>
      <c r="BC3"/>
    </row>
    <row r="4" spans="1:55" s="102" customFormat="1" ht="23.25" customHeight="1">
      <c r="A4" s="905" t="s">
        <v>126</v>
      </c>
      <c r="B4" s="937"/>
      <c r="C4" s="938"/>
      <c r="D4" s="937"/>
      <c r="E4" s="1069"/>
      <c r="F4" s="937"/>
      <c r="G4" s="938"/>
      <c r="H4" s="937"/>
      <c r="I4" s="938"/>
      <c r="J4" s="937"/>
      <c r="K4" s="938"/>
      <c r="L4" s="937"/>
      <c r="M4" s="938"/>
      <c r="N4" s="937"/>
      <c r="O4" s="938"/>
      <c r="P4" s="937"/>
      <c r="Q4" s="938"/>
      <c r="R4" s="937"/>
      <c r="S4" s="938"/>
      <c r="T4" s="937"/>
      <c r="U4" s="938"/>
      <c r="V4" s="937"/>
      <c r="W4" s="938"/>
      <c r="X4" s="939"/>
      <c r="Y4" s="940"/>
      <c r="Z4"/>
      <c r="AA4"/>
      <c r="AB4"/>
      <c r="AC4"/>
      <c r="AD4"/>
      <c r="AE4"/>
      <c r="AF4"/>
      <c r="AG4"/>
      <c r="AH4"/>
      <c r="AI4"/>
      <c r="AJ4"/>
      <c r="AK4"/>
      <c r="AL4"/>
      <c r="AM4"/>
      <c r="AN4"/>
      <c r="AO4"/>
      <c r="AP4"/>
      <c r="AQ4"/>
      <c r="AR4"/>
      <c r="AS4"/>
      <c r="AT4"/>
      <c r="AU4"/>
      <c r="AV4"/>
      <c r="AW4"/>
      <c r="AX4"/>
      <c r="AY4"/>
      <c r="AZ4"/>
      <c r="BA4"/>
      <c r="BB4"/>
      <c r="BC4"/>
    </row>
    <row r="5" spans="1:55" s="102" customFormat="1" ht="23.25" customHeight="1">
      <c r="A5" s="10" t="s">
        <v>11</v>
      </c>
      <c r="B5" s="791">
        <v>1</v>
      </c>
      <c r="C5" s="792">
        <v>112.6</v>
      </c>
      <c r="D5" s="791"/>
      <c r="E5" s="792"/>
      <c r="F5" s="791"/>
      <c r="G5" s="792"/>
      <c r="H5" s="791">
        <v>4</v>
      </c>
      <c r="I5" s="792">
        <v>552.3</v>
      </c>
      <c r="J5" s="791">
        <v>1</v>
      </c>
      <c r="K5" s="792">
        <v>110</v>
      </c>
      <c r="L5" s="791">
        <v>1</v>
      </c>
      <c r="M5" s="792">
        <v>76.4</v>
      </c>
      <c r="N5" s="791"/>
      <c r="O5" s="792"/>
      <c r="P5" s="791"/>
      <c r="Q5" s="792"/>
      <c r="R5" s="791">
        <v>12</v>
      </c>
      <c r="S5" s="792">
        <f>908.4+639.8</f>
        <v>1548.1999999999998</v>
      </c>
      <c r="T5" s="791"/>
      <c r="U5" s="792"/>
      <c r="V5" s="791"/>
      <c r="W5" s="792"/>
      <c r="X5" s="131">
        <f aca="true" t="shared" si="0" ref="X5:Y8">SUM(B5,D5,F5,L5,R5,H5,V5,J5,N5,P5,T5)</f>
        <v>19</v>
      </c>
      <c r="Y5" s="486">
        <f t="shared" si="0"/>
        <v>2399.5</v>
      </c>
      <c r="Z5"/>
      <c r="AA5"/>
      <c r="AB5"/>
      <c r="AC5"/>
      <c r="AD5"/>
      <c r="AE5"/>
      <c r="AF5"/>
      <c r="AG5"/>
      <c r="AH5"/>
      <c r="AI5"/>
      <c r="AJ5"/>
      <c r="AK5"/>
      <c r="AL5"/>
      <c r="AM5"/>
      <c r="AN5"/>
      <c r="AO5"/>
      <c r="AP5"/>
      <c r="AQ5"/>
      <c r="AR5"/>
      <c r="AS5"/>
      <c r="AT5"/>
      <c r="AU5"/>
      <c r="AV5"/>
      <c r="AW5"/>
      <c r="AX5"/>
      <c r="AY5"/>
      <c r="AZ5"/>
      <c r="BA5"/>
      <c r="BB5"/>
      <c r="BC5"/>
    </row>
    <row r="6" spans="1:55" s="102" customFormat="1" ht="23.25" customHeight="1">
      <c r="A6" s="10" t="s">
        <v>12</v>
      </c>
      <c r="B6" s="791">
        <v>2</v>
      </c>
      <c r="C6" s="792">
        <v>186.8</v>
      </c>
      <c r="D6" s="791"/>
      <c r="E6" s="792"/>
      <c r="F6" s="791">
        <v>2</v>
      </c>
      <c r="G6" s="792">
        <v>122.9</v>
      </c>
      <c r="H6" s="791">
        <v>3</v>
      </c>
      <c r="I6" s="792">
        <v>421.8</v>
      </c>
      <c r="J6" s="791"/>
      <c r="K6" s="792"/>
      <c r="L6" s="791">
        <v>2</v>
      </c>
      <c r="M6" s="792">
        <v>163.4</v>
      </c>
      <c r="N6" s="791"/>
      <c r="O6" s="792"/>
      <c r="P6" s="791">
        <v>1</v>
      </c>
      <c r="Q6" s="792">
        <v>68.5</v>
      </c>
      <c r="R6" s="791">
        <v>5</v>
      </c>
      <c r="S6" s="792">
        <f>306+312.4</f>
        <v>618.4</v>
      </c>
      <c r="T6" s="791"/>
      <c r="U6" s="792"/>
      <c r="V6" s="791"/>
      <c r="W6" s="792"/>
      <c r="X6" s="131">
        <f t="shared" si="0"/>
        <v>15</v>
      </c>
      <c r="Y6" s="486">
        <f t="shared" si="0"/>
        <v>1581.8</v>
      </c>
      <c r="Z6"/>
      <c r="AA6"/>
      <c r="AB6"/>
      <c r="AC6"/>
      <c r="AD6"/>
      <c r="AE6"/>
      <c r="AF6"/>
      <c r="AG6"/>
      <c r="AH6"/>
      <c r="AI6"/>
      <c r="AJ6"/>
      <c r="AK6"/>
      <c r="AL6"/>
      <c r="AM6"/>
      <c r="AN6"/>
      <c r="AO6"/>
      <c r="AP6"/>
      <c r="AQ6"/>
      <c r="AR6"/>
      <c r="AS6"/>
      <c r="AT6"/>
      <c r="AU6"/>
      <c r="AV6"/>
      <c r="AW6"/>
      <c r="AX6"/>
      <c r="AY6"/>
      <c r="AZ6"/>
      <c r="BA6"/>
      <c r="BB6"/>
      <c r="BC6"/>
    </row>
    <row r="7" spans="1:55" s="102" customFormat="1" ht="23.25" customHeight="1">
      <c r="A7" s="10" t="s">
        <v>13</v>
      </c>
      <c r="B7" s="791">
        <v>2</v>
      </c>
      <c r="C7" s="792">
        <v>199.9</v>
      </c>
      <c r="D7" s="791">
        <v>1</v>
      </c>
      <c r="E7" s="792">
        <v>112.8</v>
      </c>
      <c r="F7" s="791">
        <v>2</v>
      </c>
      <c r="G7" s="792">
        <v>164.2</v>
      </c>
      <c r="H7" s="791">
        <v>4</v>
      </c>
      <c r="I7" s="792">
        <v>554.9</v>
      </c>
      <c r="J7" s="791">
        <v>2</v>
      </c>
      <c r="K7" s="792">
        <v>219</v>
      </c>
      <c r="L7" s="791">
        <v>1</v>
      </c>
      <c r="M7" s="792">
        <v>87</v>
      </c>
      <c r="N7" s="1296">
        <v>2</v>
      </c>
      <c r="O7" s="1297">
        <v>244.3</v>
      </c>
      <c r="P7" s="791">
        <v>1</v>
      </c>
      <c r="Q7" s="792">
        <v>67.8</v>
      </c>
      <c r="R7" s="791">
        <v>9</v>
      </c>
      <c r="S7" s="792">
        <v>843.7</v>
      </c>
      <c r="T7" s="791">
        <v>1</v>
      </c>
      <c r="U7" s="792">
        <v>108.9</v>
      </c>
      <c r="V7" s="791">
        <v>2</v>
      </c>
      <c r="W7" s="792">
        <v>190.4</v>
      </c>
      <c r="X7" s="131">
        <f t="shared" si="0"/>
        <v>27</v>
      </c>
      <c r="Y7" s="486">
        <f t="shared" si="0"/>
        <v>2792.9000000000005</v>
      </c>
      <c r="Z7"/>
      <c r="AA7"/>
      <c r="AB7"/>
      <c r="AC7"/>
      <c r="AD7"/>
      <c r="AE7"/>
      <c r="AF7"/>
      <c r="AG7"/>
      <c r="AH7"/>
      <c r="AI7"/>
      <c r="AJ7"/>
      <c r="AK7"/>
      <c r="AL7"/>
      <c r="AM7"/>
      <c r="AN7"/>
      <c r="AO7"/>
      <c r="AP7"/>
      <c r="AQ7"/>
      <c r="AR7"/>
      <c r="AS7"/>
      <c r="AT7"/>
      <c r="AU7"/>
      <c r="AV7"/>
      <c r="AW7"/>
      <c r="AX7"/>
      <c r="AY7"/>
      <c r="AZ7"/>
      <c r="BA7"/>
      <c r="BB7"/>
      <c r="BC7"/>
    </row>
    <row r="8" spans="1:55" s="102" customFormat="1" ht="23.25" customHeight="1">
      <c r="A8" s="15" t="s">
        <v>14</v>
      </c>
      <c r="B8" s="805">
        <v>2</v>
      </c>
      <c r="C8" s="806">
        <v>199</v>
      </c>
      <c r="D8" s="805">
        <v>1</v>
      </c>
      <c r="E8" s="806">
        <v>111.7</v>
      </c>
      <c r="F8" s="805">
        <v>2</v>
      </c>
      <c r="G8" s="806">
        <v>204.4</v>
      </c>
      <c r="H8" s="805">
        <v>4</v>
      </c>
      <c r="I8" s="806">
        <v>571.4</v>
      </c>
      <c r="J8" s="805"/>
      <c r="K8" s="806"/>
      <c r="L8" s="805">
        <v>1</v>
      </c>
      <c r="M8" s="806">
        <v>76.9</v>
      </c>
      <c r="N8" s="805">
        <v>5</v>
      </c>
      <c r="O8" s="806">
        <v>459.7</v>
      </c>
      <c r="P8" s="805"/>
      <c r="Q8" s="806"/>
      <c r="R8" s="805">
        <v>11</v>
      </c>
      <c r="S8" s="806">
        <f>891.6+622.2</f>
        <v>1513.8000000000002</v>
      </c>
      <c r="T8" s="850">
        <v>1</v>
      </c>
      <c r="U8" s="805">
        <v>106.1</v>
      </c>
      <c r="V8" s="850"/>
      <c r="W8" s="850"/>
      <c r="X8" s="131">
        <f t="shared" si="0"/>
        <v>27</v>
      </c>
      <c r="Y8" s="486">
        <f t="shared" si="0"/>
        <v>3243</v>
      </c>
      <c r="Z8"/>
      <c r="AA8"/>
      <c r="AB8"/>
      <c r="AC8"/>
      <c r="AD8"/>
      <c r="AE8"/>
      <c r="AF8"/>
      <c r="AG8"/>
      <c r="AH8"/>
      <c r="AI8"/>
      <c r="AJ8"/>
      <c r="AK8"/>
      <c r="AL8"/>
      <c r="AM8"/>
      <c r="AN8"/>
      <c r="AO8"/>
      <c r="AP8"/>
      <c r="AQ8"/>
      <c r="AR8"/>
      <c r="AS8"/>
      <c r="AT8"/>
      <c r="AU8"/>
      <c r="AV8"/>
      <c r="AW8"/>
      <c r="AX8"/>
      <c r="AY8"/>
      <c r="AZ8"/>
      <c r="BA8"/>
      <c r="BB8"/>
      <c r="BC8"/>
    </row>
    <row r="9" spans="1:55" s="102" customFormat="1" ht="23.25" customHeight="1">
      <c r="A9" s="905" t="s">
        <v>15</v>
      </c>
      <c r="B9" s="941"/>
      <c r="C9" s="942"/>
      <c r="D9" s="941"/>
      <c r="E9" s="942"/>
      <c r="F9" s="941"/>
      <c r="G9" s="942"/>
      <c r="H9" s="941"/>
      <c r="I9" s="942"/>
      <c r="J9" s="941"/>
      <c r="K9" s="942"/>
      <c r="L9" s="941"/>
      <c r="M9" s="942"/>
      <c r="N9" s="941"/>
      <c r="O9" s="942"/>
      <c r="P9" s="941"/>
      <c r="Q9" s="942"/>
      <c r="R9" s="941"/>
      <c r="S9" s="942"/>
      <c r="T9" s="941"/>
      <c r="U9" s="942"/>
      <c r="V9" s="941"/>
      <c r="W9" s="942"/>
      <c r="X9" s="939"/>
      <c r="Y9" s="940"/>
      <c r="Z9"/>
      <c r="AA9"/>
      <c r="AB9"/>
      <c r="AC9"/>
      <c r="AD9"/>
      <c r="AE9"/>
      <c r="AF9"/>
      <c r="AG9"/>
      <c r="AH9"/>
      <c r="AI9"/>
      <c r="AJ9"/>
      <c r="AK9"/>
      <c r="AL9"/>
      <c r="AM9"/>
      <c r="AN9"/>
      <c r="AO9"/>
      <c r="AP9"/>
      <c r="AQ9"/>
      <c r="AR9"/>
      <c r="AS9"/>
      <c r="AT9"/>
      <c r="AU9"/>
      <c r="AV9"/>
      <c r="AW9"/>
      <c r="AX9"/>
      <c r="AY9"/>
      <c r="AZ9"/>
      <c r="BA9"/>
      <c r="BB9"/>
      <c r="BC9"/>
    </row>
    <row r="10" spans="1:55" s="102" customFormat="1" ht="19.5" customHeight="1">
      <c r="A10" s="10" t="s">
        <v>412</v>
      </c>
      <c r="B10" s="793"/>
      <c r="C10" s="794"/>
      <c r="D10" s="793"/>
      <c r="E10" s="794"/>
      <c r="F10" s="793"/>
      <c r="G10" s="794"/>
      <c r="H10" s="793"/>
      <c r="I10" s="794"/>
      <c r="J10" s="793"/>
      <c r="K10" s="794"/>
      <c r="L10" s="793"/>
      <c r="M10" s="794"/>
      <c r="N10" s="793"/>
      <c r="O10" s="794"/>
      <c r="P10" s="793"/>
      <c r="Q10" s="794"/>
      <c r="R10" s="793">
        <v>1</v>
      </c>
      <c r="S10" s="794">
        <v>302.7</v>
      </c>
      <c r="T10" s="793"/>
      <c r="U10" s="794"/>
      <c r="V10" s="793"/>
      <c r="W10" s="794"/>
      <c r="X10" s="131">
        <f aca="true" t="shared" si="1" ref="X10:Y15">SUM(B10,D10,F10,L10,R10,H10,V10,J10,N10,P10,T10)</f>
        <v>1</v>
      </c>
      <c r="Y10" s="486">
        <f t="shared" si="1"/>
        <v>302.7</v>
      </c>
      <c r="Z10"/>
      <c r="AA10"/>
      <c r="AB10"/>
      <c r="AC10"/>
      <c r="AD10"/>
      <c r="AE10"/>
      <c r="AF10"/>
      <c r="AG10"/>
      <c r="AH10"/>
      <c r="AI10"/>
      <c r="AJ10"/>
      <c r="AK10"/>
      <c r="AL10"/>
      <c r="AM10"/>
      <c r="AN10"/>
      <c r="AO10"/>
      <c r="AP10"/>
      <c r="AQ10"/>
      <c r="AR10"/>
      <c r="AS10"/>
      <c r="AT10"/>
      <c r="AU10"/>
      <c r="AV10"/>
      <c r="AW10"/>
      <c r="AX10"/>
      <c r="AY10"/>
      <c r="AZ10"/>
      <c r="BA10"/>
      <c r="BB10"/>
      <c r="BC10"/>
    </row>
    <row r="11" spans="1:55" s="102" customFormat="1" ht="19.5" customHeight="1">
      <c r="A11" s="103" t="s">
        <v>84</v>
      </c>
      <c r="B11" s="793"/>
      <c r="C11" s="794"/>
      <c r="D11" s="793">
        <v>1</v>
      </c>
      <c r="E11" s="794">
        <v>117.3</v>
      </c>
      <c r="F11" s="793">
        <v>1</v>
      </c>
      <c r="G11" s="794">
        <v>115.9</v>
      </c>
      <c r="H11" s="793"/>
      <c r="I11" s="794"/>
      <c r="J11" s="793"/>
      <c r="K11" s="794"/>
      <c r="L11" s="793"/>
      <c r="M11" s="794"/>
      <c r="N11" s="793">
        <v>1</v>
      </c>
      <c r="O11" s="794">
        <v>138.3</v>
      </c>
      <c r="P11" s="793"/>
      <c r="Q11" s="794"/>
      <c r="R11" s="793">
        <v>2</v>
      </c>
      <c r="S11" s="794">
        <v>316.6</v>
      </c>
      <c r="T11" s="793">
        <v>1</v>
      </c>
      <c r="U11" s="794">
        <v>181.2</v>
      </c>
      <c r="V11" s="793"/>
      <c r="W11" s="794"/>
      <c r="X11" s="131">
        <f t="shared" si="1"/>
        <v>6</v>
      </c>
      <c r="Y11" s="486">
        <f t="shared" si="1"/>
        <v>869.3</v>
      </c>
      <c r="Z11"/>
      <c r="AA11"/>
      <c r="AB11"/>
      <c r="AC11"/>
      <c r="AD11"/>
      <c r="AE11"/>
      <c r="AF11"/>
      <c r="AG11"/>
      <c r="AH11"/>
      <c r="AI11"/>
      <c r="AJ11"/>
      <c r="AK11"/>
      <c r="AL11"/>
      <c r="AM11"/>
      <c r="AN11"/>
      <c r="AO11"/>
      <c r="AP11"/>
      <c r="AQ11"/>
      <c r="AR11"/>
      <c r="AS11"/>
      <c r="AT11"/>
      <c r="AU11"/>
      <c r="AV11"/>
      <c r="AW11"/>
      <c r="AX11"/>
      <c r="AY11"/>
      <c r="AZ11"/>
      <c r="BA11"/>
      <c r="BB11"/>
      <c r="BC11"/>
    </row>
    <row r="12" spans="1:55" s="102" customFormat="1" ht="19.5" customHeight="1">
      <c r="A12" s="103" t="s">
        <v>105</v>
      </c>
      <c r="B12" s="793"/>
      <c r="C12" s="794"/>
      <c r="D12" s="793"/>
      <c r="E12" s="794"/>
      <c r="F12" s="793"/>
      <c r="G12" s="794"/>
      <c r="H12" s="793">
        <v>1</v>
      </c>
      <c r="I12" s="794">
        <v>105.5</v>
      </c>
      <c r="J12" s="793"/>
      <c r="K12" s="794"/>
      <c r="L12" s="793"/>
      <c r="M12" s="794"/>
      <c r="N12" s="1298">
        <v>4</v>
      </c>
      <c r="O12" s="1299">
        <v>446.8</v>
      </c>
      <c r="P12" s="793"/>
      <c r="Q12" s="794"/>
      <c r="R12" s="793">
        <v>2</v>
      </c>
      <c r="S12" s="794">
        <f>94.5+309.4</f>
        <v>403.9</v>
      </c>
      <c r="T12" s="793">
        <v>1</v>
      </c>
      <c r="U12" s="794">
        <v>102.1</v>
      </c>
      <c r="V12" s="793">
        <v>1</v>
      </c>
      <c r="W12" s="794">
        <v>88.6</v>
      </c>
      <c r="X12" s="131">
        <f t="shared" si="1"/>
        <v>9</v>
      </c>
      <c r="Y12" s="486">
        <f t="shared" si="1"/>
        <v>1146.8999999999999</v>
      </c>
      <c r="Z12"/>
      <c r="AA12"/>
      <c r="AB12"/>
      <c r="AC12"/>
      <c r="AD12"/>
      <c r="AE12"/>
      <c r="AF12"/>
      <c r="AG12"/>
      <c r="AH12"/>
      <c r="AI12"/>
      <c r="AJ12"/>
      <c r="AK12"/>
      <c r="AL12"/>
      <c r="AM12"/>
      <c r="AN12"/>
      <c r="AO12"/>
      <c r="AP12"/>
      <c r="AQ12"/>
      <c r="AR12"/>
      <c r="AS12"/>
      <c r="AT12"/>
      <c r="AU12"/>
      <c r="AV12"/>
      <c r="AW12"/>
      <c r="AX12"/>
      <c r="AY12"/>
      <c r="AZ12"/>
      <c r="BA12"/>
      <c r="BB12"/>
      <c r="BC12"/>
    </row>
    <row r="13" spans="1:55" s="102" customFormat="1" ht="19.5" customHeight="1">
      <c r="A13" s="103" t="s">
        <v>85</v>
      </c>
      <c r="B13" s="793">
        <v>1</v>
      </c>
      <c r="C13" s="794">
        <v>119.4</v>
      </c>
      <c r="D13" s="793"/>
      <c r="E13" s="794"/>
      <c r="F13" s="793"/>
      <c r="G13" s="794"/>
      <c r="H13" s="793">
        <v>1</v>
      </c>
      <c r="I13" s="794">
        <v>132.8</v>
      </c>
      <c r="J13" s="793">
        <v>1</v>
      </c>
      <c r="K13" s="794">
        <v>124.9</v>
      </c>
      <c r="L13" s="793"/>
      <c r="M13" s="794"/>
      <c r="N13" s="793">
        <v>5</v>
      </c>
      <c r="O13" s="794">
        <v>561.3</v>
      </c>
      <c r="P13" s="793"/>
      <c r="Q13" s="794"/>
      <c r="R13" s="793">
        <v>3</v>
      </c>
      <c r="S13" s="794">
        <f>136.6+641.1</f>
        <v>777.7</v>
      </c>
      <c r="T13" s="793">
        <v>1</v>
      </c>
      <c r="U13" s="794">
        <v>110.3</v>
      </c>
      <c r="V13" s="793">
        <v>1</v>
      </c>
      <c r="W13" s="794">
        <v>110.6</v>
      </c>
      <c r="X13" s="131">
        <f t="shared" si="1"/>
        <v>13</v>
      </c>
      <c r="Y13" s="486">
        <f t="shared" si="1"/>
        <v>1937</v>
      </c>
      <c r="Z13"/>
      <c r="AA13"/>
      <c r="AB13"/>
      <c r="AC13"/>
      <c r="AD13"/>
      <c r="AE13"/>
      <c r="AF13"/>
      <c r="AG13"/>
      <c r="AH13"/>
      <c r="AI13"/>
      <c r="AJ13"/>
      <c r="AK13"/>
      <c r="AL13"/>
      <c r="AM13"/>
      <c r="AN13"/>
      <c r="AO13"/>
      <c r="AP13"/>
      <c r="AQ13"/>
      <c r="AR13"/>
      <c r="AS13"/>
      <c r="AT13"/>
      <c r="AU13"/>
      <c r="AV13"/>
      <c r="AW13"/>
      <c r="AX13"/>
      <c r="AY13"/>
      <c r="AZ13"/>
      <c r="BA13"/>
      <c r="BB13"/>
      <c r="BC13"/>
    </row>
    <row r="14" spans="1:55" s="102" customFormat="1" ht="19.5" customHeight="1">
      <c r="A14" s="103" t="s">
        <v>442</v>
      </c>
      <c r="B14" s="793"/>
      <c r="C14" s="794"/>
      <c r="D14" s="793"/>
      <c r="E14" s="794"/>
      <c r="F14" s="793"/>
      <c r="G14" s="794"/>
      <c r="H14" s="793"/>
      <c r="I14" s="794"/>
      <c r="J14" s="793"/>
      <c r="K14" s="794"/>
      <c r="L14" s="793"/>
      <c r="M14" s="794"/>
      <c r="N14" s="793"/>
      <c r="O14" s="794"/>
      <c r="P14" s="793"/>
      <c r="Q14" s="794"/>
      <c r="R14" s="793">
        <v>1</v>
      </c>
      <c r="S14" s="794">
        <v>314.5</v>
      </c>
      <c r="T14" s="793"/>
      <c r="U14" s="794"/>
      <c r="V14" s="793"/>
      <c r="W14" s="794"/>
      <c r="X14" s="131">
        <f t="shared" si="1"/>
        <v>1</v>
      </c>
      <c r="Y14" s="486">
        <f t="shared" si="1"/>
        <v>314.5</v>
      </c>
      <c r="Z14"/>
      <c r="AA14"/>
      <c r="AB14"/>
      <c r="AC14"/>
      <c r="AD14"/>
      <c r="AE14"/>
      <c r="AF14"/>
      <c r="AG14"/>
      <c r="AH14"/>
      <c r="AI14"/>
      <c r="AJ14"/>
      <c r="AK14"/>
      <c r="AL14"/>
      <c r="AM14"/>
      <c r="AN14"/>
      <c r="AO14"/>
      <c r="AP14"/>
      <c r="AQ14"/>
      <c r="AR14"/>
      <c r="AS14"/>
      <c r="AT14"/>
      <c r="AU14"/>
      <c r="AV14"/>
      <c r="AW14"/>
      <c r="AX14"/>
      <c r="AY14"/>
      <c r="AZ14"/>
      <c r="BA14"/>
      <c r="BB14"/>
      <c r="BC14"/>
    </row>
    <row r="15" spans="1:55" s="102" customFormat="1" ht="19.5" customHeight="1">
      <c r="A15" s="15" t="s">
        <v>80</v>
      </c>
      <c r="B15" s="807">
        <v>1</v>
      </c>
      <c r="C15" s="808">
        <v>124.3</v>
      </c>
      <c r="D15" s="807"/>
      <c r="E15" s="808"/>
      <c r="F15" s="807"/>
      <c r="G15" s="808"/>
      <c r="H15" s="807"/>
      <c r="I15" s="808"/>
      <c r="J15" s="807">
        <v>1</v>
      </c>
      <c r="K15" s="808">
        <v>151.7</v>
      </c>
      <c r="L15" s="807"/>
      <c r="M15" s="808"/>
      <c r="N15" s="807">
        <v>5</v>
      </c>
      <c r="O15" s="808">
        <v>699.5</v>
      </c>
      <c r="P15" s="807"/>
      <c r="Q15" s="808"/>
      <c r="R15" s="807"/>
      <c r="S15" s="808"/>
      <c r="T15" s="807">
        <v>2</v>
      </c>
      <c r="U15" s="808">
        <v>372.9</v>
      </c>
      <c r="V15" s="807"/>
      <c r="W15" s="808"/>
      <c r="X15" s="131">
        <f t="shared" si="1"/>
        <v>9</v>
      </c>
      <c r="Y15" s="486">
        <f t="shared" si="1"/>
        <v>1348.4</v>
      </c>
      <c r="Z15"/>
      <c r="AA15"/>
      <c r="AB15"/>
      <c r="AC15"/>
      <c r="AD15"/>
      <c r="AE15"/>
      <c r="AF15"/>
      <c r="AG15"/>
      <c r="AH15"/>
      <c r="AI15"/>
      <c r="AJ15"/>
      <c r="AK15"/>
      <c r="AL15"/>
      <c r="AM15"/>
      <c r="AN15"/>
      <c r="AO15"/>
      <c r="AP15"/>
      <c r="AQ15"/>
      <c r="AR15"/>
      <c r="AS15"/>
      <c r="AT15"/>
      <c r="AU15"/>
      <c r="AV15"/>
      <c r="AW15"/>
      <c r="AX15"/>
      <c r="AY15"/>
      <c r="AZ15"/>
      <c r="BA15"/>
      <c r="BB15"/>
      <c r="BC15"/>
    </row>
    <row r="16" spans="1:55" s="102" customFormat="1" ht="19.5" customHeight="1">
      <c r="A16" s="905" t="s">
        <v>20</v>
      </c>
      <c r="B16" s="943"/>
      <c r="C16" s="944"/>
      <c r="D16" s="943"/>
      <c r="E16" s="944"/>
      <c r="F16" s="943"/>
      <c r="G16" s="944"/>
      <c r="H16" s="943"/>
      <c r="I16" s="944"/>
      <c r="J16" s="943"/>
      <c r="K16" s="944"/>
      <c r="L16" s="943"/>
      <c r="M16" s="944"/>
      <c r="N16" s="943"/>
      <c r="O16" s="944"/>
      <c r="P16" s="943"/>
      <c r="Q16" s="944"/>
      <c r="R16" s="943"/>
      <c r="S16" s="944"/>
      <c r="T16" s="943"/>
      <c r="U16" s="944"/>
      <c r="V16" s="943"/>
      <c r="W16" s="944"/>
      <c r="X16" s="939"/>
      <c r="Y16" s="940"/>
      <c r="Z16"/>
      <c r="AA16"/>
      <c r="AB16"/>
      <c r="AC16"/>
      <c r="AD16"/>
      <c r="AE16"/>
      <c r="AF16"/>
      <c r="AG16"/>
      <c r="AH16"/>
      <c r="AI16"/>
      <c r="AJ16"/>
      <c r="AK16"/>
      <c r="AL16"/>
      <c r="AM16"/>
      <c r="AN16"/>
      <c r="AO16"/>
      <c r="AP16"/>
      <c r="AQ16"/>
      <c r="AR16"/>
      <c r="AS16"/>
      <c r="AT16"/>
      <c r="AU16"/>
      <c r="AV16"/>
      <c r="AW16"/>
      <c r="AX16"/>
      <c r="AY16"/>
      <c r="AZ16"/>
      <c r="BA16"/>
      <c r="BB16"/>
      <c r="BC16"/>
    </row>
    <row r="17" spans="1:55" s="102" customFormat="1" ht="19.5" customHeight="1">
      <c r="A17" s="10" t="s">
        <v>21</v>
      </c>
      <c r="B17" s="793">
        <v>1</v>
      </c>
      <c r="C17" s="794">
        <v>154.7</v>
      </c>
      <c r="D17" s="793"/>
      <c r="E17" s="794"/>
      <c r="F17" s="793"/>
      <c r="G17" s="794"/>
      <c r="H17" s="793">
        <v>1</v>
      </c>
      <c r="I17" s="794">
        <v>143.1</v>
      </c>
      <c r="J17" s="793"/>
      <c r="K17" s="794"/>
      <c r="L17" s="793">
        <v>1</v>
      </c>
      <c r="M17" s="794">
        <v>125</v>
      </c>
      <c r="N17" s="793">
        <v>3</v>
      </c>
      <c r="O17" s="794">
        <v>468.8</v>
      </c>
      <c r="P17" s="793"/>
      <c r="Q17" s="794"/>
      <c r="R17" s="793"/>
      <c r="S17" s="794"/>
      <c r="T17" s="793"/>
      <c r="U17" s="794"/>
      <c r="V17" s="793"/>
      <c r="W17" s="794"/>
      <c r="X17" s="131">
        <f>SUM(B17,D17,F17,L17,R17,H17,V17,J17,N17,P17,T17)</f>
        <v>6</v>
      </c>
      <c r="Y17" s="486">
        <f>SUM(C17,E17,G17,M17,S17,I17,W17,K17,O17,Q17,U17)</f>
        <v>891.5999999999999</v>
      </c>
      <c r="Z17"/>
      <c r="AA17"/>
      <c r="AB17"/>
      <c r="AC17"/>
      <c r="AD17"/>
      <c r="AE17"/>
      <c r="AF17"/>
      <c r="AG17"/>
      <c r="AH17"/>
      <c r="AI17"/>
      <c r="AJ17"/>
      <c r="AK17"/>
      <c r="AL17"/>
      <c r="AM17"/>
      <c r="AN17"/>
      <c r="AO17"/>
      <c r="AP17"/>
      <c r="AQ17"/>
      <c r="AR17"/>
      <c r="AS17"/>
      <c r="AT17"/>
      <c r="AU17"/>
      <c r="AV17"/>
      <c r="AW17"/>
      <c r="AX17"/>
      <c r="AY17"/>
      <c r="AZ17"/>
      <c r="BA17"/>
      <c r="BB17"/>
      <c r="BC17"/>
    </row>
    <row r="18" spans="1:55" s="102" customFormat="1" ht="19.5" customHeight="1">
      <c r="A18" s="15" t="s">
        <v>22</v>
      </c>
      <c r="B18" s="807"/>
      <c r="C18" s="808"/>
      <c r="D18" s="807"/>
      <c r="E18" s="808"/>
      <c r="F18" s="807"/>
      <c r="G18" s="808"/>
      <c r="H18" s="807"/>
      <c r="I18" s="808"/>
      <c r="J18" s="807"/>
      <c r="K18" s="808"/>
      <c r="L18" s="807"/>
      <c r="M18" s="808"/>
      <c r="N18" s="1300">
        <v>1</v>
      </c>
      <c r="O18" s="1301">
        <v>167.7</v>
      </c>
      <c r="P18" s="807"/>
      <c r="Q18" s="808"/>
      <c r="R18" s="807"/>
      <c r="S18" s="808"/>
      <c r="T18" s="807"/>
      <c r="U18" s="808"/>
      <c r="V18" s="807">
        <v>2</v>
      </c>
      <c r="W18" s="808">
        <v>376.8</v>
      </c>
      <c r="X18" s="131">
        <f>SUM(B18,D18,F18,L18,R18,H18,V18,J18,N18,P18,T18)</f>
        <v>3</v>
      </c>
      <c r="Y18" s="486">
        <f>SUM(C18,E18,G18,M18,S18,I18,W18,K18,O18,Q18,U18)</f>
        <v>544.5</v>
      </c>
      <c r="Z18"/>
      <c r="AA18"/>
      <c r="AB18"/>
      <c r="AC18"/>
      <c r="AD18"/>
      <c r="AE18"/>
      <c r="AF18"/>
      <c r="AG18"/>
      <c r="AH18"/>
      <c r="AI18"/>
      <c r="AJ18"/>
      <c r="AK18"/>
      <c r="AL18"/>
      <c r="AM18"/>
      <c r="AN18"/>
      <c r="AO18"/>
      <c r="AP18"/>
      <c r="AQ18"/>
      <c r="AR18"/>
      <c r="AS18"/>
      <c r="AT18"/>
      <c r="AU18"/>
      <c r="AV18"/>
      <c r="AW18"/>
      <c r="AX18"/>
      <c r="AY18"/>
      <c r="AZ18"/>
      <c r="BA18"/>
      <c r="BB18"/>
      <c r="BC18"/>
    </row>
    <row r="19" spans="1:55" s="102" customFormat="1" ht="23.25" customHeight="1">
      <c r="A19" s="926" t="s">
        <v>23</v>
      </c>
      <c r="B19" s="941"/>
      <c r="C19" s="942"/>
      <c r="D19" s="941"/>
      <c r="E19" s="942"/>
      <c r="F19" s="941"/>
      <c r="G19" s="942"/>
      <c r="H19" s="941"/>
      <c r="I19" s="942"/>
      <c r="J19" s="941"/>
      <c r="K19" s="942"/>
      <c r="L19" s="941"/>
      <c r="M19" s="942"/>
      <c r="N19" s="941"/>
      <c r="O19" s="942"/>
      <c r="P19" s="941"/>
      <c r="Q19" s="942"/>
      <c r="R19" s="941"/>
      <c r="S19" s="942"/>
      <c r="T19" s="941"/>
      <c r="U19" s="942"/>
      <c r="V19" s="941"/>
      <c r="W19" s="942"/>
      <c r="X19" s="945"/>
      <c r="Y19" s="946"/>
      <c r="Z19"/>
      <c r="AA19"/>
      <c r="AB19"/>
      <c r="AC19"/>
      <c r="AD19"/>
      <c r="AE19"/>
      <c r="AF19"/>
      <c r="AG19"/>
      <c r="AH19"/>
      <c r="AI19"/>
      <c r="AJ19"/>
      <c r="AK19"/>
      <c r="AL19"/>
      <c r="AM19"/>
      <c r="AN19"/>
      <c r="AO19"/>
      <c r="AP19"/>
      <c r="AQ19"/>
      <c r="AR19"/>
      <c r="AS19"/>
      <c r="AT19"/>
      <c r="AU19"/>
      <c r="AV19"/>
      <c r="AW19"/>
      <c r="AX19"/>
      <c r="AY19"/>
      <c r="AZ19"/>
      <c r="BA19"/>
      <c r="BB19"/>
      <c r="BC19"/>
    </row>
    <row r="20" spans="1:55" s="102" customFormat="1" ht="20.25" customHeight="1">
      <c r="A20" s="10" t="s">
        <v>24</v>
      </c>
      <c r="B20" s="793">
        <v>3</v>
      </c>
      <c r="C20" s="794">
        <v>335</v>
      </c>
      <c r="D20" s="793">
        <v>1</v>
      </c>
      <c r="E20" s="794">
        <v>127.9</v>
      </c>
      <c r="F20" s="793">
        <v>2</v>
      </c>
      <c r="G20" s="794">
        <v>242.2</v>
      </c>
      <c r="H20" s="793">
        <v>1</v>
      </c>
      <c r="I20" s="794">
        <v>137.7</v>
      </c>
      <c r="J20" s="793"/>
      <c r="K20" s="794"/>
      <c r="L20" s="793"/>
      <c r="M20" s="794"/>
      <c r="N20" s="793">
        <v>1</v>
      </c>
      <c r="O20" s="794">
        <v>133.3</v>
      </c>
      <c r="P20" s="793">
        <v>1</v>
      </c>
      <c r="Q20" s="794">
        <v>87.5</v>
      </c>
      <c r="R20" s="793">
        <v>2</v>
      </c>
      <c r="S20" s="794">
        <f>120.9+349.4</f>
        <v>470.29999999999995</v>
      </c>
      <c r="T20" s="793"/>
      <c r="U20" s="794"/>
      <c r="V20" s="793">
        <v>1</v>
      </c>
      <c r="W20" s="794">
        <v>109.4</v>
      </c>
      <c r="X20" s="131">
        <f aca="true" t="shared" si="2" ref="X20:X31">SUM(B20,D20,F20,L20,R20,H20,V20,J20,N20,P20,T20)</f>
        <v>12</v>
      </c>
      <c r="Y20" s="486">
        <f aca="true" t="shared" si="3" ref="Y20:Y31">SUM(C20,E20,G20,M20,S20,I20,W20,K20,O20,Q20,U20)</f>
        <v>1643.3</v>
      </c>
      <c r="Z20"/>
      <c r="AA20"/>
      <c r="AB20"/>
      <c r="AC20"/>
      <c r="AD20"/>
      <c r="AE20"/>
      <c r="AF20"/>
      <c r="AG20"/>
      <c r="AH20"/>
      <c r="AI20"/>
      <c r="AJ20"/>
      <c r="AK20"/>
      <c r="AL20"/>
      <c r="AM20"/>
      <c r="AN20"/>
      <c r="AO20"/>
      <c r="AP20"/>
      <c r="AQ20"/>
      <c r="AR20"/>
      <c r="AS20"/>
      <c r="AT20"/>
      <c r="AU20"/>
      <c r="AV20"/>
      <c r="AW20"/>
      <c r="AX20"/>
      <c r="AY20"/>
      <c r="AZ20"/>
      <c r="BA20"/>
      <c r="BB20"/>
      <c r="BC20"/>
    </row>
    <row r="21" spans="1:55" s="102" customFormat="1" ht="20.25" customHeight="1">
      <c r="A21" s="10" t="s">
        <v>25</v>
      </c>
      <c r="B21" s="793">
        <v>1</v>
      </c>
      <c r="C21" s="794">
        <v>141</v>
      </c>
      <c r="D21" s="793">
        <v>1</v>
      </c>
      <c r="E21" s="794">
        <v>134.1</v>
      </c>
      <c r="F21" s="793">
        <v>2</v>
      </c>
      <c r="G21" s="794">
        <v>209</v>
      </c>
      <c r="H21" s="793"/>
      <c r="I21" s="794"/>
      <c r="J21" s="793">
        <v>1</v>
      </c>
      <c r="K21" s="794">
        <v>123.8</v>
      </c>
      <c r="L21" s="793">
        <v>1</v>
      </c>
      <c r="M21" s="794">
        <v>107.1</v>
      </c>
      <c r="N21" s="793">
        <v>3</v>
      </c>
      <c r="O21" s="794">
        <v>428.2</v>
      </c>
      <c r="P21" s="793">
        <v>6</v>
      </c>
      <c r="Q21" s="794">
        <v>623.4</v>
      </c>
      <c r="R21" s="793">
        <v>1</v>
      </c>
      <c r="S21" s="794">
        <v>190.2</v>
      </c>
      <c r="T21" s="793">
        <v>1</v>
      </c>
      <c r="U21" s="794">
        <v>195.3</v>
      </c>
      <c r="V21" s="793"/>
      <c r="W21" s="794"/>
      <c r="X21" s="131">
        <f t="shared" si="2"/>
        <v>17</v>
      </c>
      <c r="Y21" s="486">
        <f t="shared" si="3"/>
        <v>2152.1000000000004</v>
      </c>
      <c r="Z21"/>
      <c r="AA21"/>
      <c r="AB21"/>
      <c r="AC21"/>
      <c r="AD21"/>
      <c r="AE21"/>
      <c r="AF21"/>
      <c r="AG21"/>
      <c r="AH21"/>
      <c r="AI21"/>
      <c r="AJ21"/>
      <c r="AK21"/>
      <c r="AL21"/>
      <c r="AM21"/>
      <c r="AN21"/>
      <c r="AO21"/>
      <c r="AP21"/>
      <c r="AQ21"/>
      <c r="AR21"/>
      <c r="AS21"/>
      <c r="AT21"/>
      <c r="AU21"/>
      <c r="AV21"/>
      <c r="AW21"/>
      <c r="AX21"/>
      <c r="AY21"/>
      <c r="AZ21"/>
      <c r="BA21"/>
      <c r="BB21"/>
      <c r="BC21"/>
    </row>
    <row r="22" spans="1:55" s="102" customFormat="1" ht="20.25" customHeight="1">
      <c r="A22" s="10" t="s">
        <v>26</v>
      </c>
      <c r="B22" s="793"/>
      <c r="C22" s="794"/>
      <c r="D22" s="793"/>
      <c r="E22" s="794"/>
      <c r="F22" s="793"/>
      <c r="G22" s="794"/>
      <c r="H22" s="793"/>
      <c r="I22" s="794"/>
      <c r="J22" s="793"/>
      <c r="K22" s="794"/>
      <c r="L22" s="793"/>
      <c r="M22" s="794"/>
      <c r="N22" s="1298">
        <v>2</v>
      </c>
      <c r="O22" s="1299">
        <v>149.4</v>
      </c>
      <c r="P22" s="793"/>
      <c r="Q22" s="794"/>
      <c r="R22" s="793"/>
      <c r="S22" s="794"/>
      <c r="T22" s="793">
        <v>1</v>
      </c>
      <c r="U22" s="794">
        <v>113.6</v>
      </c>
      <c r="V22" s="793"/>
      <c r="W22" s="794"/>
      <c r="X22" s="131">
        <f t="shared" si="2"/>
        <v>3</v>
      </c>
      <c r="Y22" s="486">
        <f t="shared" si="3"/>
        <v>263</v>
      </c>
      <c r="Z22"/>
      <c r="AA22"/>
      <c r="AB22"/>
      <c r="AC22"/>
      <c r="AD22"/>
      <c r="AE22"/>
      <c r="AF22"/>
      <c r="AG22"/>
      <c r="AH22"/>
      <c r="AI22"/>
      <c r="AJ22"/>
      <c r="AK22"/>
      <c r="AL22"/>
      <c r="AM22"/>
      <c r="AN22"/>
      <c r="AO22"/>
      <c r="AP22"/>
      <c r="AQ22"/>
      <c r="AR22"/>
      <c r="AS22"/>
      <c r="AT22"/>
      <c r="AU22"/>
      <c r="AV22"/>
      <c r="AW22"/>
      <c r="AX22"/>
      <c r="AY22"/>
      <c r="AZ22"/>
      <c r="BA22"/>
      <c r="BB22"/>
      <c r="BC22"/>
    </row>
    <row r="23" spans="1:55" s="102" customFormat="1" ht="20.25" customHeight="1">
      <c r="A23" s="10" t="s">
        <v>321</v>
      </c>
      <c r="B23" s="793">
        <v>1</v>
      </c>
      <c r="C23" s="794">
        <v>136.8</v>
      </c>
      <c r="D23" s="793"/>
      <c r="E23" s="794"/>
      <c r="F23" s="793"/>
      <c r="G23" s="794"/>
      <c r="H23" s="793"/>
      <c r="I23" s="794"/>
      <c r="J23" s="793">
        <v>1</v>
      </c>
      <c r="K23" s="794">
        <v>157.6</v>
      </c>
      <c r="L23" s="793"/>
      <c r="M23" s="794"/>
      <c r="N23" s="1298">
        <v>6</v>
      </c>
      <c r="O23" s="1299">
        <v>935.7</v>
      </c>
      <c r="P23" s="793">
        <v>1</v>
      </c>
      <c r="Q23" s="794">
        <v>130.1</v>
      </c>
      <c r="R23" s="793"/>
      <c r="S23" s="794"/>
      <c r="T23" s="793"/>
      <c r="U23" s="794"/>
      <c r="V23" s="793"/>
      <c r="W23" s="794"/>
      <c r="X23" s="131">
        <f t="shared" si="2"/>
        <v>9</v>
      </c>
      <c r="Y23" s="486">
        <f t="shared" si="3"/>
        <v>1360.1999999999998</v>
      </c>
      <c r="Z23"/>
      <c r="AA23"/>
      <c r="AB23"/>
      <c r="AC23"/>
      <c r="AD23"/>
      <c r="AE23"/>
      <c r="AF23"/>
      <c r="AG23"/>
      <c r="AH23"/>
      <c r="AI23"/>
      <c r="AJ23"/>
      <c r="AK23"/>
      <c r="AL23"/>
      <c r="AM23"/>
      <c r="AN23"/>
      <c r="AO23"/>
      <c r="AP23"/>
      <c r="AQ23"/>
      <c r="AR23"/>
      <c r="AS23"/>
      <c r="AT23"/>
      <c r="AU23"/>
      <c r="AV23"/>
      <c r="AW23"/>
      <c r="AX23"/>
      <c r="AY23"/>
      <c r="AZ23"/>
      <c r="BA23"/>
      <c r="BB23"/>
      <c r="BC23"/>
    </row>
    <row r="24" spans="1:55" s="102" customFormat="1" ht="20.25" customHeight="1">
      <c r="A24" s="10" t="s">
        <v>322</v>
      </c>
      <c r="B24" s="793"/>
      <c r="C24" s="794"/>
      <c r="D24" s="793"/>
      <c r="E24" s="794"/>
      <c r="F24" s="793"/>
      <c r="G24" s="794"/>
      <c r="H24" s="793"/>
      <c r="I24" s="794"/>
      <c r="J24" s="793"/>
      <c r="K24" s="794"/>
      <c r="L24" s="793"/>
      <c r="M24" s="794"/>
      <c r="N24" s="1298"/>
      <c r="O24" s="1299"/>
      <c r="P24" s="793"/>
      <c r="Q24" s="794"/>
      <c r="R24" s="793">
        <v>1</v>
      </c>
      <c r="S24" s="794">
        <v>172.9</v>
      </c>
      <c r="T24" s="793"/>
      <c r="U24" s="794"/>
      <c r="V24" s="793"/>
      <c r="W24" s="794"/>
      <c r="X24" s="131">
        <f t="shared" si="2"/>
        <v>1</v>
      </c>
      <c r="Y24" s="486">
        <f t="shared" si="3"/>
        <v>172.9</v>
      </c>
      <c r="Z24"/>
      <c r="AA24"/>
      <c r="AB24"/>
      <c r="AC24"/>
      <c r="AD24"/>
      <c r="AE24"/>
      <c r="AF24"/>
      <c r="AG24"/>
      <c r="AH24"/>
      <c r="AI24"/>
      <c r="AJ24"/>
      <c r="AK24"/>
      <c r="AL24"/>
      <c r="AM24"/>
      <c r="AN24"/>
      <c r="AO24"/>
      <c r="AP24"/>
      <c r="AQ24"/>
      <c r="AR24"/>
      <c r="AS24"/>
      <c r="AT24"/>
      <c r="AU24"/>
      <c r="AV24"/>
      <c r="AW24"/>
      <c r="AX24"/>
      <c r="AY24"/>
      <c r="AZ24"/>
      <c r="BA24"/>
      <c r="BB24"/>
      <c r="BC24"/>
    </row>
    <row r="25" spans="1:55" s="102" customFormat="1" ht="20.25" customHeight="1">
      <c r="A25" s="10" t="s">
        <v>27</v>
      </c>
      <c r="B25" s="793">
        <v>2</v>
      </c>
      <c r="C25" s="794">
        <v>275.5</v>
      </c>
      <c r="D25" s="793"/>
      <c r="E25" s="794"/>
      <c r="F25" s="793">
        <v>2</v>
      </c>
      <c r="G25" s="794">
        <v>294</v>
      </c>
      <c r="H25" s="793"/>
      <c r="I25" s="794"/>
      <c r="J25" s="793">
        <v>1</v>
      </c>
      <c r="K25" s="794">
        <v>158.2</v>
      </c>
      <c r="L25" s="793"/>
      <c r="M25" s="794"/>
      <c r="N25" s="1298">
        <v>2</v>
      </c>
      <c r="O25" s="1299">
        <v>346.3</v>
      </c>
      <c r="P25" s="793"/>
      <c r="Q25" s="794"/>
      <c r="R25" s="793">
        <v>1</v>
      </c>
      <c r="S25" s="794">
        <v>157.1</v>
      </c>
      <c r="T25" s="793"/>
      <c r="U25" s="794"/>
      <c r="V25" s="793"/>
      <c r="W25" s="794"/>
      <c r="X25" s="131">
        <f t="shared" si="2"/>
        <v>8</v>
      </c>
      <c r="Y25" s="486">
        <f t="shared" si="3"/>
        <v>1231.1</v>
      </c>
      <c r="Z25"/>
      <c r="AA25"/>
      <c r="AB25"/>
      <c r="AC25"/>
      <c r="AD25"/>
      <c r="AE25"/>
      <c r="AF25"/>
      <c r="AG25"/>
      <c r="AH25"/>
      <c r="AI25"/>
      <c r="AJ25"/>
      <c r="AK25"/>
      <c r="AL25"/>
      <c r="AM25"/>
      <c r="AN25"/>
      <c r="AO25"/>
      <c r="AP25"/>
      <c r="AQ25"/>
      <c r="AR25"/>
      <c r="AS25"/>
      <c r="AT25"/>
      <c r="AU25"/>
      <c r="AV25"/>
      <c r="AW25"/>
      <c r="AX25"/>
      <c r="AY25"/>
      <c r="AZ25"/>
      <c r="BA25"/>
      <c r="BB25"/>
      <c r="BC25"/>
    </row>
    <row r="26" spans="1:55" s="102" customFormat="1" ht="20.25" customHeight="1">
      <c r="A26" s="10" t="s">
        <v>28</v>
      </c>
      <c r="B26" s="795"/>
      <c r="C26" s="792"/>
      <c r="D26" s="791">
        <v>1</v>
      </c>
      <c r="E26" s="792">
        <v>137.8</v>
      </c>
      <c r="F26" s="791">
        <v>3</v>
      </c>
      <c r="G26" s="792">
        <v>368.7</v>
      </c>
      <c r="H26" s="791">
        <v>1</v>
      </c>
      <c r="I26" s="792">
        <v>122.1</v>
      </c>
      <c r="J26" s="795">
        <v>1</v>
      </c>
      <c r="K26" s="792">
        <v>123.8</v>
      </c>
      <c r="L26" s="791">
        <v>1</v>
      </c>
      <c r="M26" s="792">
        <v>98.4</v>
      </c>
      <c r="N26" s="1302">
        <v>9</v>
      </c>
      <c r="O26" s="1297">
        <v>1133.5</v>
      </c>
      <c r="P26" s="795">
        <v>1</v>
      </c>
      <c r="Q26" s="792">
        <v>84.9</v>
      </c>
      <c r="R26" s="795"/>
      <c r="S26" s="792"/>
      <c r="T26" s="795">
        <v>1</v>
      </c>
      <c r="U26" s="792">
        <v>191.9</v>
      </c>
      <c r="V26" s="795"/>
      <c r="W26" s="792"/>
      <c r="X26" s="131">
        <f t="shared" si="2"/>
        <v>18</v>
      </c>
      <c r="Y26" s="486">
        <f t="shared" si="3"/>
        <v>2261.1</v>
      </c>
      <c r="Z26"/>
      <c r="AA26"/>
      <c r="AB26"/>
      <c r="AC26"/>
      <c r="AD26"/>
      <c r="AE26"/>
      <c r="AF26"/>
      <c r="AG26"/>
      <c r="AH26"/>
      <c r="AI26"/>
      <c r="AJ26"/>
      <c r="AK26"/>
      <c r="AL26"/>
      <c r="AM26"/>
      <c r="AN26"/>
      <c r="AO26"/>
      <c r="AP26"/>
      <c r="AQ26"/>
      <c r="AR26"/>
      <c r="AS26"/>
      <c r="AT26"/>
      <c r="AU26"/>
      <c r="AV26"/>
      <c r="AW26"/>
      <c r="AX26"/>
      <c r="AY26"/>
      <c r="AZ26"/>
      <c r="BA26"/>
      <c r="BB26"/>
      <c r="BC26"/>
    </row>
    <row r="27" spans="1:55" s="485" customFormat="1" ht="20.25" customHeight="1">
      <c r="A27" s="10" t="s">
        <v>29</v>
      </c>
      <c r="B27" s="793">
        <v>2</v>
      </c>
      <c r="C27" s="794">
        <v>218.1</v>
      </c>
      <c r="D27" s="793"/>
      <c r="E27" s="794"/>
      <c r="F27" s="793">
        <v>1</v>
      </c>
      <c r="G27" s="794">
        <v>112.4</v>
      </c>
      <c r="H27" s="793">
        <v>1</v>
      </c>
      <c r="I27" s="794">
        <v>138.2</v>
      </c>
      <c r="J27" s="793">
        <v>3</v>
      </c>
      <c r="K27" s="794">
        <v>350.5</v>
      </c>
      <c r="L27" s="793"/>
      <c r="M27" s="794"/>
      <c r="N27" s="793">
        <v>2</v>
      </c>
      <c r="O27" s="794">
        <v>150.2</v>
      </c>
      <c r="P27" s="793">
        <v>4</v>
      </c>
      <c r="Q27" s="794">
        <v>354</v>
      </c>
      <c r="R27" s="793">
        <v>1</v>
      </c>
      <c r="S27" s="794">
        <v>181</v>
      </c>
      <c r="T27" s="793"/>
      <c r="U27" s="794"/>
      <c r="V27" s="793"/>
      <c r="W27" s="794"/>
      <c r="X27" s="131">
        <f t="shared" si="2"/>
        <v>14</v>
      </c>
      <c r="Y27" s="486">
        <f t="shared" si="3"/>
        <v>1504.4</v>
      </c>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row>
    <row r="28" spans="1:55" s="485" customFormat="1" ht="20.25" customHeight="1">
      <c r="A28" s="10" t="s">
        <v>193</v>
      </c>
      <c r="B28" s="793"/>
      <c r="C28" s="794"/>
      <c r="D28" s="793"/>
      <c r="E28" s="794"/>
      <c r="F28" s="793"/>
      <c r="G28" s="794"/>
      <c r="H28" s="793"/>
      <c r="I28" s="794"/>
      <c r="J28" s="793">
        <v>1</v>
      </c>
      <c r="K28" s="794">
        <v>93.1</v>
      </c>
      <c r="L28" s="793">
        <v>1</v>
      </c>
      <c r="M28" s="794">
        <v>68.3</v>
      </c>
      <c r="N28" s="793">
        <v>1</v>
      </c>
      <c r="O28" s="794">
        <v>108.3</v>
      </c>
      <c r="P28" s="793"/>
      <c r="Q28" s="794"/>
      <c r="R28" s="793"/>
      <c r="S28" s="794"/>
      <c r="T28" s="793"/>
      <c r="U28" s="794"/>
      <c r="V28" s="793"/>
      <c r="W28" s="794"/>
      <c r="X28" s="131">
        <f t="shared" si="2"/>
        <v>3</v>
      </c>
      <c r="Y28" s="486">
        <f t="shared" si="3"/>
        <v>269.7</v>
      </c>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row>
    <row r="29" spans="1:55" s="102" customFormat="1" ht="23.25" customHeight="1">
      <c r="A29" s="10" t="s">
        <v>30</v>
      </c>
      <c r="B29" s="793">
        <v>1</v>
      </c>
      <c r="C29" s="794">
        <v>142.1</v>
      </c>
      <c r="D29" s="793"/>
      <c r="E29" s="794"/>
      <c r="F29" s="793"/>
      <c r="G29" s="794"/>
      <c r="H29" s="793"/>
      <c r="I29" s="794"/>
      <c r="J29" s="793"/>
      <c r="K29" s="794"/>
      <c r="L29" s="793"/>
      <c r="M29" s="794"/>
      <c r="N29" s="793">
        <v>1</v>
      </c>
      <c r="O29" s="794">
        <v>141.8</v>
      </c>
      <c r="P29" s="793"/>
      <c r="Q29" s="794"/>
      <c r="R29" s="793">
        <v>1</v>
      </c>
      <c r="S29" s="794">
        <v>101.7</v>
      </c>
      <c r="T29" s="793"/>
      <c r="U29" s="794"/>
      <c r="V29" s="793"/>
      <c r="W29" s="794"/>
      <c r="X29" s="131">
        <f t="shared" si="2"/>
        <v>3</v>
      </c>
      <c r="Y29" s="486">
        <f t="shared" si="3"/>
        <v>385.6</v>
      </c>
      <c r="Z29"/>
      <c r="AA29"/>
      <c r="AB29"/>
      <c r="AC29"/>
      <c r="AD29"/>
      <c r="AE29"/>
      <c r="AF29"/>
      <c r="AG29"/>
      <c r="AH29"/>
      <c r="AI29"/>
      <c r="AJ29"/>
      <c r="AK29"/>
      <c r="AL29"/>
      <c r="AM29"/>
      <c r="AN29"/>
      <c r="AO29"/>
      <c r="AP29"/>
      <c r="AQ29"/>
      <c r="AR29"/>
      <c r="AS29"/>
      <c r="AT29"/>
      <c r="AU29"/>
      <c r="AV29"/>
      <c r="AW29"/>
      <c r="AX29"/>
      <c r="AY29"/>
      <c r="AZ29"/>
      <c r="BA29"/>
      <c r="BB29"/>
      <c r="BC29"/>
    </row>
    <row r="30" spans="1:55" s="102" customFormat="1" ht="20.25" customHeight="1">
      <c r="A30" s="10" t="s">
        <v>180</v>
      </c>
      <c r="B30" s="793"/>
      <c r="C30" s="794"/>
      <c r="D30" s="793"/>
      <c r="E30" s="794"/>
      <c r="F30" s="793"/>
      <c r="G30" s="794"/>
      <c r="H30" s="793"/>
      <c r="I30" s="794"/>
      <c r="J30" s="793">
        <v>1</v>
      </c>
      <c r="K30" s="794">
        <v>149.4</v>
      </c>
      <c r="L30" s="793"/>
      <c r="M30" s="794"/>
      <c r="N30" s="793">
        <v>2</v>
      </c>
      <c r="O30" s="794">
        <v>314.5</v>
      </c>
      <c r="P30" s="793"/>
      <c r="Q30" s="794"/>
      <c r="R30" s="793"/>
      <c r="S30" s="794"/>
      <c r="T30" s="793">
        <v>1</v>
      </c>
      <c r="U30" s="794">
        <v>219.3</v>
      </c>
      <c r="V30" s="793">
        <v>1</v>
      </c>
      <c r="W30" s="794">
        <v>139.7</v>
      </c>
      <c r="X30" s="131">
        <f t="shared" si="2"/>
        <v>5</v>
      </c>
      <c r="Y30" s="486">
        <f t="shared" si="3"/>
        <v>822.9000000000001</v>
      </c>
      <c r="Z30"/>
      <c r="AA30"/>
      <c r="AB30"/>
      <c r="AC30"/>
      <c r="AD30"/>
      <c r="AE30"/>
      <c r="AF30"/>
      <c r="AG30"/>
      <c r="AH30"/>
      <c r="AI30"/>
      <c r="AJ30"/>
      <c r="AK30"/>
      <c r="AL30"/>
      <c r="AM30"/>
      <c r="AN30"/>
      <c r="AO30"/>
      <c r="AP30"/>
      <c r="AQ30"/>
      <c r="AR30"/>
      <c r="AS30"/>
      <c r="AT30"/>
      <c r="AU30"/>
      <c r="AV30"/>
      <c r="AW30"/>
      <c r="AX30"/>
      <c r="AY30"/>
      <c r="AZ30"/>
      <c r="BA30"/>
      <c r="BB30"/>
      <c r="BC30"/>
    </row>
    <row r="31" spans="1:55" s="102" customFormat="1" ht="20.25" customHeight="1">
      <c r="A31" s="10" t="s">
        <v>31</v>
      </c>
      <c r="B31" s="793">
        <v>3</v>
      </c>
      <c r="C31" s="794">
        <v>288.9</v>
      </c>
      <c r="D31" s="793">
        <v>1</v>
      </c>
      <c r="E31" s="794">
        <v>121.6</v>
      </c>
      <c r="F31" s="793">
        <v>2</v>
      </c>
      <c r="G31" s="794">
        <v>216</v>
      </c>
      <c r="H31" s="793">
        <v>2</v>
      </c>
      <c r="I31" s="794">
        <v>246.7</v>
      </c>
      <c r="J31" s="793">
        <v>2</v>
      </c>
      <c r="K31" s="794">
        <v>241.7</v>
      </c>
      <c r="L31" s="793">
        <v>1</v>
      </c>
      <c r="M31" s="794">
        <v>88</v>
      </c>
      <c r="N31" s="1298">
        <v>6</v>
      </c>
      <c r="O31" s="1299">
        <v>699.9</v>
      </c>
      <c r="P31" s="793">
        <v>6</v>
      </c>
      <c r="Q31" s="794">
        <v>646.2</v>
      </c>
      <c r="R31" s="793">
        <v>5</v>
      </c>
      <c r="S31" s="794">
        <f>105.1+1268.7</f>
        <v>1373.8</v>
      </c>
      <c r="T31" s="793">
        <v>1</v>
      </c>
      <c r="U31" s="794">
        <v>112.9</v>
      </c>
      <c r="V31" s="793">
        <v>1</v>
      </c>
      <c r="W31" s="794">
        <v>97.9</v>
      </c>
      <c r="X31" s="131">
        <f t="shared" si="2"/>
        <v>30</v>
      </c>
      <c r="Y31" s="486">
        <f t="shared" si="3"/>
        <v>4133.599999999999</v>
      </c>
      <c r="Z31"/>
      <c r="AA31"/>
      <c r="AB31"/>
      <c r="AC31"/>
      <c r="AD31"/>
      <c r="AE31"/>
      <c r="AF31"/>
      <c r="AG31"/>
      <c r="AH31"/>
      <c r="AI31"/>
      <c r="AJ31"/>
      <c r="AK31"/>
      <c r="AL31"/>
      <c r="AM31"/>
      <c r="AN31"/>
      <c r="AO31"/>
      <c r="AP31"/>
      <c r="AQ31"/>
      <c r="AR31"/>
      <c r="AS31"/>
      <c r="AT31"/>
      <c r="AU31"/>
      <c r="AV31"/>
      <c r="AW31"/>
      <c r="AX31"/>
      <c r="AY31"/>
      <c r="AZ31"/>
      <c r="BA31"/>
      <c r="BB31"/>
      <c r="BC31"/>
    </row>
    <row r="32" spans="1:55" s="102" customFormat="1" ht="20.25" customHeight="1">
      <c r="A32" s="905" t="s">
        <v>32</v>
      </c>
      <c r="B32" s="943"/>
      <c r="C32" s="944"/>
      <c r="D32" s="943"/>
      <c r="E32" s="944"/>
      <c r="F32" s="943"/>
      <c r="G32" s="944"/>
      <c r="H32" s="943"/>
      <c r="I32" s="944"/>
      <c r="J32" s="943"/>
      <c r="K32" s="944"/>
      <c r="L32" s="943"/>
      <c r="M32" s="944"/>
      <c r="N32" s="943"/>
      <c r="O32" s="944"/>
      <c r="P32" s="943"/>
      <c r="Q32" s="944"/>
      <c r="R32" s="943"/>
      <c r="S32" s="944"/>
      <c r="T32" s="943"/>
      <c r="U32" s="944"/>
      <c r="V32" s="943"/>
      <c r="W32" s="944"/>
      <c r="X32" s="939"/>
      <c r="Y32" s="940"/>
      <c r="Z32"/>
      <c r="AA32"/>
      <c r="AB32"/>
      <c r="AC32"/>
      <c r="AD32"/>
      <c r="AE32"/>
      <c r="AF32"/>
      <c r="AG32"/>
      <c r="AH32"/>
      <c r="AI32"/>
      <c r="AJ32"/>
      <c r="AK32"/>
      <c r="AL32"/>
      <c r="AM32"/>
      <c r="AN32"/>
      <c r="AO32"/>
      <c r="AP32"/>
      <c r="AQ32"/>
      <c r="AR32"/>
      <c r="AS32"/>
      <c r="AT32"/>
      <c r="AU32"/>
      <c r="AV32"/>
      <c r="AW32"/>
      <c r="AX32"/>
      <c r="AY32"/>
      <c r="AZ32"/>
      <c r="BA32"/>
      <c r="BB32"/>
      <c r="BC32"/>
    </row>
    <row r="33" spans="1:55" s="102" customFormat="1" ht="20.25" customHeight="1">
      <c r="A33" s="10" t="s">
        <v>127</v>
      </c>
      <c r="B33" s="793"/>
      <c r="C33" s="794"/>
      <c r="D33" s="793"/>
      <c r="E33" s="794"/>
      <c r="F33" s="793"/>
      <c r="G33" s="794"/>
      <c r="H33" s="793"/>
      <c r="I33" s="794"/>
      <c r="J33" s="793"/>
      <c r="K33" s="794"/>
      <c r="L33" s="793"/>
      <c r="M33" s="794"/>
      <c r="N33" s="793"/>
      <c r="O33" s="794"/>
      <c r="P33" s="793"/>
      <c r="Q33" s="794"/>
      <c r="R33" s="793">
        <v>1</v>
      </c>
      <c r="S33" s="794">
        <v>263.7</v>
      </c>
      <c r="T33" s="796">
        <v>1</v>
      </c>
      <c r="U33" s="798">
        <v>322.9</v>
      </c>
      <c r="V33" s="796"/>
      <c r="W33" s="796"/>
      <c r="X33" s="131">
        <f aca="true" t="shared" si="4" ref="X33:Y37">SUM(B33,D33,F33,L33,R33,H33,V33,J33,N33,P33,T33)</f>
        <v>2</v>
      </c>
      <c r="Y33" s="486">
        <f t="shared" si="4"/>
        <v>586.5999999999999</v>
      </c>
      <c r="Z33"/>
      <c r="AA33"/>
      <c r="AB33"/>
      <c r="AC33"/>
      <c r="AD33"/>
      <c r="AE33"/>
      <c r="AF33"/>
      <c r="AG33"/>
      <c r="AH33"/>
      <c r="AI33"/>
      <c r="AJ33"/>
      <c r="AK33"/>
      <c r="AL33"/>
      <c r="AM33"/>
      <c r="AN33"/>
      <c r="AO33"/>
      <c r="AP33"/>
      <c r="AQ33"/>
      <c r="AR33"/>
      <c r="AS33"/>
      <c r="AT33"/>
      <c r="AU33"/>
      <c r="AV33"/>
      <c r="AW33"/>
      <c r="AX33"/>
      <c r="AY33"/>
      <c r="AZ33"/>
      <c r="BA33"/>
      <c r="BB33"/>
      <c r="BC33"/>
    </row>
    <row r="34" spans="1:55" s="102" customFormat="1" ht="20.25" customHeight="1">
      <c r="A34" s="10" t="s">
        <v>287</v>
      </c>
      <c r="B34" s="793"/>
      <c r="C34" s="794"/>
      <c r="D34" s="793"/>
      <c r="E34" s="794"/>
      <c r="F34" s="793">
        <v>1</v>
      </c>
      <c r="G34" s="794">
        <v>237.3</v>
      </c>
      <c r="H34" s="793"/>
      <c r="I34" s="794"/>
      <c r="J34" s="793"/>
      <c r="K34" s="794"/>
      <c r="L34" s="793"/>
      <c r="M34" s="794"/>
      <c r="N34" s="1298">
        <v>1</v>
      </c>
      <c r="O34" s="1299">
        <v>273.4</v>
      </c>
      <c r="P34" s="793"/>
      <c r="Q34" s="794"/>
      <c r="R34" s="793">
        <v>2</v>
      </c>
      <c r="S34" s="794">
        <v>498.5</v>
      </c>
      <c r="T34" s="793"/>
      <c r="U34" s="794"/>
      <c r="V34" s="793"/>
      <c r="W34" s="794"/>
      <c r="X34" s="131">
        <f t="shared" si="4"/>
        <v>4</v>
      </c>
      <c r="Y34" s="486">
        <f t="shared" si="4"/>
        <v>1009.1999999999999</v>
      </c>
      <c r="Z34"/>
      <c r="AA34"/>
      <c r="AB34"/>
      <c r="AC34"/>
      <c r="AD34"/>
      <c r="AE34"/>
      <c r="AF34"/>
      <c r="AG34"/>
      <c r="AH34"/>
      <c r="AI34"/>
      <c r="AJ34"/>
      <c r="AK34"/>
      <c r="AL34"/>
      <c r="AM34"/>
      <c r="AN34"/>
      <c r="AO34"/>
      <c r="AP34"/>
      <c r="AQ34"/>
      <c r="AR34"/>
      <c r="AS34"/>
      <c r="AT34"/>
      <c r="AU34"/>
      <c r="AV34"/>
      <c r="AW34"/>
      <c r="AX34"/>
      <c r="AY34"/>
      <c r="AZ34"/>
      <c r="BA34"/>
      <c r="BB34"/>
      <c r="BC34"/>
    </row>
    <row r="35" spans="1:55" s="102" customFormat="1" ht="20.25" customHeight="1">
      <c r="A35" s="10" t="s">
        <v>187</v>
      </c>
      <c r="B35" s="793">
        <v>1</v>
      </c>
      <c r="C35" s="794">
        <v>246.1</v>
      </c>
      <c r="D35" s="793"/>
      <c r="E35" s="794"/>
      <c r="F35" s="793">
        <v>2</v>
      </c>
      <c r="G35" s="794">
        <v>402</v>
      </c>
      <c r="H35" s="793">
        <v>3</v>
      </c>
      <c r="I35" s="794">
        <v>628.8</v>
      </c>
      <c r="J35" s="793">
        <v>1</v>
      </c>
      <c r="K35" s="794">
        <v>213.4</v>
      </c>
      <c r="L35" s="793"/>
      <c r="M35" s="794"/>
      <c r="N35" s="1298">
        <v>5</v>
      </c>
      <c r="O35" s="1299">
        <v>1218.7</v>
      </c>
      <c r="P35" s="793"/>
      <c r="Q35" s="794"/>
      <c r="R35" s="793">
        <v>1</v>
      </c>
      <c r="S35" s="794">
        <v>238.8</v>
      </c>
      <c r="T35" s="793"/>
      <c r="U35" s="794"/>
      <c r="V35" s="793">
        <v>1</v>
      </c>
      <c r="W35" s="794">
        <v>235.9</v>
      </c>
      <c r="X35" s="131">
        <f t="shared" si="4"/>
        <v>14</v>
      </c>
      <c r="Y35" s="486">
        <f t="shared" si="4"/>
        <v>3183.7000000000003</v>
      </c>
      <c r="Z35"/>
      <c r="AA35"/>
      <c r="AB35"/>
      <c r="AC35"/>
      <c r="AD35"/>
      <c r="AE35"/>
      <c r="AF35"/>
      <c r="AG35"/>
      <c r="AH35"/>
      <c r="AI35"/>
      <c r="AJ35"/>
      <c r="AK35"/>
      <c r="AL35"/>
      <c r="AM35"/>
      <c r="AN35"/>
      <c r="AO35"/>
      <c r="AP35"/>
      <c r="AQ35"/>
      <c r="AR35"/>
      <c r="AS35"/>
      <c r="AT35"/>
      <c r="AU35"/>
      <c r="AV35"/>
      <c r="AW35"/>
      <c r="AX35"/>
      <c r="AY35"/>
      <c r="AZ35"/>
      <c r="BA35"/>
      <c r="BB35"/>
      <c r="BC35"/>
    </row>
    <row r="36" spans="1:55" s="102" customFormat="1" ht="20.25" customHeight="1">
      <c r="A36" s="10" t="s">
        <v>286</v>
      </c>
      <c r="B36" s="793">
        <v>1</v>
      </c>
      <c r="C36" s="794">
        <v>241.8</v>
      </c>
      <c r="D36" s="793"/>
      <c r="E36" s="794"/>
      <c r="F36" s="793">
        <v>1</v>
      </c>
      <c r="G36" s="794">
        <v>192.5</v>
      </c>
      <c r="H36" s="793">
        <v>1</v>
      </c>
      <c r="I36" s="794">
        <v>221.5</v>
      </c>
      <c r="J36" s="793"/>
      <c r="K36" s="794"/>
      <c r="L36" s="793"/>
      <c r="M36" s="794"/>
      <c r="N36" s="793">
        <v>3</v>
      </c>
      <c r="O36" s="794">
        <v>678.9</v>
      </c>
      <c r="P36" s="793"/>
      <c r="Q36" s="794"/>
      <c r="R36" s="793"/>
      <c r="S36" s="794"/>
      <c r="T36" s="793"/>
      <c r="U36" s="794"/>
      <c r="V36" s="793"/>
      <c r="W36" s="794"/>
      <c r="X36" s="131">
        <f t="shared" si="4"/>
        <v>6</v>
      </c>
      <c r="Y36" s="486">
        <f t="shared" si="4"/>
        <v>1334.6999999999998</v>
      </c>
      <c r="Z36"/>
      <c r="AA36"/>
      <c r="AB36"/>
      <c r="AC36"/>
      <c r="AD36"/>
      <c r="AE36"/>
      <c r="AF36"/>
      <c r="AG36"/>
      <c r="AH36"/>
      <c r="AI36"/>
      <c r="AJ36"/>
      <c r="AK36"/>
      <c r="AL36"/>
      <c r="AM36"/>
      <c r="AN36"/>
      <c r="AO36"/>
      <c r="AP36"/>
      <c r="AQ36"/>
      <c r="AR36"/>
      <c r="AS36"/>
      <c r="AT36"/>
      <c r="AU36"/>
      <c r="AV36"/>
      <c r="AW36"/>
      <c r="AX36"/>
      <c r="AY36"/>
      <c r="AZ36"/>
      <c r="BA36"/>
      <c r="BB36"/>
      <c r="BC36"/>
    </row>
    <row r="37" spans="1:55" s="102" customFormat="1" ht="21">
      <c r="A37" s="15" t="s">
        <v>219</v>
      </c>
      <c r="B37" s="807"/>
      <c r="C37" s="808"/>
      <c r="D37" s="807"/>
      <c r="E37" s="808"/>
      <c r="F37" s="807"/>
      <c r="G37" s="808"/>
      <c r="H37" s="807"/>
      <c r="I37" s="808"/>
      <c r="J37" s="807">
        <v>1</v>
      </c>
      <c r="K37" s="808">
        <v>237.9</v>
      </c>
      <c r="L37" s="807"/>
      <c r="M37" s="808"/>
      <c r="N37" s="807"/>
      <c r="O37" s="808"/>
      <c r="P37" s="807"/>
      <c r="Q37" s="808"/>
      <c r="R37" s="807">
        <v>1</v>
      </c>
      <c r="S37" s="808">
        <v>202.2</v>
      </c>
      <c r="T37" s="807"/>
      <c r="U37" s="808"/>
      <c r="V37" s="807"/>
      <c r="W37" s="808"/>
      <c r="X37" s="131">
        <f t="shared" si="4"/>
        <v>2</v>
      </c>
      <c r="Y37" s="486">
        <f t="shared" si="4"/>
        <v>440.1</v>
      </c>
      <c r="Z37"/>
      <c r="AA37"/>
      <c r="AB37"/>
      <c r="AC37"/>
      <c r="AD37"/>
      <c r="AE37"/>
      <c r="AF37"/>
      <c r="AG37"/>
      <c r="AH37"/>
      <c r="AI37"/>
      <c r="AJ37"/>
      <c r="AK37"/>
      <c r="AL37"/>
      <c r="AM37"/>
      <c r="AN37"/>
      <c r="AO37"/>
      <c r="AP37"/>
      <c r="AQ37"/>
      <c r="AR37"/>
      <c r="AS37"/>
      <c r="AT37"/>
      <c r="AU37"/>
      <c r="AV37"/>
      <c r="AW37"/>
      <c r="AX37"/>
      <c r="AY37"/>
      <c r="AZ37"/>
      <c r="BA37"/>
      <c r="BB37"/>
      <c r="BC37"/>
    </row>
    <row r="38" spans="1:55" s="102" customFormat="1" ht="20.25" customHeight="1">
      <c r="A38" s="905" t="s">
        <v>61</v>
      </c>
      <c r="B38" s="943"/>
      <c r="C38" s="944"/>
      <c r="D38" s="943"/>
      <c r="E38" s="944"/>
      <c r="F38" s="943"/>
      <c r="G38" s="944"/>
      <c r="H38" s="943"/>
      <c r="I38" s="944"/>
      <c r="J38" s="943"/>
      <c r="K38" s="944"/>
      <c r="L38" s="943"/>
      <c r="M38" s="944"/>
      <c r="N38" s="943"/>
      <c r="O38" s="944"/>
      <c r="P38" s="943"/>
      <c r="Q38" s="944"/>
      <c r="R38" s="943"/>
      <c r="S38" s="944"/>
      <c r="T38" s="943"/>
      <c r="U38" s="944"/>
      <c r="V38" s="943"/>
      <c r="W38" s="944"/>
      <c r="X38" s="939"/>
      <c r="Y38" s="940"/>
      <c r="Z38"/>
      <c r="AA38"/>
      <c r="AB38"/>
      <c r="AC38"/>
      <c r="AD38"/>
      <c r="AE38"/>
      <c r="AF38"/>
      <c r="AG38"/>
      <c r="AH38"/>
      <c r="AI38"/>
      <c r="AJ38"/>
      <c r="AK38"/>
      <c r="AL38"/>
      <c r="AM38"/>
      <c r="AN38"/>
      <c r="AO38"/>
      <c r="AP38"/>
      <c r="AQ38"/>
      <c r="AR38"/>
      <c r="AS38"/>
      <c r="AT38"/>
      <c r="AU38"/>
      <c r="AV38"/>
      <c r="AW38"/>
      <c r="AX38"/>
      <c r="AY38"/>
      <c r="AZ38"/>
      <c r="BA38"/>
      <c r="BB38"/>
      <c r="BC38"/>
    </row>
    <row r="39" spans="1:55" s="102" customFormat="1" ht="20.25" customHeight="1">
      <c r="A39" s="684" t="s">
        <v>401</v>
      </c>
      <c r="B39" s="793">
        <v>1</v>
      </c>
      <c r="C39" s="794">
        <v>164.3</v>
      </c>
      <c r="D39" s="793"/>
      <c r="E39" s="794"/>
      <c r="F39" s="793"/>
      <c r="G39" s="794"/>
      <c r="H39" s="793"/>
      <c r="I39" s="794"/>
      <c r="J39" s="793"/>
      <c r="K39" s="794"/>
      <c r="L39" s="793"/>
      <c r="M39" s="794"/>
      <c r="N39" s="793">
        <v>2</v>
      </c>
      <c r="O39" s="794">
        <v>269.6</v>
      </c>
      <c r="P39" s="793"/>
      <c r="Q39" s="794"/>
      <c r="R39" s="793"/>
      <c r="S39" s="794"/>
      <c r="T39" s="793"/>
      <c r="U39" s="794"/>
      <c r="V39" s="793"/>
      <c r="W39" s="794"/>
      <c r="X39" s="131">
        <f aca="true" t="shared" si="5" ref="X39:X77">SUM(B39,D39,F39,L39,R39,H39,V39,J39,N39,P39,T39)</f>
        <v>3</v>
      </c>
      <c r="Y39" s="486">
        <f aca="true" t="shared" si="6" ref="Y39:Y77">SUM(C39,E39,G39,M39,S39,I39,W39,K39,O39,Q39,U39)</f>
        <v>433.90000000000003</v>
      </c>
      <c r="Z39"/>
      <c r="AA39"/>
      <c r="AB39"/>
      <c r="AC39"/>
      <c r="AD39"/>
      <c r="AE39"/>
      <c r="AF39"/>
      <c r="AG39"/>
      <c r="AH39"/>
      <c r="AI39"/>
      <c r="AJ39"/>
      <c r="AK39"/>
      <c r="AL39"/>
      <c r="AM39"/>
      <c r="AN39"/>
      <c r="AO39"/>
      <c r="AP39"/>
      <c r="AQ39"/>
      <c r="AR39"/>
      <c r="AS39"/>
      <c r="AT39"/>
      <c r="AU39"/>
      <c r="AV39"/>
      <c r="AW39"/>
      <c r="AX39"/>
      <c r="AY39"/>
      <c r="AZ39"/>
      <c r="BA39"/>
      <c r="BB39"/>
      <c r="BC39"/>
    </row>
    <row r="40" spans="1:55" s="102" customFormat="1" ht="20.25" customHeight="1">
      <c r="A40" s="684" t="s">
        <v>332</v>
      </c>
      <c r="B40" s="793"/>
      <c r="C40" s="794"/>
      <c r="D40" s="793"/>
      <c r="E40" s="794"/>
      <c r="F40" s="793"/>
      <c r="G40" s="794"/>
      <c r="H40" s="793"/>
      <c r="I40" s="794"/>
      <c r="J40" s="793"/>
      <c r="K40" s="794"/>
      <c r="L40" s="793"/>
      <c r="M40" s="794"/>
      <c r="N40" s="793"/>
      <c r="O40" s="794"/>
      <c r="P40" s="793"/>
      <c r="Q40" s="794"/>
      <c r="R40" s="793">
        <v>1</v>
      </c>
      <c r="S40" s="794">
        <v>159.9</v>
      </c>
      <c r="T40" s="793"/>
      <c r="U40" s="794"/>
      <c r="V40" s="793"/>
      <c r="W40" s="794"/>
      <c r="X40" s="131">
        <f t="shared" si="5"/>
        <v>1</v>
      </c>
      <c r="Y40" s="486">
        <f t="shared" si="6"/>
        <v>159.9</v>
      </c>
      <c r="Z40"/>
      <c r="AA40"/>
      <c r="AB40"/>
      <c r="AC40"/>
      <c r="AD40"/>
      <c r="AE40"/>
      <c r="AF40"/>
      <c r="AG40"/>
      <c r="AH40"/>
      <c r="AI40"/>
      <c r="AJ40"/>
      <c r="AK40"/>
      <c r="AL40"/>
      <c r="AM40"/>
      <c r="AN40"/>
      <c r="AO40"/>
      <c r="AP40"/>
      <c r="AQ40"/>
      <c r="AR40"/>
      <c r="AS40"/>
      <c r="AT40"/>
      <c r="AU40"/>
      <c r="AV40"/>
      <c r="AW40"/>
      <c r="AX40"/>
      <c r="AY40"/>
      <c r="AZ40"/>
      <c r="BA40"/>
      <c r="BB40"/>
      <c r="BC40"/>
    </row>
    <row r="41" spans="1:55" s="102" customFormat="1" ht="20.25" customHeight="1">
      <c r="A41" s="684" t="s">
        <v>584</v>
      </c>
      <c r="B41" s="793"/>
      <c r="C41" s="794"/>
      <c r="D41" s="793"/>
      <c r="E41" s="794"/>
      <c r="F41" s="793"/>
      <c r="G41" s="794"/>
      <c r="H41" s="793"/>
      <c r="I41" s="794"/>
      <c r="J41" s="793">
        <v>1</v>
      </c>
      <c r="K41" s="794">
        <v>208.1</v>
      </c>
      <c r="L41" s="793"/>
      <c r="M41" s="794"/>
      <c r="N41" s="793"/>
      <c r="O41" s="794"/>
      <c r="P41" s="793"/>
      <c r="Q41" s="794"/>
      <c r="R41" s="793"/>
      <c r="S41" s="794"/>
      <c r="T41" s="793"/>
      <c r="U41" s="794"/>
      <c r="V41" s="793"/>
      <c r="W41" s="794"/>
      <c r="X41" s="131">
        <f t="shared" si="5"/>
        <v>1</v>
      </c>
      <c r="Y41" s="486">
        <f t="shared" si="6"/>
        <v>208.1</v>
      </c>
      <c r="Z41"/>
      <c r="AA41"/>
      <c r="AB41"/>
      <c r="AC41"/>
      <c r="AD41"/>
      <c r="AE41"/>
      <c r="AF41"/>
      <c r="AG41"/>
      <c r="AH41"/>
      <c r="AI41"/>
      <c r="AJ41"/>
      <c r="AK41"/>
      <c r="AL41"/>
      <c r="AM41"/>
      <c r="AN41"/>
      <c r="AO41"/>
      <c r="AP41"/>
      <c r="AQ41"/>
      <c r="AR41"/>
      <c r="AS41"/>
      <c r="AT41"/>
      <c r="AU41"/>
      <c r="AV41"/>
      <c r="AW41"/>
      <c r="AX41"/>
      <c r="AY41"/>
      <c r="AZ41"/>
      <c r="BA41"/>
      <c r="BB41"/>
      <c r="BC41"/>
    </row>
    <row r="42" spans="1:55" s="102" customFormat="1" ht="20.25" customHeight="1">
      <c r="A42" s="684" t="s">
        <v>334</v>
      </c>
      <c r="B42" s="793">
        <v>1</v>
      </c>
      <c r="C42" s="794">
        <v>134.4</v>
      </c>
      <c r="D42" s="793"/>
      <c r="E42" s="794"/>
      <c r="F42" s="793"/>
      <c r="G42" s="794"/>
      <c r="H42" s="793">
        <v>1</v>
      </c>
      <c r="I42" s="794">
        <v>174.3</v>
      </c>
      <c r="J42" s="793"/>
      <c r="K42" s="794"/>
      <c r="L42" s="793"/>
      <c r="M42" s="794"/>
      <c r="N42" s="1298">
        <v>5</v>
      </c>
      <c r="O42" s="1299">
        <v>897.9</v>
      </c>
      <c r="P42" s="793"/>
      <c r="Q42" s="794"/>
      <c r="R42" s="793"/>
      <c r="S42" s="794"/>
      <c r="T42" s="793"/>
      <c r="U42" s="794"/>
      <c r="V42" s="793">
        <v>1</v>
      </c>
      <c r="W42" s="794">
        <v>194.1</v>
      </c>
      <c r="X42" s="131">
        <f t="shared" si="5"/>
        <v>8</v>
      </c>
      <c r="Y42" s="486">
        <f t="shared" si="6"/>
        <v>1400.7</v>
      </c>
      <c r="Z42"/>
      <c r="AA42"/>
      <c r="AB42"/>
      <c r="AC42"/>
      <c r="AD42"/>
      <c r="AE42"/>
      <c r="AF42"/>
      <c r="AG42"/>
      <c r="AH42"/>
      <c r="AI42"/>
      <c r="AJ42"/>
      <c r="AK42"/>
      <c r="AL42"/>
      <c r="AM42"/>
      <c r="AN42"/>
      <c r="AO42"/>
      <c r="AP42"/>
      <c r="AQ42"/>
      <c r="AR42"/>
      <c r="AS42"/>
      <c r="AT42"/>
      <c r="AU42"/>
      <c r="AV42"/>
      <c r="AW42"/>
      <c r="AX42"/>
      <c r="AY42"/>
      <c r="AZ42"/>
      <c r="BA42"/>
      <c r="BB42"/>
      <c r="BC42"/>
    </row>
    <row r="43" spans="1:25" s="51" customFormat="1" ht="23.25" customHeight="1">
      <c r="A43" s="684" t="s">
        <v>298</v>
      </c>
      <c r="B43" s="796"/>
      <c r="C43" s="798"/>
      <c r="D43" s="851"/>
      <c r="E43" s="798"/>
      <c r="F43" s="851"/>
      <c r="G43" s="798"/>
      <c r="H43" s="851"/>
      <c r="I43" s="798"/>
      <c r="J43" s="796">
        <v>1</v>
      </c>
      <c r="K43" s="798">
        <v>216.9</v>
      </c>
      <c r="L43" s="851">
        <v>1</v>
      </c>
      <c r="M43" s="798">
        <v>138.6</v>
      </c>
      <c r="N43" s="1303">
        <v>1</v>
      </c>
      <c r="O43" s="1304">
        <v>177.9</v>
      </c>
      <c r="P43" s="796"/>
      <c r="Q43" s="798"/>
      <c r="R43" s="796"/>
      <c r="S43" s="798"/>
      <c r="T43" s="796"/>
      <c r="U43" s="798"/>
      <c r="V43" s="796"/>
      <c r="W43" s="797"/>
      <c r="X43" s="131">
        <f t="shared" si="5"/>
        <v>3</v>
      </c>
      <c r="Y43" s="486">
        <f t="shared" si="6"/>
        <v>533.4</v>
      </c>
    </row>
    <row r="44" spans="1:25" s="51" customFormat="1" ht="23.25" customHeight="1">
      <c r="A44" s="684" t="s">
        <v>436</v>
      </c>
      <c r="B44" s="796"/>
      <c r="C44" s="798"/>
      <c r="D44" s="851"/>
      <c r="E44" s="798"/>
      <c r="F44" s="851"/>
      <c r="G44" s="798"/>
      <c r="H44" s="851"/>
      <c r="I44" s="798"/>
      <c r="J44" s="796">
        <v>1</v>
      </c>
      <c r="K44" s="798">
        <v>215.4</v>
      </c>
      <c r="L44" s="851"/>
      <c r="M44" s="798"/>
      <c r="N44" s="1303">
        <v>1</v>
      </c>
      <c r="O44" s="1304">
        <v>233.6</v>
      </c>
      <c r="P44" s="796"/>
      <c r="Q44" s="798"/>
      <c r="R44" s="796"/>
      <c r="S44" s="798"/>
      <c r="T44" s="796">
        <v>1</v>
      </c>
      <c r="U44" s="798">
        <v>208.5</v>
      </c>
      <c r="V44" s="796"/>
      <c r="W44" s="796"/>
      <c r="X44" s="131">
        <f t="shared" si="5"/>
        <v>3</v>
      </c>
      <c r="Y44" s="486">
        <f t="shared" si="6"/>
        <v>657.5</v>
      </c>
    </row>
    <row r="45" spans="1:32" s="51" customFormat="1" ht="23.25" customHeight="1">
      <c r="A45" s="684" t="s">
        <v>335</v>
      </c>
      <c r="B45" s="796"/>
      <c r="C45" s="798"/>
      <c r="D45" s="851"/>
      <c r="E45" s="798"/>
      <c r="F45" s="851"/>
      <c r="G45" s="798"/>
      <c r="H45" s="851"/>
      <c r="I45" s="798"/>
      <c r="J45" s="796"/>
      <c r="K45" s="798"/>
      <c r="L45" s="851"/>
      <c r="M45" s="798"/>
      <c r="N45" s="1303">
        <v>1</v>
      </c>
      <c r="O45" s="1304">
        <v>173.3</v>
      </c>
      <c r="P45" s="796"/>
      <c r="Q45" s="798"/>
      <c r="R45" s="796">
        <v>1</v>
      </c>
      <c r="S45" s="798">
        <v>294.2</v>
      </c>
      <c r="T45" s="796"/>
      <c r="U45" s="798"/>
      <c r="V45" s="796"/>
      <c r="W45" s="796"/>
      <c r="X45" s="131">
        <f t="shared" si="5"/>
        <v>2</v>
      </c>
      <c r="Y45" s="486">
        <f t="shared" si="6"/>
        <v>467.5</v>
      </c>
      <c r="Z45" s="140"/>
      <c r="AA45" s="140"/>
      <c r="AB45" s="140"/>
      <c r="AC45" s="140"/>
      <c r="AD45" s="140"/>
      <c r="AE45" s="140"/>
      <c r="AF45" s="140"/>
    </row>
    <row r="46" spans="1:55" s="102" customFormat="1" ht="20.25" customHeight="1">
      <c r="A46" s="684" t="s">
        <v>35</v>
      </c>
      <c r="B46" s="793"/>
      <c r="C46" s="794"/>
      <c r="D46" s="793">
        <v>1</v>
      </c>
      <c r="E46" s="794">
        <v>161.6</v>
      </c>
      <c r="F46" s="793">
        <v>1</v>
      </c>
      <c r="G46" s="794">
        <v>145</v>
      </c>
      <c r="H46" s="793"/>
      <c r="I46" s="794"/>
      <c r="J46" s="793"/>
      <c r="K46" s="794"/>
      <c r="L46" s="793"/>
      <c r="M46" s="794"/>
      <c r="N46" s="1298">
        <v>2</v>
      </c>
      <c r="O46" s="1299">
        <v>310.4</v>
      </c>
      <c r="P46" s="793"/>
      <c r="Q46" s="794"/>
      <c r="R46" s="793"/>
      <c r="S46" s="794"/>
      <c r="T46" s="793">
        <v>2</v>
      </c>
      <c r="U46" s="794">
        <v>371.4</v>
      </c>
      <c r="V46" s="793"/>
      <c r="W46" s="794"/>
      <c r="X46" s="131">
        <f t="shared" si="5"/>
        <v>6</v>
      </c>
      <c r="Y46" s="486">
        <f t="shared" si="6"/>
        <v>988.4</v>
      </c>
      <c r="Z46"/>
      <c r="AA46"/>
      <c r="AB46"/>
      <c r="AC46"/>
      <c r="AD46"/>
      <c r="AE46"/>
      <c r="AF46"/>
      <c r="AG46"/>
      <c r="AH46"/>
      <c r="AI46"/>
      <c r="AJ46"/>
      <c r="AK46"/>
      <c r="AL46"/>
      <c r="AM46"/>
      <c r="AN46"/>
      <c r="AO46"/>
      <c r="AP46"/>
      <c r="AQ46"/>
      <c r="AR46"/>
      <c r="AS46"/>
      <c r="AT46"/>
      <c r="AU46"/>
      <c r="AV46"/>
      <c r="AW46"/>
      <c r="AX46"/>
      <c r="AY46"/>
      <c r="AZ46"/>
      <c r="BA46"/>
      <c r="BB46"/>
      <c r="BC46"/>
    </row>
    <row r="47" spans="1:32" s="51" customFormat="1" ht="23.25" customHeight="1">
      <c r="A47" s="10" t="s">
        <v>178</v>
      </c>
      <c r="B47" s="796"/>
      <c r="C47" s="798"/>
      <c r="D47" s="851"/>
      <c r="E47" s="798"/>
      <c r="F47" s="851"/>
      <c r="G47" s="798"/>
      <c r="H47" s="851"/>
      <c r="I47" s="798"/>
      <c r="J47" s="796"/>
      <c r="K47" s="798"/>
      <c r="L47" s="851"/>
      <c r="M47" s="798"/>
      <c r="N47" s="1303"/>
      <c r="O47" s="1304"/>
      <c r="P47" s="796">
        <v>1</v>
      </c>
      <c r="Q47" s="798">
        <v>175.7</v>
      </c>
      <c r="R47" s="796"/>
      <c r="S47" s="798"/>
      <c r="T47" s="796"/>
      <c r="U47" s="798"/>
      <c r="V47" s="796"/>
      <c r="W47" s="796"/>
      <c r="X47" s="131">
        <f t="shared" si="5"/>
        <v>1</v>
      </c>
      <c r="Y47" s="486">
        <f t="shared" si="6"/>
        <v>175.7</v>
      </c>
      <c r="Z47" s="140"/>
      <c r="AA47" s="140"/>
      <c r="AB47" s="140"/>
      <c r="AC47" s="140"/>
      <c r="AD47" s="140"/>
      <c r="AE47" s="140"/>
      <c r="AF47" s="140"/>
    </row>
    <row r="48" spans="1:32" s="51" customFormat="1" ht="23.25" customHeight="1">
      <c r="A48" s="10" t="s">
        <v>468</v>
      </c>
      <c r="B48" s="796">
        <v>1</v>
      </c>
      <c r="C48" s="798">
        <v>174.3</v>
      </c>
      <c r="D48" s="851"/>
      <c r="E48" s="798"/>
      <c r="F48" s="851"/>
      <c r="G48" s="798"/>
      <c r="H48" s="851"/>
      <c r="I48" s="798"/>
      <c r="J48" s="796"/>
      <c r="K48" s="798"/>
      <c r="L48" s="851"/>
      <c r="M48" s="798"/>
      <c r="N48" s="1303">
        <v>2</v>
      </c>
      <c r="O48" s="1304">
        <v>365.6</v>
      </c>
      <c r="P48" s="796"/>
      <c r="Q48" s="798"/>
      <c r="R48" s="796">
        <v>1</v>
      </c>
      <c r="S48" s="798">
        <v>155.4</v>
      </c>
      <c r="T48" s="796"/>
      <c r="U48" s="798"/>
      <c r="V48" s="796"/>
      <c r="W48" s="796"/>
      <c r="X48" s="131">
        <f t="shared" si="5"/>
        <v>4</v>
      </c>
      <c r="Y48" s="486">
        <f t="shared" si="6"/>
        <v>695.3000000000001</v>
      </c>
      <c r="Z48" s="140"/>
      <c r="AA48" s="140"/>
      <c r="AB48" s="140"/>
      <c r="AC48" s="140"/>
      <c r="AD48" s="140"/>
      <c r="AE48" s="140"/>
      <c r="AF48" s="140"/>
    </row>
    <row r="49" spans="1:32" s="51" customFormat="1" ht="23.25" customHeight="1">
      <c r="A49" s="10" t="s">
        <v>156</v>
      </c>
      <c r="B49" s="796"/>
      <c r="C49" s="798"/>
      <c r="D49" s="851">
        <v>1</v>
      </c>
      <c r="E49" s="798">
        <v>168.2</v>
      </c>
      <c r="F49" s="851"/>
      <c r="G49" s="798"/>
      <c r="H49" s="851"/>
      <c r="I49" s="798"/>
      <c r="J49" s="796">
        <v>2</v>
      </c>
      <c r="K49" s="798">
        <v>313.4</v>
      </c>
      <c r="L49" s="851"/>
      <c r="M49" s="798"/>
      <c r="N49" s="1303">
        <v>1</v>
      </c>
      <c r="O49" s="1304">
        <v>168.1</v>
      </c>
      <c r="P49" s="796"/>
      <c r="Q49" s="798"/>
      <c r="R49" s="796"/>
      <c r="S49" s="798"/>
      <c r="T49" s="796"/>
      <c r="U49" s="798"/>
      <c r="V49" s="796">
        <v>1</v>
      </c>
      <c r="W49" s="796">
        <v>145.2</v>
      </c>
      <c r="X49" s="131">
        <f t="shared" si="5"/>
        <v>5</v>
      </c>
      <c r="Y49" s="486">
        <f t="shared" si="6"/>
        <v>794.9</v>
      </c>
      <c r="Z49" s="140"/>
      <c r="AA49" s="140"/>
      <c r="AB49" s="140"/>
      <c r="AC49" s="140"/>
      <c r="AD49" s="140"/>
      <c r="AE49" s="140"/>
      <c r="AF49" s="140"/>
    </row>
    <row r="50" spans="1:32" s="51" customFormat="1" ht="23.25" customHeight="1">
      <c r="A50" s="10" t="s">
        <v>336</v>
      </c>
      <c r="B50" s="796"/>
      <c r="C50" s="798"/>
      <c r="D50" s="851">
        <v>1</v>
      </c>
      <c r="E50" s="798">
        <v>235.3</v>
      </c>
      <c r="F50" s="851"/>
      <c r="G50" s="798"/>
      <c r="H50" s="851"/>
      <c r="I50" s="798"/>
      <c r="J50" s="796"/>
      <c r="K50" s="798"/>
      <c r="L50" s="851"/>
      <c r="M50" s="798"/>
      <c r="N50" s="1303">
        <v>2</v>
      </c>
      <c r="O50" s="1304">
        <v>456.6</v>
      </c>
      <c r="P50" s="796"/>
      <c r="Q50" s="798"/>
      <c r="R50" s="796"/>
      <c r="S50" s="798"/>
      <c r="T50" s="796"/>
      <c r="U50" s="798"/>
      <c r="V50" s="796"/>
      <c r="W50" s="796"/>
      <c r="X50" s="131">
        <f t="shared" si="5"/>
        <v>3</v>
      </c>
      <c r="Y50" s="486">
        <f t="shared" si="6"/>
        <v>691.9000000000001</v>
      </c>
      <c r="Z50" s="140"/>
      <c r="AA50" s="140"/>
      <c r="AB50" s="140"/>
      <c r="AC50" s="140"/>
      <c r="AD50" s="140"/>
      <c r="AE50" s="140"/>
      <c r="AF50" s="140"/>
    </row>
    <row r="51" spans="1:32" s="51" customFormat="1" ht="23.25" customHeight="1">
      <c r="A51" s="10" t="s">
        <v>36</v>
      </c>
      <c r="B51" s="796"/>
      <c r="C51" s="798"/>
      <c r="D51" s="851"/>
      <c r="E51" s="798"/>
      <c r="F51" s="851"/>
      <c r="G51" s="798"/>
      <c r="H51" s="851"/>
      <c r="I51" s="798"/>
      <c r="J51" s="796"/>
      <c r="K51" s="798"/>
      <c r="L51" s="851"/>
      <c r="M51" s="798"/>
      <c r="N51" s="1303">
        <v>5</v>
      </c>
      <c r="O51" s="1304">
        <v>1131.2</v>
      </c>
      <c r="P51" s="796"/>
      <c r="Q51" s="798"/>
      <c r="R51" s="796">
        <v>1</v>
      </c>
      <c r="S51" s="798">
        <v>180.9</v>
      </c>
      <c r="T51" s="796"/>
      <c r="U51" s="798"/>
      <c r="V51" s="796"/>
      <c r="W51" s="796"/>
      <c r="X51" s="131">
        <f t="shared" si="5"/>
        <v>6</v>
      </c>
      <c r="Y51" s="486">
        <f t="shared" si="6"/>
        <v>1312.1000000000001</v>
      </c>
      <c r="Z51" s="140"/>
      <c r="AA51" s="140"/>
      <c r="AB51" s="140"/>
      <c r="AC51" s="140"/>
      <c r="AD51" s="140"/>
      <c r="AE51" s="140"/>
      <c r="AF51" s="140"/>
    </row>
    <row r="52" spans="1:32" s="51" customFormat="1" ht="23.25" customHeight="1">
      <c r="A52" s="10" t="s">
        <v>224</v>
      </c>
      <c r="B52" s="796"/>
      <c r="C52" s="798"/>
      <c r="D52" s="851"/>
      <c r="E52" s="798"/>
      <c r="F52" s="851"/>
      <c r="G52" s="798"/>
      <c r="H52" s="851"/>
      <c r="I52" s="798"/>
      <c r="J52" s="796"/>
      <c r="K52" s="798"/>
      <c r="L52" s="851"/>
      <c r="M52" s="798"/>
      <c r="N52" s="1303"/>
      <c r="O52" s="1304"/>
      <c r="P52" s="796"/>
      <c r="Q52" s="798"/>
      <c r="R52" s="796"/>
      <c r="S52" s="798"/>
      <c r="T52" s="796"/>
      <c r="U52" s="798"/>
      <c r="V52" s="796"/>
      <c r="W52" s="796"/>
      <c r="X52" s="131">
        <f t="shared" si="5"/>
        <v>0</v>
      </c>
      <c r="Y52" s="486">
        <f t="shared" si="6"/>
        <v>0</v>
      </c>
      <c r="Z52" s="140"/>
      <c r="AA52" s="140"/>
      <c r="AB52" s="140"/>
      <c r="AC52" s="140"/>
      <c r="AD52" s="140"/>
      <c r="AE52" s="140"/>
      <c r="AF52" s="140"/>
    </row>
    <row r="53" spans="1:32" s="51" customFormat="1" ht="23.25" customHeight="1">
      <c r="A53" s="10" t="s">
        <v>179</v>
      </c>
      <c r="B53" s="796"/>
      <c r="C53" s="798"/>
      <c r="D53" s="851"/>
      <c r="E53" s="798"/>
      <c r="F53" s="851"/>
      <c r="G53" s="798"/>
      <c r="H53" s="851"/>
      <c r="I53" s="798"/>
      <c r="J53" s="796">
        <v>1</v>
      </c>
      <c r="K53" s="798">
        <v>201.8</v>
      </c>
      <c r="L53" s="851"/>
      <c r="M53" s="798"/>
      <c r="N53" s="1303"/>
      <c r="O53" s="1304"/>
      <c r="P53" s="796"/>
      <c r="Q53" s="798"/>
      <c r="R53" s="796"/>
      <c r="S53" s="798"/>
      <c r="T53" s="796"/>
      <c r="U53" s="798"/>
      <c r="V53" s="796"/>
      <c r="W53" s="796"/>
      <c r="X53" s="131">
        <f t="shared" si="5"/>
        <v>1</v>
      </c>
      <c r="Y53" s="486">
        <f t="shared" si="6"/>
        <v>201.8</v>
      </c>
      <c r="Z53" s="140"/>
      <c r="AA53" s="140"/>
      <c r="AB53" s="140"/>
      <c r="AC53" s="140"/>
      <c r="AD53" s="140"/>
      <c r="AE53" s="140"/>
      <c r="AF53" s="140"/>
    </row>
    <row r="54" spans="1:32" s="51" customFormat="1" ht="23.25" customHeight="1">
      <c r="A54" s="10" t="s">
        <v>586</v>
      </c>
      <c r="B54" s="796"/>
      <c r="C54" s="798"/>
      <c r="D54" s="851"/>
      <c r="E54" s="798"/>
      <c r="F54" s="851"/>
      <c r="G54" s="798"/>
      <c r="H54" s="851"/>
      <c r="I54" s="798"/>
      <c r="J54" s="796"/>
      <c r="K54" s="798"/>
      <c r="L54" s="851"/>
      <c r="M54" s="798"/>
      <c r="N54" s="1303">
        <v>1</v>
      </c>
      <c r="O54" s="1304">
        <v>200</v>
      </c>
      <c r="P54" s="796"/>
      <c r="Q54" s="798"/>
      <c r="R54" s="796"/>
      <c r="S54" s="798"/>
      <c r="T54" s="796"/>
      <c r="U54" s="798"/>
      <c r="V54" s="796"/>
      <c r="W54" s="796"/>
      <c r="X54" s="131">
        <f t="shared" si="5"/>
        <v>1</v>
      </c>
      <c r="Y54" s="486">
        <f t="shared" si="6"/>
        <v>200</v>
      </c>
      <c r="Z54" s="140"/>
      <c r="AA54" s="140"/>
      <c r="AB54" s="140"/>
      <c r="AC54" s="140"/>
      <c r="AD54" s="140"/>
      <c r="AE54" s="140"/>
      <c r="AF54" s="140"/>
    </row>
    <row r="55" spans="1:32" s="51" customFormat="1" ht="23.25" customHeight="1">
      <c r="A55" s="684" t="s">
        <v>37</v>
      </c>
      <c r="B55" s="796">
        <v>1</v>
      </c>
      <c r="C55" s="798">
        <v>137.1</v>
      </c>
      <c r="D55" s="851"/>
      <c r="E55" s="798"/>
      <c r="F55" s="851"/>
      <c r="G55" s="798"/>
      <c r="H55" s="851">
        <v>1</v>
      </c>
      <c r="I55" s="798">
        <v>168.1</v>
      </c>
      <c r="J55" s="796">
        <v>1</v>
      </c>
      <c r="K55" s="798">
        <v>186</v>
      </c>
      <c r="L55" s="851">
        <v>1</v>
      </c>
      <c r="M55" s="798">
        <v>137.8</v>
      </c>
      <c r="N55" s="1303">
        <v>7</v>
      </c>
      <c r="O55" s="1304">
        <v>711</v>
      </c>
      <c r="P55" s="796">
        <v>1</v>
      </c>
      <c r="Q55" s="798">
        <v>130.7</v>
      </c>
      <c r="R55" s="796"/>
      <c r="S55" s="798"/>
      <c r="T55" s="796"/>
      <c r="U55" s="798"/>
      <c r="V55" s="796"/>
      <c r="W55" s="796"/>
      <c r="X55" s="131">
        <f t="shared" si="5"/>
        <v>12</v>
      </c>
      <c r="Y55" s="486">
        <f t="shared" si="6"/>
        <v>1470.7</v>
      </c>
      <c r="Z55" s="140"/>
      <c r="AA55" s="140"/>
      <c r="AB55" s="140"/>
      <c r="AC55" s="140"/>
      <c r="AD55" s="140"/>
      <c r="AE55" s="140"/>
      <c r="AF55" s="140"/>
    </row>
    <row r="56" spans="1:32" s="51" customFormat="1" ht="23.25" customHeight="1">
      <c r="A56" s="684" t="s">
        <v>338</v>
      </c>
      <c r="B56" s="796"/>
      <c r="C56" s="798"/>
      <c r="D56" s="851"/>
      <c r="E56" s="798"/>
      <c r="F56" s="851"/>
      <c r="G56" s="798"/>
      <c r="H56" s="851"/>
      <c r="I56" s="798"/>
      <c r="J56" s="796"/>
      <c r="K56" s="798"/>
      <c r="L56" s="851"/>
      <c r="M56" s="798"/>
      <c r="N56" s="1303"/>
      <c r="O56" s="1304"/>
      <c r="P56" s="796"/>
      <c r="Q56" s="798"/>
      <c r="R56" s="796">
        <v>1</v>
      </c>
      <c r="S56" s="798">
        <v>181.1</v>
      </c>
      <c r="T56" s="796"/>
      <c r="U56" s="798"/>
      <c r="V56" s="796"/>
      <c r="W56" s="796"/>
      <c r="X56" s="131">
        <f t="shared" si="5"/>
        <v>1</v>
      </c>
      <c r="Y56" s="486">
        <f t="shared" si="6"/>
        <v>181.1</v>
      </c>
      <c r="Z56" s="140"/>
      <c r="AA56" s="140"/>
      <c r="AB56" s="140"/>
      <c r="AC56" s="140"/>
      <c r="AD56" s="140"/>
      <c r="AE56" s="140"/>
      <c r="AF56" s="140"/>
    </row>
    <row r="57" spans="1:32" s="51" customFormat="1" ht="23.25" customHeight="1">
      <c r="A57" s="10" t="s">
        <v>38</v>
      </c>
      <c r="B57" s="796">
        <v>1</v>
      </c>
      <c r="C57" s="798">
        <v>199.1</v>
      </c>
      <c r="D57" s="851"/>
      <c r="E57" s="798"/>
      <c r="F57" s="851">
        <v>1</v>
      </c>
      <c r="G57" s="798">
        <v>177.9</v>
      </c>
      <c r="H57" s="851"/>
      <c r="I57" s="798"/>
      <c r="J57" s="796"/>
      <c r="K57" s="798"/>
      <c r="L57" s="851">
        <v>1</v>
      </c>
      <c r="M57" s="798">
        <v>141.4</v>
      </c>
      <c r="N57" s="1303">
        <v>2</v>
      </c>
      <c r="O57" s="1304">
        <v>396.2</v>
      </c>
      <c r="P57" s="796">
        <v>1</v>
      </c>
      <c r="Q57" s="798">
        <v>136.7</v>
      </c>
      <c r="R57" s="796">
        <v>1</v>
      </c>
      <c r="S57" s="798">
        <v>228.9</v>
      </c>
      <c r="T57" s="796">
        <v>1</v>
      </c>
      <c r="U57" s="798">
        <v>232.3</v>
      </c>
      <c r="V57" s="796"/>
      <c r="W57" s="796"/>
      <c r="X57" s="131">
        <f t="shared" si="5"/>
        <v>8</v>
      </c>
      <c r="Y57" s="486">
        <f t="shared" si="6"/>
        <v>1512.5</v>
      </c>
      <c r="Z57" s="140"/>
      <c r="AA57" s="140"/>
      <c r="AB57" s="140"/>
      <c r="AC57" s="140"/>
      <c r="AD57" s="140"/>
      <c r="AE57" s="140"/>
      <c r="AF57" s="140"/>
    </row>
    <row r="58" spans="1:77" s="58" customFormat="1" ht="23.25" customHeight="1">
      <c r="A58" s="10" t="s">
        <v>39</v>
      </c>
      <c r="B58" s="796">
        <v>1</v>
      </c>
      <c r="C58" s="798">
        <v>129.1</v>
      </c>
      <c r="D58" s="851"/>
      <c r="E58" s="798"/>
      <c r="F58" s="851">
        <v>1</v>
      </c>
      <c r="G58" s="798">
        <v>159</v>
      </c>
      <c r="H58" s="851">
        <v>1</v>
      </c>
      <c r="I58" s="798">
        <v>175.1</v>
      </c>
      <c r="J58" s="796"/>
      <c r="K58" s="798"/>
      <c r="L58" s="851"/>
      <c r="M58" s="798"/>
      <c r="N58" s="1303">
        <v>1</v>
      </c>
      <c r="O58" s="1304">
        <v>181.6</v>
      </c>
      <c r="P58" s="796">
        <v>1</v>
      </c>
      <c r="Q58" s="798">
        <v>126</v>
      </c>
      <c r="R58" s="796"/>
      <c r="S58" s="798"/>
      <c r="T58" s="796">
        <v>2</v>
      </c>
      <c r="U58" s="798">
        <v>432.2</v>
      </c>
      <c r="V58" s="796"/>
      <c r="W58" s="796"/>
      <c r="X58" s="131">
        <f t="shared" si="5"/>
        <v>7</v>
      </c>
      <c r="Y58" s="486">
        <f t="shared" si="6"/>
        <v>1203</v>
      </c>
      <c r="Z58" s="140"/>
      <c r="AA58" s="140"/>
      <c r="AB58" s="140"/>
      <c r="AC58" s="140"/>
      <c r="AD58" s="140"/>
      <c r="AE58" s="140"/>
      <c r="AF58" s="140"/>
      <c r="AG58" s="51"/>
      <c r="AH58" s="51"/>
      <c r="AI58" s="51"/>
      <c r="AJ58" s="51"/>
      <c r="AK58" s="51"/>
      <c r="AL58" s="51"/>
      <c r="AM58" s="51"/>
      <c r="AN58" s="51"/>
      <c r="AO58" s="51"/>
      <c r="AP58" s="51"/>
      <c r="AQ58" s="51"/>
      <c r="AR58" s="51"/>
      <c r="AS58" s="51"/>
      <c r="AT58" s="51"/>
      <c r="AU58"/>
      <c r="AV58"/>
      <c r="AW58"/>
      <c r="AX58"/>
      <c r="AY58"/>
      <c r="AZ58"/>
      <c r="BA58"/>
      <c r="BB58"/>
      <c r="BC58"/>
      <c r="BD58"/>
      <c r="BE58"/>
      <c r="BF58"/>
      <c r="BG58"/>
      <c r="BH58"/>
      <c r="BI58"/>
      <c r="BJ58"/>
      <c r="BK58"/>
      <c r="BL58"/>
      <c r="BM58"/>
      <c r="BN58"/>
      <c r="BO58"/>
      <c r="BP58"/>
      <c r="BQ58"/>
      <c r="BR58"/>
      <c r="BS58"/>
      <c r="BT58"/>
      <c r="BU58"/>
      <c r="BV58"/>
      <c r="BW58"/>
      <c r="BX58"/>
      <c r="BY58"/>
    </row>
    <row r="59" spans="1:77" s="58" customFormat="1" ht="23.25" customHeight="1">
      <c r="A59" s="10" t="s">
        <v>339</v>
      </c>
      <c r="B59" s="796">
        <v>1</v>
      </c>
      <c r="C59" s="798">
        <v>203.8</v>
      </c>
      <c r="D59" s="851">
        <v>1</v>
      </c>
      <c r="E59" s="798">
        <v>246.5</v>
      </c>
      <c r="F59" s="851"/>
      <c r="G59" s="798"/>
      <c r="H59" s="851"/>
      <c r="I59" s="798"/>
      <c r="J59" s="796"/>
      <c r="K59" s="798"/>
      <c r="L59" s="851"/>
      <c r="M59" s="798"/>
      <c r="N59" s="1303"/>
      <c r="O59" s="1304"/>
      <c r="P59" s="796"/>
      <c r="Q59" s="798"/>
      <c r="R59" s="796"/>
      <c r="S59" s="798"/>
      <c r="T59" s="796"/>
      <c r="U59" s="798"/>
      <c r="V59" s="796"/>
      <c r="W59" s="796"/>
      <c r="X59" s="131">
        <f t="shared" si="5"/>
        <v>2</v>
      </c>
      <c r="Y59" s="486">
        <f t="shared" si="6"/>
        <v>450.3</v>
      </c>
      <c r="Z59" s="140"/>
      <c r="AA59" s="140"/>
      <c r="AB59" s="140"/>
      <c r="AC59" s="140"/>
      <c r="AD59" s="140"/>
      <c r="AE59" s="140"/>
      <c r="AF59" s="140"/>
      <c r="AG59" s="51"/>
      <c r="AH59" s="51"/>
      <c r="AI59" s="51"/>
      <c r="AJ59" s="51"/>
      <c r="AK59" s="51"/>
      <c r="AL59" s="51"/>
      <c r="AM59" s="51"/>
      <c r="AN59" s="51"/>
      <c r="AO59" s="51"/>
      <c r="AP59" s="51"/>
      <c r="AQ59" s="51"/>
      <c r="AR59" s="51"/>
      <c r="AS59" s="51"/>
      <c r="AT59" s="51"/>
      <c r="AU59"/>
      <c r="AV59"/>
      <c r="AW59"/>
      <c r="AX59"/>
      <c r="AY59"/>
      <c r="AZ59"/>
      <c r="BA59"/>
      <c r="BB59"/>
      <c r="BC59"/>
      <c r="BD59"/>
      <c r="BE59"/>
      <c r="BF59"/>
      <c r="BG59"/>
      <c r="BH59"/>
      <c r="BI59"/>
      <c r="BJ59"/>
      <c r="BK59"/>
      <c r="BL59"/>
      <c r="BM59"/>
      <c r="BN59"/>
      <c r="BO59"/>
      <c r="BP59"/>
      <c r="BQ59"/>
      <c r="BR59"/>
      <c r="BS59"/>
      <c r="BT59"/>
      <c r="BU59"/>
      <c r="BV59"/>
      <c r="BW59"/>
      <c r="BX59"/>
      <c r="BY59"/>
    </row>
    <row r="60" spans="1:77" s="58" customFormat="1" ht="23.25" customHeight="1">
      <c r="A60" s="684" t="s">
        <v>40</v>
      </c>
      <c r="B60" s="796">
        <v>1</v>
      </c>
      <c r="C60" s="798">
        <v>144.5</v>
      </c>
      <c r="D60" s="851">
        <v>1</v>
      </c>
      <c r="E60" s="798">
        <v>178.4</v>
      </c>
      <c r="F60" s="851"/>
      <c r="G60" s="798"/>
      <c r="H60" s="851"/>
      <c r="I60" s="798"/>
      <c r="J60" s="796">
        <v>1</v>
      </c>
      <c r="K60" s="798">
        <v>164.8</v>
      </c>
      <c r="L60" s="851">
        <v>2</v>
      </c>
      <c r="M60" s="798">
        <v>293.8</v>
      </c>
      <c r="N60" s="1303">
        <v>7</v>
      </c>
      <c r="O60" s="1304">
        <v>1169.7</v>
      </c>
      <c r="P60" s="796">
        <v>1</v>
      </c>
      <c r="Q60" s="798">
        <v>133.4</v>
      </c>
      <c r="R60" s="796"/>
      <c r="S60" s="798"/>
      <c r="T60" s="796">
        <v>1</v>
      </c>
      <c r="U60" s="798">
        <v>171.2</v>
      </c>
      <c r="V60" s="796">
        <v>1</v>
      </c>
      <c r="W60" s="796">
        <v>156.2</v>
      </c>
      <c r="X60" s="131">
        <f t="shared" si="5"/>
        <v>15</v>
      </c>
      <c r="Y60" s="486">
        <f t="shared" si="6"/>
        <v>2412</v>
      </c>
      <c r="Z60" s="140"/>
      <c r="AA60" s="140"/>
      <c r="AB60" s="140"/>
      <c r="AC60" s="140"/>
      <c r="AD60" s="140"/>
      <c r="AE60" s="140"/>
      <c r="AF60" s="140"/>
      <c r="AG60" s="51"/>
      <c r="AH60" s="51"/>
      <c r="AI60" s="51"/>
      <c r="AJ60" s="51"/>
      <c r="AK60" s="51"/>
      <c r="AL60" s="51"/>
      <c r="AM60" s="51"/>
      <c r="AN60" s="51"/>
      <c r="AO60" s="51"/>
      <c r="AP60" s="51"/>
      <c r="AQ60" s="51"/>
      <c r="AR60" s="51"/>
      <c r="AS60" s="51"/>
      <c r="AT60" s="51"/>
      <c r="AU60"/>
      <c r="AV60"/>
      <c r="AW60"/>
      <c r="AX60"/>
      <c r="AY60"/>
      <c r="AZ60"/>
      <c r="BA60"/>
      <c r="BB60"/>
      <c r="BC60"/>
      <c r="BD60"/>
      <c r="BE60"/>
      <c r="BF60"/>
      <c r="BG60"/>
      <c r="BH60"/>
      <c r="BI60"/>
      <c r="BJ60"/>
      <c r="BK60"/>
      <c r="BL60"/>
      <c r="BM60"/>
      <c r="BN60"/>
      <c r="BO60"/>
      <c r="BP60"/>
      <c r="BQ60"/>
      <c r="BR60"/>
      <c r="BS60"/>
      <c r="BT60"/>
      <c r="BU60"/>
      <c r="BV60"/>
      <c r="BW60"/>
      <c r="BX60"/>
      <c r="BY60"/>
    </row>
    <row r="61" spans="1:77" s="58" customFormat="1" ht="23.25" customHeight="1">
      <c r="A61" s="10" t="s">
        <v>41</v>
      </c>
      <c r="B61" s="796"/>
      <c r="C61" s="798"/>
      <c r="D61" s="851"/>
      <c r="E61" s="798"/>
      <c r="F61" s="851">
        <v>2</v>
      </c>
      <c r="G61" s="798">
        <v>332.8</v>
      </c>
      <c r="H61" s="851">
        <v>1</v>
      </c>
      <c r="I61" s="798">
        <v>172.3</v>
      </c>
      <c r="J61" s="796">
        <v>2</v>
      </c>
      <c r="K61" s="798">
        <v>315.2</v>
      </c>
      <c r="L61" s="851">
        <v>1</v>
      </c>
      <c r="M61" s="798">
        <v>160.5</v>
      </c>
      <c r="N61" s="1303">
        <v>4</v>
      </c>
      <c r="O61" s="1304">
        <v>654.8</v>
      </c>
      <c r="P61" s="796"/>
      <c r="Q61" s="798"/>
      <c r="R61" s="796">
        <v>1</v>
      </c>
      <c r="S61" s="798">
        <v>158.6</v>
      </c>
      <c r="T61" s="796"/>
      <c r="U61" s="798"/>
      <c r="V61" s="796">
        <v>1</v>
      </c>
      <c r="W61" s="796">
        <v>145.7</v>
      </c>
      <c r="X61" s="131">
        <f t="shared" si="5"/>
        <v>12</v>
      </c>
      <c r="Y61" s="486">
        <f t="shared" si="6"/>
        <v>1939.9</v>
      </c>
      <c r="Z61" s="140"/>
      <c r="AA61" s="140"/>
      <c r="AB61" s="140"/>
      <c r="AC61" s="140"/>
      <c r="AD61" s="140"/>
      <c r="AE61" s="140"/>
      <c r="AF61" s="140"/>
      <c r="AG61" s="51"/>
      <c r="AH61" s="51"/>
      <c r="AI61" s="51"/>
      <c r="AJ61" s="51"/>
      <c r="AK61" s="51"/>
      <c r="AL61" s="51"/>
      <c r="AM61" s="51"/>
      <c r="AN61" s="51"/>
      <c r="AO61" s="51"/>
      <c r="AP61" s="51"/>
      <c r="AQ61" s="51"/>
      <c r="AR61" s="51"/>
      <c r="AS61" s="51"/>
      <c r="AT61" s="51"/>
      <c r="AU61"/>
      <c r="AV61"/>
      <c r="AW61"/>
      <c r="AX61"/>
      <c r="AY61"/>
      <c r="AZ61"/>
      <c r="BA61"/>
      <c r="BB61"/>
      <c r="BC61"/>
      <c r="BD61"/>
      <c r="BE61"/>
      <c r="BF61"/>
      <c r="BG61"/>
      <c r="BH61"/>
      <c r="BI61"/>
      <c r="BJ61"/>
      <c r="BK61"/>
      <c r="BL61"/>
      <c r="BM61"/>
      <c r="BN61"/>
      <c r="BO61"/>
      <c r="BP61"/>
      <c r="BQ61"/>
      <c r="BR61"/>
      <c r="BS61"/>
      <c r="BT61"/>
      <c r="BU61"/>
      <c r="BV61"/>
      <c r="BW61"/>
      <c r="BX61"/>
      <c r="BY61"/>
    </row>
    <row r="62" spans="1:77" s="58" customFormat="1" ht="23.25" customHeight="1">
      <c r="A62" s="684" t="s">
        <v>42</v>
      </c>
      <c r="B62" s="796"/>
      <c r="C62" s="798"/>
      <c r="D62" s="851"/>
      <c r="E62" s="798"/>
      <c r="F62" s="851"/>
      <c r="G62" s="798"/>
      <c r="H62" s="851"/>
      <c r="I62" s="798"/>
      <c r="J62" s="796"/>
      <c r="K62" s="798"/>
      <c r="L62" s="851">
        <v>1</v>
      </c>
      <c r="M62" s="798">
        <v>142.7</v>
      </c>
      <c r="N62" s="1303"/>
      <c r="O62" s="1304"/>
      <c r="P62" s="796"/>
      <c r="Q62" s="798"/>
      <c r="R62" s="796"/>
      <c r="S62" s="798"/>
      <c r="T62" s="796"/>
      <c r="U62" s="798"/>
      <c r="V62" s="796"/>
      <c r="W62" s="796"/>
      <c r="X62" s="131">
        <f t="shared" si="5"/>
        <v>1</v>
      </c>
      <c r="Y62" s="486">
        <f t="shared" si="6"/>
        <v>142.7</v>
      </c>
      <c r="Z62" s="140"/>
      <c r="AA62" s="140"/>
      <c r="AB62" s="140"/>
      <c r="AC62" s="140"/>
      <c r="AD62" s="140"/>
      <c r="AE62" s="140"/>
      <c r="AF62" s="140"/>
      <c r="AG62" s="51"/>
      <c r="AH62" s="51"/>
      <c r="AI62" s="51"/>
      <c r="AJ62" s="51"/>
      <c r="AK62" s="51"/>
      <c r="AL62" s="51"/>
      <c r="AM62" s="51"/>
      <c r="AN62" s="51"/>
      <c r="AO62" s="51"/>
      <c r="AP62" s="51"/>
      <c r="AQ62" s="51"/>
      <c r="AR62" s="51"/>
      <c r="AS62" s="51"/>
      <c r="AT62" s="51"/>
      <c r="AU62"/>
      <c r="AV62"/>
      <c r="AW62"/>
      <c r="AX62"/>
      <c r="AY62"/>
      <c r="AZ62"/>
      <c r="BA62"/>
      <c r="BB62"/>
      <c r="BC62"/>
      <c r="BD62"/>
      <c r="BE62"/>
      <c r="BF62"/>
      <c r="BG62"/>
      <c r="BH62"/>
      <c r="BI62"/>
      <c r="BJ62"/>
      <c r="BK62"/>
      <c r="BL62"/>
      <c r="BM62"/>
      <c r="BN62"/>
      <c r="BO62"/>
      <c r="BP62"/>
      <c r="BQ62"/>
      <c r="BR62"/>
      <c r="BS62"/>
      <c r="BT62"/>
      <c r="BU62"/>
      <c r="BV62"/>
      <c r="BW62"/>
      <c r="BX62"/>
      <c r="BY62"/>
    </row>
    <row r="63" spans="1:77" s="58" customFormat="1" ht="23.25" customHeight="1">
      <c r="A63" s="684" t="s">
        <v>340</v>
      </c>
      <c r="B63" s="796"/>
      <c r="C63" s="798"/>
      <c r="D63" s="851"/>
      <c r="E63" s="798"/>
      <c r="F63" s="851"/>
      <c r="G63" s="798"/>
      <c r="H63" s="851"/>
      <c r="I63" s="798"/>
      <c r="J63" s="796"/>
      <c r="K63" s="798"/>
      <c r="L63" s="851"/>
      <c r="M63" s="798"/>
      <c r="N63" s="1303"/>
      <c r="O63" s="1304"/>
      <c r="P63" s="796"/>
      <c r="Q63" s="798"/>
      <c r="R63" s="796"/>
      <c r="S63" s="798"/>
      <c r="T63" s="796">
        <v>1</v>
      </c>
      <c r="U63" s="798">
        <v>177</v>
      </c>
      <c r="V63" s="796"/>
      <c r="W63" s="796"/>
      <c r="X63" s="131">
        <f t="shared" si="5"/>
        <v>1</v>
      </c>
      <c r="Y63" s="486">
        <f t="shared" si="6"/>
        <v>177</v>
      </c>
      <c r="Z63" s="140"/>
      <c r="AA63" s="140"/>
      <c r="AB63" s="140"/>
      <c r="AC63" s="140"/>
      <c r="AD63" s="140"/>
      <c r="AE63" s="140"/>
      <c r="AF63" s="140"/>
      <c r="AG63" s="51"/>
      <c r="AH63" s="51"/>
      <c r="AI63" s="51"/>
      <c r="AJ63" s="51"/>
      <c r="AK63" s="51"/>
      <c r="AL63" s="51"/>
      <c r="AM63" s="51"/>
      <c r="AN63" s="51"/>
      <c r="AO63" s="51"/>
      <c r="AP63" s="51"/>
      <c r="AQ63" s="51"/>
      <c r="AR63" s="51"/>
      <c r="AS63" s="51"/>
      <c r="AT63" s="51"/>
      <c r="AU63"/>
      <c r="AV63"/>
      <c r="AW63"/>
      <c r="AX63"/>
      <c r="AY63"/>
      <c r="AZ63"/>
      <c r="BA63"/>
      <c r="BB63"/>
      <c r="BC63"/>
      <c r="BD63"/>
      <c r="BE63"/>
      <c r="BF63"/>
      <c r="BG63"/>
      <c r="BH63"/>
      <c r="BI63"/>
      <c r="BJ63"/>
      <c r="BK63"/>
      <c r="BL63"/>
      <c r="BM63"/>
      <c r="BN63"/>
      <c r="BO63"/>
      <c r="BP63"/>
      <c r="BQ63"/>
      <c r="BR63"/>
      <c r="BS63"/>
      <c r="BT63"/>
      <c r="BU63"/>
      <c r="BV63"/>
      <c r="BW63"/>
      <c r="BX63"/>
      <c r="BY63"/>
    </row>
    <row r="64" spans="1:77" s="58" customFormat="1" ht="23.25" customHeight="1">
      <c r="A64" s="684" t="s">
        <v>402</v>
      </c>
      <c r="B64" s="796">
        <v>1</v>
      </c>
      <c r="C64" s="798">
        <v>185.1</v>
      </c>
      <c r="D64" s="851"/>
      <c r="E64" s="798"/>
      <c r="F64" s="851"/>
      <c r="G64" s="798"/>
      <c r="H64" s="851"/>
      <c r="I64" s="798"/>
      <c r="J64" s="796"/>
      <c r="K64" s="798"/>
      <c r="L64" s="851">
        <v>1</v>
      </c>
      <c r="M64" s="798">
        <v>194.4</v>
      </c>
      <c r="N64" s="1303"/>
      <c r="O64" s="1304"/>
      <c r="P64" s="796"/>
      <c r="Q64" s="798"/>
      <c r="R64" s="796">
        <v>1</v>
      </c>
      <c r="S64" s="798">
        <v>217.2</v>
      </c>
      <c r="T64" s="796">
        <v>2</v>
      </c>
      <c r="U64" s="798">
        <v>483.7</v>
      </c>
      <c r="V64" s="796"/>
      <c r="W64" s="796"/>
      <c r="X64" s="131">
        <f t="shared" si="5"/>
        <v>5</v>
      </c>
      <c r="Y64" s="486">
        <f t="shared" si="6"/>
        <v>1080.4</v>
      </c>
      <c r="Z64" s="140"/>
      <c r="AA64" s="140"/>
      <c r="AB64" s="140"/>
      <c r="AC64" s="140"/>
      <c r="AD64" s="140"/>
      <c r="AE64" s="140"/>
      <c r="AF64" s="140"/>
      <c r="AG64" s="51"/>
      <c r="AH64" s="51"/>
      <c r="AI64" s="51"/>
      <c r="AJ64" s="51"/>
      <c r="AK64" s="51"/>
      <c r="AL64" s="51"/>
      <c r="AM64" s="51"/>
      <c r="AN64" s="51"/>
      <c r="AO64" s="51"/>
      <c r="AP64" s="51"/>
      <c r="AQ64" s="51"/>
      <c r="AR64" s="51"/>
      <c r="AS64" s="51"/>
      <c r="AT64" s="51"/>
      <c r="AU64"/>
      <c r="AV64"/>
      <c r="AW64"/>
      <c r="AX64"/>
      <c r="AY64"/>
      <c r="AZ64"/>
      <c r="BA64"/>
      <c r="BB64"/>
      <c r="BC64"/>
      <c r="BD64"/>
      <c r="BE64"/>
      <c r="BF64"/>
      <c r="BG64"/>
      <c r="BH64"/>
      <c r="BI64"/>
      <c r="BJ64"/>
      <c r="BK64"/>
      <c r="BL64"/>
      <c r="BM64"/>
      <c r="BN64"/>
      <c r="BO64"/>
      <c r="BP64"/>
      <c r="BQ64"/>
      <c r="BR64"/>
      <c r="BS64"/>
      <c r="BT64"/>
      <c r="BU64"/>
      <c r="BV64"/>
      <c r="BW64"/>
      <c r="BX64"/>
      <c r="BY64"/>
    </row>
    <row r="65" spans="1:77" s="58" customFormat="1" ht="23.25" customHeight="1">
      <c r="A65" s="684" t="s">
        <v>43</v>
      </c>
      <c r="B65" s="796">
        <v>2</v>
      </c>
      <c r="C65" s="798">
        <v>340.1</v>
      </c>
      <c r="D65" s="851">
        <v>1</v>
      </c>
      <c r="E65" s="798">
        <v>178.5</v>
      </c>
      <c r="F65" s="851">
        <v>2</v>
      </c>
      <c r="G65" s="798">
        <v>249.6</v>
      </c>
      <c r="H65" s="851">
        <v>2</v>
      </c>
      <c r="I65" s="798">
        <v>355.8</v>
      </c>
      <c r="J65" s="796">
        <v>3</v>
      </c>
      <c r="K65" s="798">
        <v>437.8</v>
      </c>
      <c r="L65" s="851">
        <v>1</v>
      </c>
      <c r="M65" s="798">
        <v>146.5</v>
      </c>
      <c r="N65" s="1303">
        <v>7</v>
      </c>
      <c r="O65" s="1304">
        <v>1211.3</v>
      </c>
      <c r="P65" s="796">
        <v>1</v>
      </c>
      <c r="Q65" s="798">
        <v>131.2</v>
      </c>
      <c r="R65" s="796">
        <v>3</v>
      </c>
      <c r="S65" s="798">
        <v>558.9</v>
      </c>
      <c r="T65" s="796"/>
      <c r="U65" s="798"/>
      <c r="V65" s="796">
        <v>1</v>
      </c>
      <c r="W65" s="796">
        <v>154</v>
      </c>
      <c r="X65" s="131">
        <f t="shared" si="5"/>
        <v>23</v>
      </c>
      <c r="Y65" s="486">
        <f t="shared" si="6"/>
        <v>3763.7</v>
      </c>
      <c r="Z65" s="140"/>
      <c r="AA65" s="140"/>
      <c r="AB65" s="140"/>
      <c r="AC65" s="140"/>
      <c r="AD65" s="140"/>
      <c r="AE65" s="140"/>
      <c r="AF65" s="140"/>
      <c r="AG65" s="51"/>
      <c r="AH65" s="51"/>
      <c r="AI65" s="51"/>
      <c r="AJ65" s="51"/>
      <c r="AK65" s="51"/>
      <c r="AL65" s="51"/>
      <c r="AM65" s="51"/>
      <c r="AN65" s="51"/>
      <c r="AO65" s="51"/>
      <c r="AP65" s="51"/>
      <c r="AQ65" s="51"/>
      <c r="AR65" s="51"/>
      <c r="AS65" s="51"/>
      <c r="AT65" s="51"/>
      <c r="AU65"/>
      <c r="AV65"/>
      <c r="AW65"/>
      <c r="AX65"/>
      <c r="AY65"/>
      <c r="AZ65"/>
      <c r="BA65"/>
      <c r="BB65"/>
      <c r="BC65"/>
      <c r="BD65"/>
      <c r="BE65"/>
      <c r="BF65"/>
      <c r="BG65"/>
      <c r="BH65"/>
      <c r="BI65"/>
      <c r="BJ65"/>
      <c r="BK65"/>
      <c r="BL65"/>
      <c r="BM65"/>
      <c r="BN65"/>
      <c r="BO65"/>
      <c r="BP65"/>
      <c r="BQ65"/>
      <c r="BR65"/>
      <c r="BS65"/>
      <c r="BT65"/>
      <c r="BU65"/>
      <c r="BV65"/>
      <c r="BW65"/>
      <c r="BX65"/>
      <c r="BY65"/>
    </row>
    <row r="66" spans="1:77" s="58" customFormat="1" ht="23.25" customHeight="1">
      <c r="A66" s="684" t="s">
        <v>342</v>
      </c>
      <c r="B66" s="796"/>
      <c r="C66" s="798"/>
      <c r="D66" s="851"/>
      <c r="E66" s="798"/>
      <c r="F66" s="851">
        <v>1</v>
      </c>
      <c r="G66" s="798">
        <v>111.6</v>
      </c>
      <c r="H66" s="851"/>
      <c r="I66" s="798"/>
      <c r="J66" s="796"/>
      <c r="K66" s="798"/>
      <c r="L66" s="851"/>
      <c r="M66" s="798"/>
      <c r="N66" s="1303"/>
      <c r="O66" s="1304"/>
      <c r="P66" s="796"/>
      <c r="Q66" s="798"/>
      <c r="R66" s="796">
        <v>1</v>
      </c>
      <c r="S66" s="798">
        <v>223.2</v>
      </c>
      <c r="T66" s="796"/>
      <c r="U66" s="798"/>
      <c r="V66" s="796"/>
      <c r="W66" s="796"/>
      <c r="X66" s="131">
        <f t="shared" si="5"/>
        <v>2</v>
      </c>
      <c r="Y66" s="486">
        <f t="shared" si="6"/>
        <v>334.79999999999995</v>
      </c>
      <c r="Z66" s="140"/>
      <c r="AA66" s="140"/>
      <c r="AB66" s="140"/>
      <c r="AC66" s="140"/>
      <c r="AD66" s="140"/>
      <c r="AE66" s="140"/>
      <c r="AF66" s="140"/>
      <c r="AG66" s="51"/>
      <c r="AH66" s="51"/>
      <c r="AI66" s="51"/>
      <c r="AJ66" s="51"/>
      <c r="AK66" s="51"/>
      <c r="AL66" s="51"/>
      <c r="AM66" s="51"/>
      <c r="AN66" s="51"/>
      <c r="AO66" s="51"/>
      <c r="AP66" s="51"/>
      <c r="AQ66" s="51"/>
      <c r="AR66" s="51"/>
      <c r="AS66" s="51"/>
      <c r="AT66" s="51"/>
      <c r="AU66"/>
      <c r="AV66"/>
      <c r="AW66"/>
      <c r="AX66"/>
      <c r="AY66"/>
      <c r="AZ66"/>
      <c r="BA66"/>
      <c r="BB66"/>
      <c r="BC66"/>
      <c r="BD66"/>
      <c r="BE66"/>
      <c r="BF66"/>
      <c r="BG66"/>
      <c r="BH66"/>
      <c r="BI66"/>
      <c r="BJ66"/>
      <c r="BK66"/>
      <c r="BL66"/>
      <c r="BM66"/>
      <c r="BN66"/>
      <c r="BO66"/>
      <c r="BP66"/>
      <c r="BQ66"/>
      <c r="BR66"/>
      <c r="BS66"/>
      <c r="BT66"/>
      <c r="BU66"/>
      <c r="BV66"/>
      <c r="BW66"/>
      <c r="BX66"/>
      <c r="BY66"/>
    </row>
    <row r="67" spans="1:77" s="58" customFormat="1" ht="23.25" customHeight="1">
      <c r="A67" s="10" t="s">
        <v>44</v>
      </c>
      <c r="B67" s="796"/>
      <c r="C67" s="798"/>
      <c r="D67" s="851"/>
      <c r="E67" s="798"/>
      <c r="F67" s="851"/>
      <c r="G67" s="798"/>
      <c r="H67" s="851"/>
      <c r="I67" s="798"/>
      <c r="J67" s="796"/>
      <c r="K67" s="798"/>
      <c r="L67" s="851"/>
      <c r="M67" s="798"/>
      <c r="N67" s="1303"/>
      <c r="O67" s="1304"/>
      <c r="P67" s="796"/>
      <c r="Q67" s="798"/>
      <c r="R67" s="796">
        <v>1</v>
      </c>
      <c r="S67" s="798">
        <v>125.1</v>
      </c>
      <c r="T67" s="796"/>
      <c r="U67" s="798"/>
      <c r="V67" s="796"/>
      <c r="W67" s="796"/>
      <c r="X67" s="131">
        <f t="shared" si="5"/>
        <v>1</v>
      </c>
      <c r="Y67" s="486">
        <f t="shared" si="6"/>
        <v>125.1</v>
      </c>
      <c r="Z67" s="140"/>
      <c r="AA67" s="140"/>
      <c r="AB67" s="140"/>
      <c r="AC67" s="140"/>
      <c r="AD67" s="140"/>
      <c r="AE67" s="140"/>
      <c r="AF67" s="140"/>
      <c r="AG67" s="51"/>
      <c r="AH67" s="51"/>
      <c r="AI67" s="51"/>
      <c r="AJ67" s="51"/>
      <c r="AK67" s="51"/>
      <c r="AL67" s="51"/>
      <c r="AM67" s="51"/>
      <c r="AN67" s="51"/>
      <c r="AO67" s="51"/>
      <c r="AP67" s="51"/>
      <c r="AQ67" s="51"/>
      <c r="AR67" s="51"/>
      <c r="AS67" s="51"/>
      <c r="AT67" s="51"/>
      <c r="AU67"/>
      <c r="AV67"/>
      <c r="AW67"/>
      <c r="AX67"/>
      <c r="AY67"/>
      <c r="AZ67"/>
      <c r="BA67"/>
      <c r="BB67"/>
      <c r="BC67"/>
      <c r="BD67"/>
      <c r="BE67"/>
      <c r="BF67"/>
      <c r="BG67"/>
      <c r="BH67"/>
      <c r="BI67"/>
      <c r="BJ67"/>
      <c r="BK67"/>
      <c r="BL67"/>
      <c r="BM67"/>
      <c r="BN67"/>
      <c r="BO67"/>
      <c r="BP67"/>
      <c r="BQ67"/>
      <c r="BR67"/>
      <c r="BS67"/>
      <c r="BT67"/>
      <c r="BU67"/>
      <c r="BV67"/>
      <c r="BW67"/>
      <c r="BX67"/>
      <c r="BY67"/>
    </row>
    <row r="68" spans="1:77" s="58" customFormat="1" ht="23.25" customHeight="1">
      <c r="A68" s="10" t="s">
        <v>403</v>
      </c>
      <c r="B68" s="796"/>
      <c r="C68" s="798"/>
      <c r="D68" s="851"/>
      <c r="E68" s="798"/>
      <c r="F68" s="851"/>
      <c r="G68" s="798"/>
      <c r="H68" s="851"/>
      <c r="I68" s="798"/>
      <c r="J68" s="796"/>
      <c r="K68" s="798"/>
      <c r="L68" s="851">
        <v>1</v>
      </c>
      <c r="M68" s="798">
        <v>233.3</v>
      </c>
      <c r="N68" s="1303">
        <v>2</v>
      </c>
      <c r="O68" s="1304">
        <v>517.1</v>
      </c>
      <c r="P68" s="796"/>
      <c r="Q68" s="798"/>
      <c r="R68" s="796">
        <v>1</v>
      </c>
      <c r="S68" s="798">
        <v>210.3</v>
      </c>
      <c r="T68" s="796"/>
      <c r="U68" s="798"/>
      <c r="V68" s="796"/>
      <c r="W68" s="796"/>
      <c r="X68" s="131">
        <f t="shared" si="5"/>
        <v>4</v>
      </c>
      <c r="Y68" s="486">
        <f t="shared" si="6"/>
        <v>960.7</v>
      </c>
      <c r="Z68" s="140"/>
      <c r="AA68" s="140"/>
      <c r="AB68" s="140"/>
      <c r="AC68" s="140"/>
      <c r="AD68" s="140"/>
      <c r="AE68" s="140"/>
      <c r="AF68" s="140"/>
      <c r="AG68" s="51"/>
      <c r="AH68" s="51"/>
      <c r="AI68" s="51"/>
      <c r="AJ68" s="51"/>
      <c r="AK68" s="51"/>
      <c r="AL68" s="51"/>
      <c r="AM68" s="51"/>
      <c r="AN68" s="51"/>
      <c r="AO68" s="51"/>
      <c r="AP68" s="51"/>
      <c r="AQ68" s="51"/>
      <c r="AR68" s="51"/>
      <c r="AS68" s="51"/>
      <c r="AT68" s="51"/>
      <c r="AU68"/>
      <c r="AV68"/>
      <c r="AW68"/>
      <c r="AX68"/>
      <c r="AY68"/>
      <c r="AZ68"/>
      <c r="BA68"/>
      <c r="BB68"/>
      <c r="BC68"/>
      <c r="BD68"/>
      <c r="BE68"/>
      <c r="BF68"/>
      <c r="BG68"/>
      <c r="BH68"/>
      <c r="BI68"/>
      <c r="BJ68"/>
      <c r="BK68"/>
      <c r="BL68"/>
      <c r="BM68"/>
      <c r="BN68"/>
      <c r="BO68"/>
      <c r="BP68"/>
      <c r="BQ68"/>
      <c r="BR68"/>
      <c r="BS68"/>
      <c r="BT68"/>
      <c r="BU68"/>
      <c r="BV68"/>
      <c r="BW68"/>
      <c r="BX68"/>
      <c r="BY68"/>
    </row>
    <row r="69" spans="1:77" s="58" customFormat="1" ht="23.25" customHeight="1">
      <c r="A69" s="10" t="s">
        <v>343</v>
      </c>
      <c r="B69" s="796">
        <v>1</v>
      </c>
      <c r="C69" s="798">
        <v>172.1</v>
      </c>
      <c r="D69" s="851"/>
      <c r="E69" s="798"/>
      <c r="F69" s="851"/>
      <c r="G69" s="798"/>
      <c r="H69" s="851"/>
      <c r="I69" s="798"/>
      <c r="J69" s="796"/>
      <c r="K69" s="798"/>
      <c r="L69" s="851"/>
      <c r="M69" s="798"/>
      <c r="N69" s="1303">
        <v>1</v>
      </c>
      <c r="O69" s="1304">
        <v>183.2</v>
      </c>
      <c r="P69" s="796"/>
      <c r="Q69" s="798"/>
      <c r="R69" s="796"/>
      <c r="S69" s="798"/>
      <c r="T69" s="796"/>
      <c r="U69" s="798"/>
      <c r="V69" s="796"/>
      <c r="W69" s="796"/>
      <c r="X69" s="131">
        <f t="shared" si="5"/>
        <v>2</v>
      </c>
      <c r="Y69" s="486">
        <f t="shared" si="6"/>
        <v>355.29999999999995</v>
      </c>
      <c r="Z69" s="140"/>
      <c r="AA69" s="140"/>
      <c r="AB69" s="140"/>
      <c r="AC69" s="140"/>
      <c r="AD69" s="140"/>
      <c r="AE69" s="140"/>
      <c r="AF69" s="140"/>
      <c r="AG69" s="51"/>
      <c r="AH69" s="51"/>
      <c r="AI69" s="51"/>
      <c r="AJ69" s="51"/>
      <c r="AK69" s="51"/>
      <c r="AL69" s="51"/>
      <c r="AM69" s="51"/>
      <c r="AN69" s="51"/>
      <c r="AO69" s="51"/>
      <c r="AP69" s="51"/>
      <c r="AQ69" s="51"/>
      <c r="AR69" s="51"/>
      <c r="AS69" s="51"/>
      <c r="AT69" s="51"/>
      <c r="AU69"/>
      <c r="AV69"/>
      <c r="AW69"/>
      <c r="AX69"/>
      <c r="AY69"/>
      <c r="AZ69"/>
      <c r="BA69"/>
      <c r="BB69"/>
      <c r="BC69"/>
      <c r="BD69"/>
      <c r="BE69"/>
      <c r="BF69"/>
      <c r="BG69"/>
      <c r="BH69"/>
      <c r="BI69"/>
      <c r="BJ69"/>
      <c r="BK69"/>
      <c r="BL69"/>
      <c r="BM69"/>
      <c r="BN69"/>
      <c r="BO69"/>
      <c r="BP69"/>
      <c r="BQ69"/>
      <c r="BR69"/>
      <c r="BS69"/>
      <c r="BT69"/>
      <c r="BU69"/>
      <c r="BV69"/>
      <c r="BW69"/>
      <c r="BX69"/>
      <c r="BY69"/>
    </row>
    <row r="70" spans="1:77" s="58" customFormat="1" ht="23.25" customHeight="1">
      <c r="A70" s="10" t="s">
        <v>366</v>
      </c>
      <c r="B70" s="796"/>
      <c r="C70" s="798"/>
      <c r="D70" s="851"/>
      <c r="E70" s="798"/>
      <c r="F70" s="851"/>
      <c r="G70" s="798"/>
      <c r="H70" s="851"/>
      <c r="I70" s="798"/>
      <c r="J70" s="796"/>
      <c r="K70" s="798"/>
      <c r="L70" s="851"/>
      <c r="M70" s="798"/>
      <c r="N70" s="1303"/>
      <c r="O70" s="1304"/>
      <c r="P70" s="796"/>
      <c r="Q70" s="798"/>
      <c r="R70" s="796">
        <v>1</v>
      </c>
      <c r="S70" s="798">
        <v>234.2</v>
      </c>
      <c r="T70" s="796"/>
      <c r="U70" s="798"/>
      <c r="V70" s="796"/>
      <c r="W70" s="796"/>
      <c r="X70" s="131">
        <f t="shared" si="5"/>
        <v>1</v>
      </c>
      <c r="Y70" s="486">
        <f t="shared" si="6"/>
        <v>234.2</v>
      </c>
      <c r="Z70" s="140"/>
      <c r="AA70" s="140"/>
      <c r="AB70" s="140"/>
      <c r="AC70" s="140"/>
      <c r="AD70" s="140"/>
      <c r="AE70" s="140"/>
      <c r="AF70" s="140"/>
      <c r="AG70" s="51"/>
      <c r="AH70" s="51"/>
      <c r="AI70" s="51"/>
      <c r="AJ70" s="51"/>
      <c r="AK70" s="51"/>
      <c r="AL70" s="51"/>
      <c r="AM70" s="51"/>
      <c r="AN70" s="51"/>
      <c r="AO70" s="51"/>
      <c r="AP70" s="51"/>
      <c r="AQ70" s="51"/>
      <c r="AR70" s="51"/>
      <c r="AS70" s="51"/>
      <c r="AT70" s="51"/>
      <c r="AU70"/>
      <c r="AV70"/>
      <c r="AW70"/>
      <c r="AX70"/>
      <c r="AY70"/>
      <c r="AZ70"/>
      <c r="BA70"/>
      <c r="BB70"/>
      <c r="BC70"/>
      <c r="BD70"/>
      <c r="BE70"/>
      <c r="BF70"/>
      <c r="BG70"/>
      <c r="BH70"/>
      <c r="BI70"/>
      <c r="BJ70"/>
      <c r="BK70"/>
      <c r="BL70"/>
      <c r="BM70"/>
      <c r="BN70"/>
      <c r="BO70"/>
      <c r="BP70"/>
      <c r="BQ70"/>
      <c r="BR70"/>
      <c r="BS70"/>
      <c r="BT70"/>
      <c r="BU70"/>
      <c r="BV70"/>
      <c r="BW70"/>
      <c r="BX70"/>
      <c r="BY70"/>
    </row>
    <row r="71" spans="1:77" s="58" customFormat="1" ht="23.25" customHeight="1">
      <c r="A71" s="10" t="s">
        <v>45</v>
      </c>
      <c r="B71" s="796"/>
      <c r="C71" s="798"/>
      <c r="D71" s="851"/>
      <c r="E71" s="798"/>
      <c r="F71" s="851">
        <v>1</v>
      </c>
      <c r="G71" s="798">
        <v>114.5</v>
      </c>
      <c r="H71" s="851"/>
      <c r="I71" s="798"/>
      <c r="J71" s="796">
        <v>2</v>
      </c>
      <c r="K71" s="798">
        <v>318.3</v>
      </c>
      <c r="L71" s="851"/>
      <c r="M71" s="798"/>
      <c r="N71" s="1303">
        <v>3</v>
      </c>
      <c r="O71" s="1304">
        <v>596.5</v>
      </c>
      <c r="P71" s="796"/>
      <c r="Q71" s="798"/>
      <c r="R71" s="796">
        <v>1</v>
      </c>
      <c r="S71" s="798">
        <v>201</v>
      </c>
      <c r="T71" s="796"/>
      <c r="U71" s="798"/>
      <c r="V71" s="796"/>
      <c r="W71" s="796"/>
      <c r="X71" s="131">
        <f t="shared" si="5"/>
        <v>7</v>
      </c>
      <c r="Y71" s="486">
        <f t="shared" si="6"/>
        <v>1230.3</v>
      </c>
      <c r="Z71" s="140"/>
      <c r="AA71" s="140"/>
      <c r="AB71" s="140"/>
      <c r="AC71" s="140"/>
      <c r="AD71" s="140"/>
      <c r="AE71" s="140"/>
      <c r="AF71" s="140"/>
      <c r="AG71" s="51"/>
      <c r="AH71" s="51"/>
      <c r="AI71" s="51"/>
      <c r="AJ71" s="51"/>
      <c r="AK71" s="51"/>
      <c r="AL71" s="51"/>
      <c r="AM71" s="51"/>
      <c r="AN71" s="51"/>
      <c r="AO71" s="51"/>
      <c r="AP71" s="51"/>
      <c r="AQ71" s="51"/>
      <c r="AR71" s="51"/>
      <c r="AS71" s="51"/>
      <c r="AT71" s="51"/>
      <c r="AU71"/>
      <c r="AV71"/>
      <c r="AW71"/>
      <c r="AX71"/>
      <c r="AY71"/>
      <c r="AZ71"/>
      <c r="BA71"/>
      <c r="BB71"/>
      <c r="BC71"/>
      <c r="BD71"/>
      <c r="BE71"/>
      <c r="BF71"/>
      <c r="BG71"/>
      <c r="BH71"/>
      <c r="BI71"/>
      <c r="BJ71"/>
      <c r="BK71"/>
      <c r="BL71"/>
      <c r="BM71"/>
      <c r="BN71"/>
      <c r="BO71"/>
      <c r="BP71"/>
      <c r="BQ71"/>
      <c r="BR71"/>
      <c r="BS71"/>
      <c r="BT71"/>
      <c r="BU71"/>
      <c r="BV71"/>
      <c r="BW71"/>
      <c r="BX71"/>
      <c r="BY71"/>
    </row>
    <row r="72" spans="1:77" s="58" customFormat="1" ht="23.25" customHeight="1">
      <c r="A72" s="10" t="s">
        <v>46</v>
      </c>
      <c r="B72" s="796"/>
      <c r="C72" s="798"/>
      <c r="D72" s="851">
        <v>1</v>
      </c>
      <c r="E72" s="798">
        <v>171.7</v>
      </c>
      <c r="F72" s="851"/>
      <c r="G72" s="798"/>
      <c r="H72" s="851"/>
      <c r="I72" s="798"/>
      <c r="J72" s="796"/>
      <c r="K72" s="798"/>
      <c r="L72" s="851">
        <v>1</v>
      </c>
      <c r="M72" s="798">
        <v>150.5</v>
      </c>
      <c r="N72" s="1303"/>
      <c r="O72" s="1304"/>
      <c r="P72" s="796">
        <v>1</v>
      </c>
      <c r="Q72" s="798">
        <v>130.7</v>
      </c>
      <c r="R72" s="796"/>
      <c r="S72" s="798"/>
      <c r="T72" s="796"/>
      <c r="U72" s="798"/>
      <c r="V72" s="796"/>
      <c r="W72" s="796"/>
      <c r="X72" s="131">
        <f t="shared" si="5"/>
        <v>3</v>
      </c>
      <c r="Y72" s="486">
        <f t="shared" si="6"/>
        <v>452.9</v>
      </c>
      <c r="Z72" s="140"/>
      <c r="AA72" s="140"/>
      <c r="AB72" s="140"/>
      <c r="AC72" s="140"/>
      <c r="AD72" s="140"/>
      <c r="AE72" s="140"/>
      <c r="AF72" s="140"/>
      <c r="AG72" s="51"/>
      <c r="AH72" s="51"/>
      <c r="AI72" s="51"/>
      <c r="AJ72" s="51"/>
      <c r="AK72" s="51"/>
      <c r="AL72" s="51"/>
      <c r="AM72" s="51"/>
      <c r="AN72" s="51"/>
      <c r="AO72" s="51"/>
      <c r="AP72" s="51"/>
      <c r="AQ72" s="51"/>
      <c r="AR72" s="51"/>
      <c r="AS72" s="51"/>
      <c r="AT72" s="51"/>
      <c r="AU72"/>
      <c r="AV72"/>
      <c r="AW72"/>
      <c r="AX72"/>
      <c r="AY72"/>
      <c r="AZ72"/>
      <c r="BA72"/>
      <c r="BB72"/>
      <c r="BC72"/>
      <c r="BD72"/>
      <c r="BE72"/>
      <c r="BF72"/>
      <c r="BG72"/>
      <c r="BH72"/>
      <c r="BI72"/>
      <c r="BJ72"/>
      <c r="BK72"/>
      <c r="BL72"/>
      <c r="BM72"/>
      <c r="BN72"/>
      <c r="BO72"/>
      <c r="BP72"/>
      <c r="BQ72"/>
      <c r="BR72"/>
      <c r="BS72"/>
      <c r="BT72"/>
      <c r="BU72"/>
      <c r="BV72"/>
      <c r="BW72"/>
      <c r="BX72"/>
      <c r="BY72"/>
    </row>
    <row r="73" spans="1:77" s="58" customFormat="1" ht="23.25" customHeight="1">
      <c r="A73" s="10" t="s">
        <v>297</v>
      </c>
      <c r="B73" s="796"/>
      <c r="C73" s="798"/>
      <c r="D73" s="851"/>
      <c r="E73" s="798"/>
      <c r="F73" s="851"/>
      <c r="G73" s="798"/>
      <c r="H73" s="851"/>
      <c r="I73" s="798"/>
      <c r="J73" s="796"/>
      <c r="K73" s="798"/>
      <c r="L73" s="851">
        <v>1</v>
      </c>
      <c r="M73" s="798">
        <v>204.8</v>
      </c>
      <c r="N73" s="1303">
        <v>2</v>
      </c>
      <c r="O73" s="1304">
        <v>480.9</v>
      </c>
      <c r="P73" s="796">
        <v>1</v>
      </c>
      <c r="Q73" s="798">
        <v>198.8</v>
      </c>
      <c r="R73" s="796">
        <v>3</v>
      </c>
      <c r="S73" s="798">
        <v>687.9</v>
      </c>
      <c r="T73" s="796">
        <v>2</v>
      </c>
      <c r="U73" s="798">
        <v>477.3</v>
      </c>
      <c r="V73" s="796"/>
      <c r="W73" s="796"/>
      <c r="X73" s="131">
        <f t="shared" si="5"/>
        <v>9</v>
      </c>
      <c r="Y73" s="486">
        <f t="shared" si="6"/>
        <v>2049.7</v>
      </c>
      <c r="Z73" s="140"/>
      <c r="AA73" s="140"/>
      <c r="AB73" s="140"/>
      <c r="AC73" s="140"/>
      <c r="AD73" s="140"/>
      <c r="AE73" s="140"/>
      <c r="AF73" s="140"/>
      <c r="AG73" s="51"/>
      <c r="AH73" s="51"/>
      <c r="AI73" s="51"/>
      <c r="AJ73" s="51"/>
      <c r="AK73" s="51"/>
      <c r="AL73" s="51"/>
      <c r="AM73" s="51"/>
      <c r="AN73" s="51"/>
      <c r="AO73" s="51"/>
      <c r="AP73" s="51"/>
      <c r="AQ73" s="51"/>
      <c r="AR73" s="51"/>
      <c r="AS73" s="51"/>
      <c r="AT73" s="51"/>
      <c r="AU73"/>
      <c r="AV73"/>
      <c r="AW73"/>
      <c r="AX73"/>
      <c r="AY73"/>
      <c r="AZ73"/>
      <c r="BA73"/>
      <c r="BB73"/>
      <c r="BC73"/>
      <c r="BD73"/>
      <c r="BE73"/>
      <c r="BF73"/>
      <c r="BG73"/>
      <c r="BH73"/>
      <c r="BI73"/>
      <c r="BJ73"/>
      <c r="BK73"/>
      <c r="BL73"/>
      <c r="BM73"/>
      <c r="BN73"/>
      <c r="BO73"/>
      <c r="BP73"/>
      <c r="BQ73"/>
      <c r="BR73"/>
      <c r="BS73"/>
      <c r="BT73"/>
      <c r="BU73"/>
      <c r="BV73"/>
      <c r="BW73"/>
      <c r="BX73"/>
      <c r="BY73"/>
    </row>
    <row r="74" spans="1:55" s="102" customFormat="1" ht="20.25" customHeight="1">
      <c r="A74" s="10" t="s">
        <v>345</v>
      </c>
      <c r="B74" s="793"/>
      <c r="C74" s="794"/>
      <c r="D74" s="793">
        <v>1</v>
      </c>
      <c r="E74" s="794">
        <v>160.5</v>
      </c>
      <c r="F74" s="793">
        <v>2</v>
      </c>
      <c r="G74" s="794">
        <v>230.8</v>
      </c>
      <c r="H74" s="793">
        <v>3</v>
      </c>
      <c r="I74" s="794">
        <v>476.5</v>
      </c>
      <c r="J74" s="793">
        <v>2</v>
      </c>
      <c r="K74" s="794">
        <v>301.6</v>
      </c>
      <c r="L74" s="793">
        <v>1</v>
      </c>
      <c r="M74" s="794">
        <v>138.9</v>
      </c>
      <c r="N74" s="1298">
        <v>1</v>
      </c>
      <c r="O74" s="1299">
        <v>176.9</v>
      </c>
      <c r="P74" s="793">
        <v>1</v>
      </c>
      <c r="Q74" s="794">
        <v>118.5</v>
      </c>
      <c r="R74" s="793"/>
      <c r="S74" s="794"/>
      <c r="T74" s="793"/>
      <c r="U74" s="794"/>
      <c r="V74" s="793"/>
      <c r="W74" s="794"/>
      <c r="X74" s="131">
        <f t="shared" si="5"/>
        <v>11</v>
      </c>
      <c r="Y74" s="486">
        <f t="shared" si="6"/>
        <v>1603.7000000000003</v>
      </c>
      <c r="Z74"/>
      <c r="AA74"/>
      <c r="AB74"/>
      <c r="AC74"/>
      <c r="AD74"/>
      <c r="AE74"/>
      <c r="AF74"/>
      <c r="AG74"/>
      <c r="AH74"/>
      <c r="AI74"/>
      <c r="AJ74"/>
      <c r="AK74"/>
      <c r="AL74"/>
      <c r="AM74"/>
      <c r="AN74"/>
      <c r="AO74"/>
      <c r="AP74"/>
      <c r="AQ74"/>
      <c r="AR74"/>
      <c r="AS74"/>
      <c r="AT74"/>
      <c r="AU74"/>
      <c r="AV74"/>
      <c r="AW74"/>
      <c r="AX74"/>
      <c r="AY74"/>
      <c r="AZ74"/>
      <c r="BA74"/>
      <c r="BB74"/>
      <c r="BC74"/>
    </row>
    <row r="75" spans="1:77" s="58" customFormat="1" ht="23.25" customHeight="1">
      <c r="A75" s="10" t="s">
        <v>47</v>
      </c>
      <c r="B75" s="796">
        <v>2</v>
      </c>
      <c r="C75" s="798">
        <v>279.7</v>
      </c>
      <c r="D75" s="851"/>
      <c r="E75" s="798"/>
      <c r="F75" s="851">
        <v>1</v>
      </c>
      <c r="G75" s="798">
        <v>117.5</v>
      </c>
      <c r="H75" s="851">
        <v>2</v>
      </c>
      <c r="I75" s="798">
        <v>339</v>
      </c>
      <c r="J75" s="796">
        <v>1</v>
      </c>
      <c r="K75" s="798">
        <v>153.8</v>
      </c>
      <c r="L75" s="851">
        <v>2</v>
      </c>
      <c r="M75" s="798">
        <v>273.1</v>
      </c>
      <c r="N75" s="1303">
        <v>3</v>
      </c>
      <c r="O75" s="1304">
        <v>410.8</v>
      </c>
      <c r="P75" s="796">
        <v>1</v>
      </c>
      <c r="Q75" s="798">
        <v>127.8</v>
      </c>
      <c r="R75" s="796">
        <v>2</v>
      </c>
      <c r="S75" s="798">
        <v>342.2</v>
      </c>
      <c r="T75" s="796"/>
      <c r="U75" s="798"/>
      <c r="V75" s="796"/>
      <c r="W75" s="796"/>
      <c r="X75" s="131">
        <f t="shared" si="5"/>
        <v>14</v>
      </c>
      <c r="Y75" s="486">
        <f t="shared" si="6"/>
        <v>2043.8999999999999</v>
      </c>
      <c r="Z75" s="140"/>
      <c r="AA75" s="140"/>
      <c r="AB75" s="140"/>
      <c r="AC75" s="140"/>
      <c r="AD75" s="140"/>
      <c r="AE75" s="140"/>
      <c r="AF75" s="140"/>
      <c r="AG75" s="51"/>
      <c r="AH75" s="51"/>
      <c r="AI75" s="51"/>
      <c r="AJ75" s="51"/>
      <c r="AK75" s="51"/>
      <c r="AL75" s="51"/>
      <c r="AM75" s="51"/>
      <c r="AN75" s="51"/>
      <c r="AO75" s="51"/>
      <c r="AP75" s="51"/>
      <c r="AQ75" s="51"/>
      <c r="AR75" s="51"/>
      <c r="AS75" s="51"/>
      <c r="AT75" s="51"/>
      <c r="AU75"/>
      <c r="AV75"/>
      <c r="AW75"/>
      <c r="AX75"/>
      <c r="AY75"/>
      <c r="AZ75"/>
      <c r="BA75"/>
      <c r="BB75"/>
      <c r="BC75"/>
      <c r="BD75"/>
      <c r="BE75"/>
      <c r="BF75"/>
      <c r="BG75"/>
      <c r="BH75"/>
      <c r="BI75"/>
      <c r="BJ75"/>
      <c r="BK75"/>
      <c r="BL75"/>
      <c r="BM75"/>
      <c r="BN75"/>
      <c r="BO75"/>
      <c r="BP75"/>
      <c r="BQ75"/>
      <c r="BR75"/>
      <c r="BS75"/>
      <c r="BT75"/>
      <c r="BU75"/>
      <c r="BV75"/>
      <c r="BW75"/>
      <c r="BX75"/>
      <c r="BY75"/>
    </row>
    <row r="76" spans="1:77" s="58" customFormat="1" ht="23.25" customHeight="1">
      <c r="A76" s="10" t="s">
        <v>48</v>
      </c>
      <c r="B76" s="796"/>
      <c r="C76" s="798"/>
      <c r="D76" s="851"/>
      <c r="E76" s="798"/>
      <c r="F76" s="851"/>
      <c r="G76" s="798"/>
      <c r="H76" s="851"/>
      <c r="I76" s="798"/>
      <c r="J76" s="796"/>
      <c r="K76" s="798"/>
      <c r="L76" s="851"/>
      <c r="M76" s="798"/>
      <c r="N76" s="1303">
        <v>1</v>
      </c>
      <c r="O76" s="1304">
        <v>206.7</v>
      </c>
      <c r="P76" s="796"/>
      <c r="Q76" s="798"/>
      <c r="R76" s="796">
        <v>1</v>
      </c>
      <c r="S76" s="798">
        <v>150.8</v>
      </c>
      <c r="T76" s="796"/>
      <c r="U76" s="798"/>
      <c r="V76" s="796"/>
      <c r="W76" s="796"/>
      <c r="X76" s="131">
        <f t="shared" si="5"/>
        <v>2</v>
      </c>
      <c r="Y76" s="486">
        <f t="shared" si="6"/>
        <v>357.5</v>
      </c>
      <c r="Z76" s="140"/>
      <c r="AA76" s="140"/>
      <c r="AB76" s="140"/>
      <c r="AC76" s="140"/>
      <c r="AD76" s="140"/>
      <c r="AE76" s="140"/>
      <c r="AF76" s="140"/>
      <c r="AG76" s="51"/>
      <c r="AH76" s="51"/>
      <c r="AI76" s="51"/>
      <c r="AJ76" s="51"/>
      <c r="AK76" s="51"/>
      <c r="AL76" s="51"/>
      <c r="AM76" s="51"/>
      <c r="AN76" s="51"/>
      <c r="AO76" s="51"/>
      <c r="AP76" s="51"/>
      <c r="AQ76" s="51"/>
      <c r="AR76" s="51"/>
      <c r="AS76" s="51"/>
      <c r="AT76" s="51"/>
      <c r="AU76"/>
      <c r="AV76"/>
      <c r="AW76"/>
      <c r="AX76"/>
      <c r="AY76"/>
      <c r="AZ76"/>
      <c r="BA76"/>
      <c r="BB76"/>
      <c r="BC76"/>
      <c r="BD76"/>
      <c r="BE76"/>
      <c r="BF76"/>
      <c r="BG76"/>
      <c r="BH76"/>
      <c r="BI76"/>
      <c r="BJ76"/>
      <c r="BK76"/>
      <c r="BL76"/>
      <c r="BM76"/>
      <c r="BN76"/>
      <c r="BO76"/>
      <c r="BP76"/>
      <c r="BQ76"/>
      <c r="BR76"/>
      <c r="BS76"/>
      <c r="BT76"/>
      <c r="BU76"/>
      <c r="BV76"/>
      <c r="BW76"/>
      <c r="BX76"/>
      <c r="BY76"/>
    </row>
    <row r="77" spans="1:77" s="58" customFormat="1" ht="23.25" customHeight="1">
      <c r="A77" s="15" t="s">
        <v>302</v>
      </c>
      <c r="B77" s="809">
        <v>1</v>
      </c>
      <c r="C77" s="810">
        <v>148.3</v>
      </c>
      <c r="D77" s="1061"/>
      <c r="E77" s="810"/>
      <c r="F77" s="1061"/>
      <c r="G77" s="810"/>
      <c r="H77" s="1061"/>
      <c r="I77" s="810"/>
      <c r="J77" s="809"/>
      <c r="K77" s="810"/>
      <c r="L77" s="1061"/>
      <c r="M77" s="810"/>
      <c r="N77" s="1305"/>
      <c r="O77" s="1306"/>
      <c r="P77" s="809"/>
      <c r="Q77" s="810"/>
      <c r="R77" s="809"/>
      <c r="S77" s="810"/>
      <c r="T77" s="809">
        <v>1</v>
      </c>
      <c r="U77" s="810">
        <v>164.4</v>
      </c>
      <c r="V77" s="809"/>
      <c r="W77" s="809"/>
      <c r="X77" s="221">
        <f t="shared" si="5"/>
        <v>2</v>
      </c>
      <c r="Y77" s="1070">
        <f t="shared" si="6"/>
        <v>312.70000000000005</v>
      </c>
      <c r="Z77" s="140"/>
      <c r="AA77" s="140"/>
      <c r="AB77" s="140"/>
      <c r="AC77" s="140"/>
      <c r="AD77" s="140"/>
      <c r="AE77" s="140"/>
      <c r="AF77" s="140"/>
      <c r="AG77" s="51"/>
      <c r="AH77" s="51"/>
      <c r="AI77" s="51"/>
      <c r="AJ77" s="51"/>
      <c r="AK77" s="51"/>
      <c r="AL77" s="51"/>
      <c r="AM77" s="51"/>
      <c r="AN77" s="51"/>
      <c r="AO77" s="51"/>
      <c r="AP77" s="51"/>
      <c r="AQ77" s="51"/>
      <c r="AR77" s="51"/>
      <c r="AS77" s="51"/>
      <c r="AT77" s="51"/>
      <c r="AU77"/>
      <c r="AV77"/>
      <c r="AW77"/>
      <c r="AX77"/>
      <c r="AY77"/>
      <c r="AZ77"/>
      <c r="BA77"/>
      <c r="BB77"/>
      <c r="BC77"/>
      <c r="BD77"/>
      <c r="BE77"/>
      <c r="BF77"/>
      <c r="BG77"/>
      <c r="BH77"/>
      <c r="BI77"/>
      <c r="BJ77"/>
      <c r="BK77"/>
      <c r="BL77"/>
      <c r="BM77"/>
      <c r="BN77"/>
      <c r="BO77"/>
      <c r="BP77"/>
      <c r="BQ77"/>
      <c r="BR77"/>
      <c r="BS77"/>
      <c r="BT77"/>
      <c r="BU77"/>
      <c r="BV77"/>
      <c r="BW77"/>
      <c r="BX77"/>
      <c r="BY77"/>
    </row>
    <row r="78" spans="1:77" s="58" customFormat="1" ht="23.25" customHeight="1">
      <c r="A78" s="905" t="s">
        <v>120</v>
      </c>
      <c r="B78" s="947"/>
      <c r="C78" s="948"/>
      <c r="D78" s="1062"/>
      <c r="E78" s="948"/>
      <c r="F78" s="1062"/>
      <c r="G78" s="948"/>
      <c r="H78" s="1062"/>
      <c r="I78" s="948"/>
      <c r="J78" s="947"/>
      <c r="K78" s="948"/>
      <c r="L78" s="1062"/>
      <c r="M78" s="948"/>
      <c r="N78" s="947"/>
      <c r="O78" s="948"/>
      <c r="P78" s="947"/>
      <c r="Q78" s="948"/>
      <c r="R78" s="947"/>
      <c r="S78" s="948"/>
      <c r="T78" s="947"/>
      <c r="U78" s="948"/>
      <c r="V78" s="947"/>
      <c r="W78" s="947"/>
      <c r="X78" s="939"/>
      <c r="Y78" s="940"/>
      <c r="Z78" s="140"/>
      <c r="AA78" s="140"/>
      <c r="AB78" s="140"/>
      <c r="AC78" s="140"/>
      <c r="AD78" s="140"/>
      <c r="AE78" s="140"/>
      <c r="AF78" s="140"/>
      <c r="AG78" s="51"/>
      <c r="AH78" s="51"/>
      <c r="AI78" s="51"/>
      <c r="AJ78" s="51"/>
      <c r="AK78" s="51"/>
      <c r="AL78" s="51"/>
      <c r="AM78" s="51"/>
      <c r="AN78" s="51"/>
      <c r="AO78" s="51"/>
      <c r="AP78" s="51"/>
      <c r="AQ78" s="51"/>
      <c r="AR78" s="51"/>
      <c r="AS78" s="51"/>
      <c r="AT78" s="51"/>
      <c r="AU78"/>
      <c r="AV78"/>
      <c r="AW78"/>
      <c r="AX78"/>
      <c r="AY78"/>
      <c r="AZ78"/>
      <c r="BA78"/>
      <c r="BB78"/>
      <c r="BC78"/>
      <c r="BD78"/>
      <c r="BE78"/>
      <c r="BF78"/>
      <c r="BG78"/>
      <c r="BH78"/>
      <c r="BI78"/>
      <c r="BJ78"/>
      <c r="BK78"/>
      <c r="BL78"/>
      <c r="BM78"/>
      <c r="BN78"/>
      <c r="BO78"/>
      <c r="BP78"/>
      <c r="BQ78"/>
      <c r="BR78"/>
      <c r="BS78"/>
      <c r="BT78"/>
      <c r="BU78"/>
      <c r="BV78"/>
      <c r="BW78"/>
      <c r="BX78"/>
      <c r="BY78"/>
    </row>
    <row r="79" spans="1:25" ht="21.75">
      <c r="A79" s="10" t="s">
        <v>348</v>
      </c>
      <c r="B79" s="750"/>
      <c r="C79" s="799"/>
      <c r="D79" s="849"/>
      <c r="E79" s="799"/>
      <c r="F79" s="849"/>
      <c r="G79" s="799"/>
      <c r="H79" s="849"/>
      <c r="I79" s="799"/>
      <c r="J79" s="750"/>
      <c r="K79" s="799"/>
      <c r="L79" s="849"/>
      <c r="M79" s="799"/>
      <c r="N79" s="750">
        <v>3</v>
      </c>
      <c r="O79" s="799">
        <v>447.7</v>
      </c>
      <c r="P79" s="750"/>
      <c r="Q79" s="799"/>
      <c r="R79" s="750"/>
      <c r="S79" s="799"/>
      <c r="T79" s="750"/>
      <c r="U79" s="799"/>
      <c r="V79" s="750"/>
      <c r="W79" s="750"/>
      <c r="X79" s="131">
        <f aca="true" t="shared" si="7" ref="X79:Y85">SUM(B79,D79,F79,L79,R79,H79,V79,J79,N79,P79,T79)</f>
        <v>3</v>
      </c>
      <c r="Y79" s="486">
        <f t="shared" si="7"/>
        <v>447.7</v>
      </c>
    </row>
    <row r="80" spans="1:77" s="58" customFormat="1" ht="23.25" customHeight="1">
      <c r="A80" s="10" t="s">
        <v>288</v>
      </c>
      <c r="B80" s="796"/>
      <c r="C80" s="798"/>
      <c r="D80" s="851"/>
      <c r="E80" s="798"/>
      <c r="F80" s="851"/>
      <c r="G80" s="798"/>
      <c r="H80" s="851"/>
      <c r="I80" s="798"/>
      <c r="J80" s="796"/>
      <c r="K80" s="798"/>
      <c r="L80" s="851"/>
      <c r="M80" s="798"/>
      <c r="N80" s="796"/>
      <c r="O80" s="798"/>
      <c r="P80" s="796"/>
      <c r="Q80" s="798"/>
      <c r="R80" s="796"/>
      <c r="S80" s="798"/>
      <c r="T80" s="796">
        <v>2</v>
      </c>
      <c r="U80" s="798">
        <v>353.2</v>
      </c>
      <c r="V80" s="796"/>
      <c r="W80" s="796"/>
      <c r="X80" s="131">
        <f t="shared" si="7"/>
        <v>2</v>
      </c>
      <c r="Y80" s="486">
        <f t="shared" si="7"/>
        <v>353.2</v>
      </c>
      <c r="Z80" s="140"/>
      <c r="AA80" s="140"/>
      <c r="AB80" s="140"/>
      <c r="AC80" s="140"/>
      <c r="AD80" s="140"/>
      <c r="AE80" s="140"/>
      <c r="AF80" s="140"/>
      <c r="AG80" s="51"/>
      <c r="AH80" s="51"/>
      <c r="AI80" s="51"/>
      <c r="AJ80" s="51"/>
      <c r="AK80" s="51"/>
      <c r="AL80" s="51"/>
      <c r="AM80" s="51"/>
      <c r="AN80" s="51"/>
      <c r="AO80" s="51"/>
      <c r="AP80" s="51"/>
      <c r="AQ80" s="51"/>
      <c r="AR80" s="51"/>
      <c r="AS80" s="51"/>
      <c r="AT80" s="51"/>
      <c r="AU80"/>
      <c r="AV80"/>
      <c r="AW80"/>
      <c r="AX80"/>
      <c r="AY80"/>
      <c r="AZ80"/>
      <c r="BA80"/>
      <c r="BB80"/>
      <c r="BC80"/>
      <c r="BD80"/>
      <c r="BE80"/>
      <c r="BF80"/>
      <c r="BG80"/>
      <c r="BH80"/>
      <c r="BI80"/>
      <c r="BJ80"/>
      <c r="BK80"/>
      <c r="BL80"/>
      <c r="BM80"/>
      <c r="BN80"/>
      <c r="BO80"/>
      <c r="BP80"/>
      <c r="BQ80"/>
      <c r="BR80"/>
      <c r="BS80"/>
      <c r="BT80"/>
      <c r="BU80"/>
      <c r="BV80"/>
      <c r="BW80"/>
      <c r="BX80"/>
      <c r="BY80"/>
    </row>
    <row r="81" spans="1:77" s="58" customFormat="1" ht="23.25" customHeight="1">
      <c r="A81" s="10" t="s">
        <v>289</v>
      </c>
      <c r="B81" s="796">
        <v>2</v>
      </c>
      <c r="C81" s="798">
        <v>318.6</v>
      </c>
      <c r="D81" s="851"/>
      <c r="E81" s="798"/>
      <c r="F81" s="851">
        <v>4</v>
      </c>
      <c r="G81" s="798">
        <v>539.5</v>
      </c>
      <c r="H81" s="851">
        <v>1</v>
      </c>
      <c r="I81" s="798">
        <v>163.9</v>
      </c>
      <c r="J81" s="796">
        <v>2</v>
      </c>
      <c r="K81" s="798">
        <v>342.1</v>
      </c>
      <c r="L81" s="851"/>
      <c r="M81" s="798"/>
      <c r="N81" s="796">
        <v>2</v>
      </c>
      <c r="O81" s="798">
        <v>365.9</v>
      </c>
      <c r="P81" s="796">
        <v>1</v>
      </c>
      <c r="Q81" s="798">
        <v>121.5</v>
      </c>
      <c r="R81" s="796">
        <v>1</v>
      </c>
      <c r="S81" s="798">
        <v>150.5</v>
      </c>
      <c r="T81" s="796"/>
      <c r="U81" s="798"/>
      <c r="V81" s="796"/>
      <c r="W81" s="796"/>
      <c r="X81" s="131">
        <f t="shared" si="7"/>
        <v>13</v>
      </c>
      <c r="Y81" s="486">
        <f t="shared" si="7"/>
        <v>2002</v>
      </c>
      <c r="Z81" s="140"/>
      <c r="AA81" s="140"/>
      <c r="AB81" s="140"/>
      <c r="AC81" s="140"/>
      <c r="AD81" s="140"/>
      <c r="AE81" s="140"/>
      <c r="AF81" s="140"/>
      <c r="AG81" s="51"/>
      <c r="AH81" s="51"/>
      <c r="AI81" s="51"/>
      <c r="AJ81" s="51"/>
      <c r="AK81" s="51"/>
      <c r="AL81" s="51"/>
      <c r="AM81" s="51"/>
      <c r="AN81" s="51"/>
      <c r="AO81" s="51"/>
      <c r="AP81" s="51"/>
      <c r="AQ81" s="51"/>
      <c r="AR81" s="51"/>
      <c r="AS81" s="51"/>
      <c r="AT81" s="51"/>
      <c r="AU81"/>
      <c r="AV81"/>
      <c r="AW81"/>
      <c r="AX81"/>
      <c r="AY81"/>
      <c r="AZ81"/>
      <c r="BA81"/>
      <c r="BB81"/>
      <c r="BC81"/>
      <c r="BD81"/>
      <c r="BE81"/>
      <c r="BF81"/>
      <c r="BG81"/>
      <c r="BH81"/>
      <c r="BI81"/>
      <c r="BJ81"/>
      <c r="BK81"/>
      <c r="BL81"/>
      <c r="BM81"/>
      <c r="BN81"/>
      <c r="BO81"/>
      <c r="BP81"/>
      <c r="BQ81"/>
      <c r="BR81"/>
      <c r="BS81"/>
      <c r="BT81"/>
      <c r="BU81"/>
      <c r="BV81"/>
      <c r="BW81"/>
      <c r="BX81"/>
      <c r="BY81"/>
    </row>
    <row r="82" spans="1:25" ht="21.75">
      <c r="A82" s="10" t="s">
        <v>349</v>
      </c>
      <c r="B82" s="750"/>
      <c r="C82" s="799"/>
      <c r="D82" s="849"/>
      <c r="E82" s="799"/>
      <c r="F82" s="849"/>
      <c r="G82" s="799"/>
      <c r="H82" s="849"/>
      <c r="I82" s="799"/>
      <c r="J82" s="750"/>
      <c r="K82" s="799"/>
      <c r="L82" s="849">
        <v>1</v>
      </c>
      <c r="M82" s="799">
        <v>150.2</v>
      </c>
      <c r="N82" s="750"/>
      <c r="O82" s="799"/>
      <c r="P82" s="750"/>
      <c r="Q82" s="799"/>
      <c r="R82" s="750"/>
      <c r="S82" s="799"/>
      <c r="T82" s="750"/>
      <c r="U82" s="799"/>
      <c r="V82" s="750"/>
      <c r="W82" s="750"/>
      <c r="X82" s="131">
        <f t="shared" si="7"/>
        <v>1</v>
      </c>
      <c r="Y82" s="486">
        <f t="shared" si="7"/>
        <v>150.2</v>
      </c>
    </row>
    <row r="83" spans="1:25" ht="21.75">
      <c r="A83" s="10" t="s">
        <v>300</v>
      </c>
      <c r="B83" s="750"/>
      <c r="C83" s="799"/>
      <c r="D83" s="849"/>
      <c r="E83" s="799"/>
      <c r="F83" s="849"/>
      <c r="G83" s="799"/>
      <c r="H83" s="849"/>
      <c r="I83" s="799"/>
      <c r="J83" s="750"/>
      <c r="K83" s="799"/>
      <c r="L83" s="849"/>
      <c r="M83" s="799"/>
      <c r="N83" s="750"/>
      <c r="O83" s="799"/>
      <c r="P83" s="750"/>
      <c r="Q83" s="799"/>
      <c r="R83" s="750">
        <v>1</v>
      </c>
      <c r="S83" s="799">
        <v>93.4</v>
      </c>
      <c r="T83" s="750"/>
      <c r="U83" s="799"/>
      <c r="V83" s="750"/>
      <c r="W83" s="750"/>
      <c r="X83" s="131">
        <f t="shared" si="7"/>
        <v>1</v>
      </c>
      <c r="Y83" s="486">
        <f t="shared" si="7"/>
        <v>93.4</v>
      </c>
    </row>
    <row r="84" spans="1:77" s="58" customFormat="1" ht="23.25" customHeight="1">
      <c r="A84" s="10" t="s">
        <v>33</v>
      </c>
      <c r="B84" s="796"/>
      <c r="C84" s="798"/>
      <c r="D84" s="851">
        <v>1</v>
      </c>
      <c r="E84" s="798">
        <v>203.8</v>
      </c>
      <c r="F84" s="851">
        <v>2</v>
      </c>
      <c r="G84" s="798">
        <v>382.5</v>
      </c>
      <c r="H84" s="851"/>
      <c r="I84" s="798"/>
      <c r="J84" s="796">
        <v>2</v>
      </c>
      <c r="K84" s="798">
        <v>389.7</v>
      </c>
      <c r="L84" s="851">
        <v>1</v>
      </c>
      <c r="M84" s="798">
        <v>190.2</v>
      </c>
      <c r="N84" s="796"/>
      <c r="O84" s="798"/>
      <c r="P84" s="796"/>
      <c r="Q84" s="798"/>
      <c r="R84" s="796">
        <v>1</v>
      </c>
      <c r="S84" s="798">
        <v>178.9</v>
      </c>
      <c r="T84" s="796"/>
      <c r="U84" s="798"/>
      <c r="V84" s="796">
        <v>1</v>
      </c>
      <c r="W84" s="796">
        <v>169.9</v>
      </c>
      <c r="X84" s="131">
        <f t="shared" si="7"/>
        <v>8</v>
      </c>
      <c r="Y84" s="486">
        <f t="shared" si="7"/>
        <v>1515</v>
      </c>
      <c r="Z84" s="140"/>
      <c r="AA84" s="140"/>
      <c r="AB84" s="140"/>
      <c r="AC84" s="140"/>
      <c r="AD84" s="140"/>
      <c r="AE84" s="140"/>
      <c r="AF84" s="140"/>
      <c r="AG84" s="51"/>
      <c r="AH84" s="51"/>
      <c r="AI84" s="51"/>
      <c r="AJ84" s="51"/>
      <c r="AK84" s="51"/>
      <c r="AL84" s="51"/>
      <c r="AM84" s="51"/>
      <c r="AN84" s="51"/>
      <c r="AO84" s="51"/>
      <c r="AP84" s="51"/>
      <c r="AQ84" s="51"/>
      <c r="AR84" s="51"/>
      <c r="AS84" s="51"/>
      <c r="AT84" s="51"/>
      <c r="AU84"/>
      <c r="AV84"/>
      <c r="AW84"/>
      <c r="AX84"/>
      <c r="AY84"/>
      <c r="AZ84"/>
      <c r="BA84"/>
      <c r="BB84"/>
      <c r="BC84"/>
      <c r="BD84"/>
      <c r="BE84"/>
      <c r="BF84"/>
      <c r="BG84"/>
      <c r="BH84"/>
      <c r="BI84"/>
      <c r="BJ84"/>
      <c r="BK84"/>
      <c r="BL84"/>
      <c r="BM84"/>
      <c r="BN84"/>
      <c r="BO84"/>
      <c r="BP84"/>
      <c r="BQ84"/>
      <c r="BR84"/>
      <c r="BS84"/>
      <c r="BT84"/>
      <c r="BU84"/>
      <c r="BV84"/>
      <c r="BW84"/>
      <c r="BX84"/>
      <c r="BY84"/>
    </row>
    <row r="85" spans="1:77" s="58" customFormat="1" ht="23.25" customHeight="1">
      <c r="A85" s="15" t="s">
        <v>34</v>
      </c>
      <c r="B85" s="809"/>
      <c r="C85" s="810"/>
      <c r="D85" s="1061"/>
      <c r="E85" s="810"/>
      <c r="F85" s="1061"/>
      <c r="G85" s="810"/>
      <c r="H85" s="1061">
        <v>1</v>
      </c>
      <c r="I85" s="810">
        <v>132.4</v>
      </c>
      <c r="J85" s="809"/>
      <c r="K85" s="810"/>
      <c r="L85" s="1061"/>
      <c r="M85" s="810"/>
      <c r="N85" s="809"/>
      <c r="O85" s="810"/>
      <c r="P85" s="809"/>
      <c r="Q85" s="810"/>
      <c r="R85" s="809"/>
      <c r="S85" s="810"/>
      <c r="T85" s="809"/>
      <c r="U85" s="810"/>
      <c r="V85" s="809"/>
      <c r="W85" s="809"/>
      <c r="X85" s="131">
        <f t="shared" si="7"/>
        <v>1</v>
      </c>
      <c r="Y85" s="486">
        <f t="shared" si="7"/>
        <v>132.4</v>
      </c>
      <c r="Z85" s="140"/>
      <c r="AA85" s="140"/>
      <c r="AB85" s="140"/>
      <c r="AC85" s="140"/>
      <c r="AD85" s="140"/>
      <c r="AE85" s="140"/>
      <c r="AF85" s="140"/>
      <c r="AG85" s="51"/>
      <c r="AH85" s="51"/>
      <c r="AI85" s="51"/>
      <c r="AJ85" s="51"/>
      <c r="AK85" s="51"/>
      <c r="AL85" s="51"/>
      <c r="AM85" s="51"/>
      <c r="AN85" s="51"/>
      <c r="AO85" s="51"/>
      <c r="AP85" s="51"/>
      <c r="AQ85" s="51"/>
      <c r="AR85" s="51"/>
      <c r="AS85" s="51"/>
      <c r="AT85" s="51"/>
      <c r="AU85"/>
      <c r="AV85"/>
      <c r="AW85"/>
      <c r="AX85"/>
      <c r="AY85"/>
      <c r="AZ85"/>
      <c r="BA85"/>
      <c r="BB85"/>
      <c r="BC85"/>
      <c r="BD85"/>
      <c r="BE85"/>
      <c r="BF85"/>
      <c r="BG85"/>
      <c r="BH85"/>
      <c r="BI85"/>
      <c r="BJ85"/>
      <c r="BK85"/>
      <c r="BL85"/>
      <c r="BM85"/>
      <c r="BN85"/>
      <c r="BO85"/>
      <c r="BP85"/>
      <c r="BQ85"/>
      <c r="BR85"/>
      <c r="BS85"/>
      <c r="BT85"/>
      <c r="BU85"/>
      <c r="BV85"/>
      <c r="BW85"/>
      <c r="BX85"/>
      <c r="BY85"/>
    </row>
    <row r="86" spans="1:25" ht="21.75">
      <c r="A86" s="961" t="s">
        <v>121</v>
      </c>
      <c r="B86" s="949"/>
      <c r="C86" s="950"/>
      <c r="D86" s="1063"/>
      <c r="E86" s="950"/>
      <c r="F86" s="1063"/>
      <c r="G86" s="950"/>
      <c r="H86" s="1063"/>
      <c r="I86" s="950"/>
      <c r="J86" s="949"/>
      <c r="K86" s="950"/>
      <c r="L86" s="1063"/>
      <c r="M86" s="950"/>
      <c r="N86" s="949"/>
      <c r="O86" s="950"/>
      <c r="P86" s="949"/>
      <c r="Q86" s="950"/>
      <c r="R86" s="949"/>
      <c r="S86" s="950"/>
      <c r="T86" s="949"/>
      <c r="U86" s="950"/>
      <c r="V86" s="949"/>
      <c r="W86" s="949"/>
      <c r="X86" s="939"/>
      <c r="Y86" s="940"/>
    </row>
    <row r="87" spans="1:25" ht="21.75">
      <c r="A87" s="684" t="s">
        <v>138</v>
      </c>
      <c r="B87" s="750">
        <v>2</v>
      </c>
      <c r="C87" s="799">
        <v>334.7</v>
      </c>
      <c r="D87" s="849"/>
      <c r="E87" s="799"/>
      <c r="F87" s="849"/>
      <c r="G87" s="799"/>
      <c r="H87" s="849"/>
      <c r="I87" s="799"/>
      <c r="J87" s="750">
        <v>1</v>
      </c>
      <c r="K87" s="799">
        <v>173.4</v>
      </c>
      <c r="L87" s="849"/>
      <c r="M87" s="799"/>
      <c r="N87" s="750">
        <v>1</v>
      </c>
      <c r="O87" s="799">
        <v>258.9</v>
      </c>
      <c r="P87" s="750"/>
      <c r="Q87" s="799"/>
      <c r="R87" s="750">
        <v>1</v>
      </c>
      <c r="S87" s="799">
        <v>286</v>
      </c>
      <c r="T87" s="750">
        <v>1</v>
      </c>
      <c r="U87" s="799">
        <v>308.2</v>
      </c>
      <c r="V87" s="750"/>
      <c r="W87" s="750"/>
      <c r="X87" s="131">
        <f aca="true" t="shared" si="8" ref="X87:X102">SUM(B87,D87,F87,L87,R87,H87,V87,J87,N87,P87,T87)</f>
        <v>6</v>
      </c>
      <c r="Y87" s="486">
        <f aca="true" t="shared" si="9" ref="Y87:Y102">SUM(C87,E87,G87,M87,S87,I87,W87,K87,O87,Q87,U87)</f>
        <v>1361.2</v>
      </c>
    </row>
    <row r="88" spans="1:25" ht="21.75">
      <c r="A88" s="684" t="s">
        <v>355</v>
      </c>
      <c r="B88" s="750"/>
      <c r="C88" s="799"/>
      <c r="D88" s="849"/>
      <c r="E88" s="799"/>
      <c r="F88" s="849"/>
      <c r="G88" s="799"/>
      <c r="H88" s="849"/>
      <c r="I88" s="799"/>
      <c r="J88" s="750"/>
      <c r="K88" s="799"/>
      <c r="L88" s="849">
        <v>1</v>
      </c>
      <c r="M88" s="799">
        <v>244.5</v>
      </c>
      <c r="N88" s="750"/>
      <c r="O88" s="799"/>
      <c r="P88" s="750"/>
      <c r="Q88" s="799"/>
      <c r="R88" s="750"/>
      <c r="S88" s="799"/>
      <c r="T88" s="750"/>
      <c r="U88" s="799"/>
      <c r="V88" s="750"/>
      <c r="W88" s="750"/>
      <c r="X88" s="131">
        <f t="shared" si="8"/>
        <v>1</v>
      </c>
      <c r="Y88" s="486">
        <f t="shared" si="9"/>
        <v>244.5</v>
      </c>
    </row>
    <row r="89" spans="1:25" ht="21.75">
      <c r="A89" s="684" t="s">
        <v>49</v>
      </c>
      <c r="B89" s="750"/>
      <c r="C89" s="799"/>
      <c r="D89" s="849"/>
      <c r="E89" s="799"/>
      <c r="F89" s="849">
        <v>1</v>
      </c>
      <c r="G89" s="799">
        <v>248.8</v>
      </c>
      <c r="H89" s="849"/>
      <c r="I89" s="799"/>
      <c r="J89" s="750">
        <v>1</v>
      </c>
      <c r="K89" s="799">
        <v>93.2</v>
      </c>
      <c r="L89" s="849">
        <v>2</v>
      </c>
      <c r="M89" s="799">
        <v>287.5</v>
      </c>
      <c r="N89" s="750">
        <v>1</v>
      </c>
      <c r="O89" s="799">
        <v>101.4</v>
      </c>
      <c r="P89" s="750"/>
      <c r="Q89" s="799"/>
      <c r="R89" s="750"/>
      <c r="S89" s="799"/>
      <c r="T89" s="750">
        <v>1</v>
      </c>
      <c r="U89" s="799">
        <v>245.1</v>
      </c>
      <c r="V89" s="750"/>
      <c r="W89" s="750"/>
      <c r="X89" s="131">
        <f t="shared" si="8"/>
        <v>6</v>
      </c>
      <c r="Y89" s="486">
        <f t="shared" si="9"/>
        <v>976</v>
      </c>
    </row>
    <row r="90" spans="1:25" ht="21.75">
      <c r="A90" s="684" t="s">
        <v>50</v>
      </c>
      <c r="B90" s="750"/>
      <c r="C90" s="799"/>
      <c r="D90" s="849"/>
      <c r="E90" s="799"/>
      <c r="F90" s="849"/>
      <c r="G90" s="799"/>
      <c r="H90" s="849"/>
      <c r="I90" s="799"/>
      <c r="J90" s="750"/>
      <c r="K90" s="799"/>
      <c r="L90" s="849"/>
      <c r="M90" s="799"/>
      <c r="N90" s="750"/>
      <c r="O90" s="799"/>
      <c r="P90" s="750">
        <v>1</v>
      </c>
      <c r="Q90" s="799">
        <v>304.1</v>
      </c>
      <c r="R90" s="750"/>
      <c r="S90" s="799"/>
      <c r="T90" s="750">
        <v>1</v>
      </c>
      <c r="U90" s="799">
        <v>332.4</v>
      </c>
      <c r="V90" s="750"/>
      <c r="W90" s="750"/>
      <c r="X90" s="131">
        <f t="shared" si="8"/>
        <v>2</v>
      </c>
      <c r="Y90" s="486">
        <f t="shared" si="9"/>
        <v>636.5</v>
      </c>
    </row>
    <row r="91" spans="1:25" ht="21.75">
      <c r="A91" s="684" t="s">
        <v>148</v>
      </c>
      <c r="B91" s="750"/>
      <c r="C91" s="799"/>
      <c r="D91" s="849"/>
      <c r="E91" s="799"/>
      <c r="F91" s="849"/>
      <c r="G91" s="799"/>
      <c r="H91" s="849"/>
      <c r="I91" s="799"/>
      <c r="J91" s="750">
        <v>1</v>
      </c>
      <c r="K91" s="799">
        <v>289.8</v>
      </c>
      <c r="L91" s="849"/>
      <c r="M91" s="799"/>
      <c r="N91" s="750">
        <v>1</v>
      </c>
      <c r="O91" s="799">
        <v>320.5</v>
      </c>
      <c r="P91" s="750"/>
      <c r="Q91" s="799"/>
      <c r="R91" s="750"/>
      <c r="S91" s="799"/>
      <c r="T91" s="750"/>
      <c r="U91" s="799"/>
      <c r="V91" s="750"/>
      <c r="W91" s="750"/>
      <c r="X91" s="131">
        <f t="shared" si="8"/>
        <v>2</v>
      </c>
      <c r="Y91" s="486">
        <f t="shared" si="9"/>
        <v>610.3</v>
      </c>
    </row>
    <row r="92" spans="1:25" ht="21.75">
      <c r="A92" s="684" t="s">
        <v>186</v>
      </c>
      <c r="B92" s="750"/>
      <c r="C92" s="799"/>
      <c r="D92" s="849"/>
      <c r="E92" s="799"/>
      <c r="F92" s="849"/>
      <c r="G92" s="799"/>
      <c r="H92" s="849"/>
      <c r="I92" s="799"/>
      <c r="J92" s="750"/>
      <c r="K92" s="799"/>
      <c r="L92" s="849">
        <v>1</v>
      </c>
      <c r="M92" s="799">
        <v>281.1</v>
      </c>
      <c r="N92" s="750"/>
      <c r="O92" s="799"/>
      <c r="P92" s="750"/>
      <c r="Q92" s="799"/>
      <c r="R92" s="750"/>
      <c r="S92" s="799"/>
      <c r="T92" s="750"/>
      <c r="U92" s="799"/>
      <c r="V92" s="750"/>
      <c r="W92" s="750"/>
      <c r="X92" s="131">
        <f t="shared" si="8"/>
        <v>1</v>
      </c>
      <c r="Y92" s="486">
        <f t="shared" si="9"/>
        <v>281.1</v>
      </c>
    </row>
    <row r="93" spans="1:25" ht="21.75">
      <c r="A93" s="684" t="s">
        <v>359</v>
      </c>
      <c r="B93" s="750"/>
      <c r="C93" s="799"/>
      <c r="D93" s="849"/>
      <c r="E93" s="799"/>
      <c r="F93" s="849">
        <v>2</v>
      </c>
      <c r="G93" s="799">
        <v>535.3</v>
      </c>
      <c r="H93" s="849">
        <v>1</v>
      </c>
      <c r="I93" s="799">
        <v>314.1</v>
      </c>
      <c r="J93" s="897">
        <v>2</v>
      </c>
      <c r="K93" s="799">
        <v>657.6</v>
      </c>
      <c r="L93" s="849">
        <v>2</v>
      </c>
      <c r="M93" s="799">
        <v>534.5</v>
      </c>
      <c r="N93" s="750"/>
      <c r="O93" s="799"/>
      <c r="P93" s="750"/>
      <c r="Q93" s="799"/>
      <c r="R93" s="750">
        <v>1</v>
      </c>
      <c r="S93" s="799">
        <v>291.5</v>
      </c>
      <c r="T93" s="750"/>
      <c r="U93" s="799"/>
      <c r="V93" s="750"/>
      <c r="W93" s="750"/>
      <c r="X93" s="131">
        <f t="shared" si="8"/>
        <v>8</v>
      </c>
      <c r="Y93" s="486">
        <f t="shared" si="9"/>
        <v>2333</v>
      </c>
    </row>
    <row r="94" spans="1:25" ht="21.75">
      <c r="A94" s="684" t="s">
        <v>152</v>
      </c>
      <c r="B94" s="750"/>
      <c r="C94" s="799"/>
      <c r="D94" s="849"/>
      <c r="E94" s="799"/>
      <c r="F94" s="849"/>
      <c r="G94" s="799"/>
      <c r="H94" s="849"/>
      <c r="I94" s="799"/>
      <c r="J94" s="750">
        <v>1</v>
      </c>
      <c r="K94" s="799">
        <v>257.2</v>
      </c>
      <c r="L94" s="849"/>
      <c r="M94" s="799"/>
      <c r="N94" s="750">
        <v>1</v>
      </c>
      <c r="O94" s="799">
        <v>406</v>
      </c>
      <c r="P94" s="750"/>
      <c r="Q94" s="799"/>
      <c r="R94" s="750"/>
      <c r="S94" s="799"/>
      <c r="T94" s="750"/>
      <c r="U94" s="799"/>
      <c r="V94" s="750"/>
      <c r="W94" s="750"/>
      <c r="X94" s="131">
        <f t="shared" si="8"/>
        <v>2</v>
      </c>
      <c r="Y94" s="486">
        <f t="shared" si="9"/>
        <v>663.2</v>
      </c>
    </row>
    <row r="95" spans="1:25" ht="21.75">
      <c r="A95" s="684" t="s">
        <v>587</v>
      </c>
      <c r="B95" s="750"/>
      <c r="C95" s="799"/>
      <c r="D95" s="849"/>
      <c r="E95" s="799"/>
      <c r="F95" s="849">
        <v>1</v>
      </c>
      <c r="G95" s="799">
        <v>195.2</v>
      </c>
      <c r="H95" s="849"/>
      <c r="I95" s="799"/>
      <c r="J95" s="750"/>
      <c r="K95" s="799"/>
      <c r="L95" s="849"/>
      <c r="M95" s="799"/>
      <c r="N95" s="750"/>
      <c r="O95" s="799"/>
      <c r="P95" s="750"/>
      <c r="Q95" s="799"/>
      <c r="R95" s="750"/>
      <c r="S95" s="799"/>
      <c r="T95" s="750"/>
      <c r="U95" s="799"/>
      <c r="V95" s="750"/>
      <c r="W95" s="750"/>
      <c r="X95" s="131">
        <f t="shared" si="8"/>
        <v>1</v>
      </c>
      <c r="Y95" s="486">
        <f t="shared" si="9"/>
        <v>195.2</v>
      </c>
    </row>
    <row r="96" spans="1:25" ht="21.75">
      <c r="A96" s="684" t="s">
        <v>51</v>
      </c>
      <c r="B96" s="750"/>
      <c r="C96" s="799"/>
      <c r="D96" s="849"/>
      <c r="E96" s="799"/>
      <c r="F96" s="849"/>
      <c r="G96" s="799"/>
      <c r="H96" s="849"/>
      <c r="I96" s="799"/>
      <c r="J96" s="750"/>
      <c r="K96" s="799"/>
      <c r="L96" s="849"/>
      <c r="M96" s="799"/>
      <c r="N96" s="1307">
        <v>4</v>
      </c>
      <c r="O96" s="1308">
        <v>862.2</v>
      </c>
      <c r="P96" s="750"/>
      <c r="Q96" s="799"/>
      <c r="R96" s="750"/>
      <c r="S96" s="799"/>
      <c r="T96" s="750">
        <v>1</v>
      </c>
      <c r="U96" s="799">
        <v>314.8</v>
      </c>
      <c r="V96" s="750">
        <v>1</v>
      </c>
      <c r="W96" s="750">
        <v>237.3</v>
      </c>
      <c r="X96" s="131">
        <f t="shared" si="8"/>
        <v>6</v>
      </c>
      <c r="Y96" s="486">
        <f t="shared" si="9"/>
        <v>1414.3</v>
      </c>
    </row>
    <row r="97" spans="1:25" ht="21.75">
      <c r="A97" s="684" t="s">
        <v>588</v>
      </c>
      <c r="B97" s="750"/>
      <c r="C97" s="799"/>
      <c r="D97" s="849"/>
      <c r="E97" s="799"/>
      <c r="F97" s="849"/>
      <c r="G97" s="799"/>
      <c r="H97" s="849"/>
      <c r="I97" s="799"/>
      <c r="J97" s="750"/>
      <c r="K97" s="799"/>
      <c r="L97" s="849"/>
      <c r="M97" s="799"/>
      <c r="N97" s="1307"/>
      <c r="O97" s="1308"/>
      <c r="P97" s="750"/>
      <c r="Q97" s="799"/>
      <c r="R97" s="750"/>
      <c r="S97" s="799"/>
      <c r="T97" s="750">
        <v>1</v>
      </c>
      <c r="U97" s="799">
        <v>427.6</v>
      </c>
      <c r="V97" s="750"/>
      <c r="W97" s="750"/>
      <c r="X97" s="131">
        <f t="shared" si="8"/>
        <v>1</v>
      </c>
      <c r="Y97" s="486">
        <f t="shared" si="9"/>
        <v>427.6</v>
      </c>
    </row>
    <row r="98" spans="1:25" ht="21.75">
      <c r="A98" s="684" t="s">
        <v>216</v>
      </c>
      <c r="B98" s="750"/>
      <c r="C98" s="799"/>
      <c r="D98" s="849"/>
      <c r="E98" s="799"/>
      <c r="F98" s="849">
        <v>1</v>
      </c>
      <c r="G98" s="799">
        <v>238.9</v>
      </c>
      <c r="H98" s="849"/>
      <c r="I98" s="799"/>
      <c r="J98" s="750">
        <v>1</v>
      </c>
      <c r="K98" s="799">
        <v>275.5</v>
      </c>
      <c r="L98" s="849">
        <v>1</v>
      </c>
      <c r="M98" s="799">
        <v>225.8</v>
      </c>
      <c r="N98" s="1307"/>
      <c r="O98" s="1308"/>
      <c r="P98" s="750"/>
      <c r="Q98" s="799"/>
      <c r="R98" s="750"/>
      <c r="S98" s="799"/>
      <c r="T98" s="750"/>
      <c r="U98" s="799"/>
      <c r="V98" s="750"/>
      <c r="W98" s="750"/>
      <c r="X98" s="131">
        <f t="shared" si="8"/>
        <v>3</v>
      </c>
      <c r="Y98" s="486">
        <f t="shared" si="9"/>
        <v>740.2</v>
      </c>
    </row>
    <row r="99" spans="1:25" ht="21.75">
      <c r="A99" s="684" t="s">
        <v>153</v>
      </c>
      <c r="B99" s="750">
        <v>1</v>
      </c>
      <c r="C99" s="799">
        <v>278.4</v>
      </c>
      <c r="D99" s="849"/>
      <c r="E99" s="799"/>
      <c r="F99" s="849">
        <v>1</v>
      </c>
      <c r="G99" s="799">
        <v>212.4</v>
      </c>
      <c r="H99" s="849"/>
      <c r="I99" s="799"/>
      <c r="J99" s="750"/>
      <c r="K99" s="799"/>
      <c r="L99" s="849"/>
      <c r="M99" s="799"/>
      <c r="N99" s="1307">
        <v>1</v>
      </c>
      <c r="O99" s="1308">
        <v>265.2</v>
      </c>
      <c r="P99" s="750"/>
      <c r="Q99" s="799"/>
      <c r="R99" s="750">
        <v>3</v>
      </c>
      <c r="S99" s="799">
        <v>688.2</v>
      </c>
      <c r="T99" s="750"/>
      <c r="U99" s="799"/>
      <c r="V99" s="750"/>
      <c r="W99" s="750"/>
      <c r="X99" s="131">
        <f t="shared" si="8"/>
        <v>6</v>
      </c>
      <c r="Y99" s="486">
        <f t="shared" si="9"/>
        <v>1444.2</v>
      </c>
    </row>
    <row r="100" spans="1:25" ht="21.75">
      <c r="A100" s="684" t="s">
        <v>52</v>
      </c>
      <c r="B100" s="750"/>
      <c r="C100" s="799"/>
      <c r="D100" s="849"/>
      <c r="E100" s="799"/>
      <c r="F100" s="849">
        <v>1</v>
      </c>
      <c r="G100" s="799">
        <v>266.8</v>
      </c>
      <c r="H100" s="849">
        <v>2</v>
      </c>
      <c r="I100" s="799">
        <v>637.7</v>
      </c>
      <c r="J100" s="750"/>
      <c r="K100" s="799"/>
      <c r="L100" s="849"/>
      <c r="M100" s="799"/>
      <c r="N100" s="1307">
        <v>2</v>
      </c>
      <c r="O100" s="1308">
        <v>581.5</v>
      </c>
      <c r="P100" s="750"/>
      <c r="Q100" s="799"/>
      <c r="R100" s="750"/>
      <c r="S100" s="799"/>
      <c r="T100" s="750"/>
      <c r="U100" s="799"/>
      <c r="V100" s="750"/>
      <c r="W100" s="750"/>
      <c r="X100" s="131">
        <f t="shared" si="8"/>
        <v>5</v>
      </c>
      <c r="Y100" s="486">
        <f t="shared" si="9"/>
        <v>1486</v>
      </c>
    </row>
    <row r="101" spans="1:25" ht="21.75">
      <c r="A101" s="684" t="s">
        <v>404</v>
      </c>
      <c r="B101" s="750"/>
      <c r="C101" s="799"/>
      <c r="D101" s="849">
        <v>1</v>
      </c>
      <c r="E101" s="799">
        <v>371.5</v>
      </c>
      <c r="F101" s="849"/>
      <c r="G101" s="799"/>
      <c r="H101" s="849"/>
      <c r="I101" s="799"/>
      <c r="J101" s="750">
        <v>1</v>
      </c>
      <c r="K101" s="799">
        <v>334.7</v>
      </c>
      <c r="L101" s="849"/>
      <c r="M101" s="799"/>
      <c r="N101" s="1307"/>
      <c r="O101" s="1308"/>
      <c r="P101" s="750"/>
      <c r="Q101" s="799"/>
      <c r="R101" s="750"/>
      <c r="S101" s="799"/>
      <c r="T101" s="750"/>
      <c r="U101" s="799"/>
      <c r="V101" s="750"/>
      <c r="W101" s="750"/>
      <c r="X101" s="131">
        <f t="shared" si="8"/>
        <v>2</v>
      </c>
      <c r="Y101" s="486">
        <f t="shared" si="9"/>
        <v>706.2</v>
      </c>
    </row>
    <row r="102" spans="1:25" ht="21.75">
      <c r="A102" s="785" t="s">
        <v>438</v>
      </c>
      <c r="B102" s="870"/>
      <c r="C102" s="871"/>
      <c r="D102" s="1064"/>
      <c r="E102" s="871"/>
      <c r="F102" s="1064"/>
      <c r="G102" s="871"/>
      <c r="H102" s="1064"/>
      <c r="I102" s="871"/>
      <c r="J102" s="870"/>
      <c r="K102" s="871"/>
      <c r="L102" s="1064"/>
      <c r="M102" s="871"/>
      <c r="N102" s="1309">
        <v>1</v>
      </c>
      <c r="O102" s="1310">
        <v>115.8</v>
      </c>
      <c r="P102" s="870"/>
      <c r="Q102" s="871"/>
      <c r="R102" s="870"/>
      <c r="S102" s="871"/>
      <c r="T102" s="870">
        <v>1</v>
      </c>
      <c r="U102" s="871">
        <v>161.5</v>
      </c>
      <c r="V102" s="870"/>
      <c r="W102" s="870"/>
      <c r="X102" s="131">
        <f t="shared" si="8"/>
        <v>2</v>
      </c>
      <c r="Y102" s="486">
        <f t="shared" si="9"/>
        <v>277.3</v>
      </c>
    </row>
    <row r="103" spans="1:25" ht="21.75">
      <c r="A103" s="905" t="s">
        <v>379</v>
      </c>
      <c r="B103" s="949"/>
      <c r="C103" s="950"/>
      <c r="D103" s="1063"/>
      <c r="E103" s="950"/>
      <c r="F103" s="1063"/>
      <c r="G103" s="950"/>
      <c r="H103" s="1063"/>
      <c r="I103" s="950"/>
      <c r="J103" s="949"/>
      <c r="K103" s="950"/>
      <c r="L103" s="1063"/>
      <c r="M103" s="950"/>
      <c r="N103" s="949"/>
      <c r="O103" s="950"/>
      <c r="P103" s="949"/>
      <c r="Q103" s="950"/>
      <c r="R103" s="949"/>
      <c r="S103" s="950"/>
      <c r="T103" s="949"/>
      <c r="U103" s="950"/>
      <c r="V103" s="949"/>
      <c r="W103" s="949"/>
      <c r="X103" s="939"/>
      <c r="Y103" s="940"/>
    </row>
    <row r="104" spans="1:25" ht="21.75">
      <c r="A104" s="10" t="s">
        <v>434</v>
      </c>
      <c r="B104" s="750"/>
      <c r="C104" s="799"/>
      <c r="D104" s="849"/>
      <c r="E104" s="799"/>
      <c r="F104" s="849">
        <v>1</v>
      </c>
      <c r="G104" s="799">
        <v>110.1</v>
      </c>
      <c r="H104" s="849"/>
      <c r="I104" s="799"/>
      <c r="J104" s="750">
        <v>1</v>
      </c>
      <c r="K104" s="799">
        <v>150.5</v>
      </c>
      <c r="L104" s="849"/>
      <c r="M104" s="799"/>
      <c r="N104" s="750"/>
      <c r="O104" s="799"/>
      <c r="P104" s="750"/>
      <c r="Q104" s="799"/>
      <c r="R104" s="750"/>
      <c r="S104" s="799"/>
      <c r="T104" s="750"/>
      <c r="U104" s="799"/>
      <c r="V104" s="750"/>
      <c r="W104" s="750"/>
      <c r="X104" s="131">
        <f aca="true" t="shared" si="10" ref="X104:X114">SUM(B104,D104,F104,L104,R104,H104,V104,J104,N104,P104,T104)</f>
        <v>2</v>
      </c>
      <c r="Y104" s="486">
        <f aca="true" t="shared" si="11" ref="Y104:Y114">SUM(C104,E104,G104,M104,S104,I104,W104,K104,O104,Q104,U104)</f>
        <v>260.6</v>
      </c>
    </row>
    <row r="105" spans="1:77" s="58" customFormat="1" ht="23.25" customHeight="1">
      <c r="A105" s="10" t="s">
        <v>346</v>
      </c>
      <c r="B105" s="796"/>
      <c r="C105" s="798"/>
      <c r="D105" s="851"/>
      <c r="E105" s="798"/>
      <c r="F105" s="851">
        <v>1</v>
      </c>
      <c r="G105" s="798">
        <v>108.1</v>
      </c>
      <c r="H105" s="851">
        <v>1</v>
      </c>
      <c r="I105" s="798">
        <v>160.7</v>
      </c>
      <c r="J105" s="796">
        <v>1</v>
      </c>
      <c r="K105" s="798">
        <v>159.3</v>
      </c>
      <c r="L105" s="851">
        <v>1</v>
      </c>
      <c r="M105" s="798">
        <v>161.6</v>
      </c>
      <c r="N105" s="796">
        <v>2</v>
      </c>
      <c r="O105" s="798">
        <v>334.7</v>
      </c>
      <c r="P105" s="796">
        <v>1</v>
      </c>
      <c r="Q105" s="798">
        <v>124</v>
      </c>
      <c r="R105" s="796">
        <v>1</v>
      </c>
      <c r="S105" s="798">
        <v>216.6</v>
      </c>
      <c r="T105" s="796"/>
      <c r="U105" s="798"/>
      <c r="V105" s="796"/>
      <c r="W105" s="796"/>
      <c r="X105" s="131">
        <f t="shared" si="10"/>
        <v>8</v>
      </c>
      <c r="Y105" s="486">
        <f t="shared" si="11"/>
        <v>1265</v>
      </c>
      <c r="Z105" s="140"/>
      <c r="AA105" s="140"/>
      <c r="AB105" s="140"/>
      <c r="AC105" s="140"/>
      <c r="AD105" s="140"/>
      <c r="AE105" s="140"/>
      <c r="AF105" s="140"/>
      <c r="AG105" s="51"/>
      <c r="AH105" s="51"/>
      <c r="AI105" s="51"/>
      <c r="AJ105" s="51"/>
      <c r="AK105" s="51"/>
      <c r="AL105" s="51"/>
      <c r="AM105" s="51"/>
      <c r="AN105" s="51"/>
      <c r="AO105" s="51"/>
      <c r="AP105" s="51"/>
      <c r="AQ105" s="51"/>
      <c r="AR105" s="51"/>
      <c r="AS105" s="51"/>
      <c r="AT105" s="51"/>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row>
    <row r="106" spans="1:77" s="58" customFormat="1" ht="23.25" customHeight="1">
      <c r="A106" s="10" t="s">
        <v>347</v>
      </c>
      <c r="B106" s="796">
        <v>2</v>
      </c>
      <c r="C106" s="798">
        <v>312.8</v>
      </c>
      <c r="D106" s="851"/>
      <c r="E106" s="798"/>
      <c r="F106" s="851">
        <v>1</v>
      </c>
      <c r="G106" s="798">
        <v>154.2</v>
      </c>
      <c r="H106" s="851"/>
      <c r="I106" s="798"/>
      <c r="J106" s="796"/>
      <c r="K106" s="798"/>
      <c r="L106" s="851"/>
      <c r="M106" s="798"/>
      <c r="N106" s="796">
        <v>1</v>
      </c>
      <c r="O106" s="798">
        <v>170.5</v>
      </c>
      <c r="P106" s="796"/>
      <c r="Q106" s="798"/>
      <c r="R106" s="796"/>
      <c r="S106" s="798"/>
      <c r="T106" s="750"/>
      <c r="U106" s="799"/>
      <c r="V106" s="796">
        <v>2</v>
      </c>
      <c r="W106" s="796">
        <v>278.3</v>
      </c>
      <c r="X106" s="131">
        <f t="shared" si="10"/>
        <v>6</v>
      </c>
      <c r="Y106" s="486">
        <f t="shared" si="11"/>
        <v>915.8</v>
      </c>
      <c r="Z106" s="140"/>
      <c r="AA106" s="140"/>
      <c r="AB106" s="140"/>
      <c r="AC106" s="140"/>
      <c r="AD106" s="140"/>
      <c r="AE106" s="140"/>
      <c r="AF106" s="140"/>
      <c r="AG106" s="51"/>
      <c r="AH106" s="51"/>
      <c r="AI106" s="51"/>
      <c r="AJ106" s="51"/>
      <c r="AK106" s="51"/>
      <c r="AL106" s="51"/>
      <c r="AM106" s="51"/>
      <c r="AN106" s="51"/>
      <c r="AO106" s="51"/>
      <c r="AP106" s="51"/>
      <c r="AQ106" s="51"/>
      <c r="AR106" s="51"/>
      <c r="AS106" s="51"/>
      <c r="AT106" s="51"/>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row>
    <row r="107" spans="1:25" ht="21.75">
      <c r="A107" s="10" t="s">
        <v>435</v>
      </c>
      <c r="B107" s="750"/>
      <c r="C107" s="799"/>
      <c r="D107" s="849"/>
      <c r="E107" s="799"/>
      <c r="F107" s="849">
        <v>1</v>
      </c>
      <c r="G107" s="799">
        <v>155.5</v>
      </c>
      <c r="H107" s="849"/>
      <c r="I107" s="799"/>
      <c r="J107" s="750"/>
      <c r="K107" s="799"/>
      <c r="L107" s="849"/>
      <c r="M107" s="799"/>
      <c r="N107" s="750">
        <v>4</v>
      </c>
      <c r="O107" s="799">
        <v>571.2</v>
      </c>
      <c r="P107" s="750"/>
      <c r="Q107" s="799"/>
      <c r="R107" s="750"/>
      <c r="S107" s="799"/>
      <c r="T107" s="750"/>
      <c r="U107" s="799"/>
      <c r="V107" s="750"/>
      <c r="W107" s="750"/>
      <c r="X107" s="131">
        <f t="shared" si="10"/>
        <v>5</v>
      </c>
      <c r="Y107" s="486">
        <f t="shared" si="11"/>
        <v>726.7</v>
      </c>
    </row>
    <row r="108" spans="1:25" ht="21.75">
      <c r="A108" s="10" t="s">
        <v>585</v>
      </c>
      <c r="B108" s="750"/>
      <c r="C108" s="799"/>
      <c r="D108" s="849"/>
      <c r="E108" s="799"/>
      <c r="F108" s="849"/>
      <c r="G108" s="799"/>
      <c r="H108" s="849">
        <v>1</v>
      </c>
      <c r="I108" s="799">
        <v>104.7</v>
      </c>
      <c r="J108" s="750"/>
      <c r="K108" s="799"/>
      <c r="L108" s="849"/>
      <c r="M108" s="799"/>
      <c r="N108" s="750"/>
      <c r="O108" s="799"/>
      <c r="P108" s="750"/>
      <c r="Q108" s="799"/>
      <c r="R108" s="750"/>
      <c r="S108" s="799"/>
      <c r="T108" s="750"/>
      <c r="U108" s="799"/>
      <c r="V108" s="750"/>
      <c r="W108" s="750"/>
      <c r="X108" s="131">
        <f t="shared" si="10"/>
        <v>1</v>
      </c>
      <c r="Y108" s="486">
        <f t="shared" si="11"/>
        <v>104.7</v>
      </c>
    </row>
    <row r="109" spans="1:25" ht="21.75">
      <c r="A109" s="10" t="s">
        <v>642</v>
      </c>
      <c r="B109" s="750"/>
      <c r="C109" s="799"/>
      <c r="D109" s="849"/>
      <c r="E109" s="799"/>
      <c r="F109" s="849"/>
      <c r="G109" s="799"/>
      <c r="H109" s="849"/>
      <c r="I109" s="799"/>
      <c r="J109" s="750"/>
      <c r="K109" s="799"/>
      <c r="L109" s="849"/>
      <c r="M109" s="799"/>
      <c r="N109" s="750"/>
      <c r="O109" s="799"/>
      <c r="P109" s="750"/>
      <c r="Q109" s="799"/>
      <c r="R109" s="750">
        <v>1</v>
      </c>
      <c r="S109" s="799">
        <v>302.7</v>
      </c>
      <c r="T109" s="750"/>
      <c r="U109" s="799"/>
      <c r="V109" s="750"/>
      <c r="W109" s="750"/>
      <c r="X109" s="131">
        <f t="shared" si="10"/>
        <v>1</v>
      </c>
      <c r="Y109" s="486">
        <f t="shared" si="11"/>
        <v>302.7</v>
      </c>
    </row>
    <row r="110" spans="1:77" s="58" customFormat="1" ht="23.25" customHeight="1">
      <c r="A110" s="10" t="s">
        <v>197</v>
      </c>
      <c r="B110" s="796"/>
      <c r="C110" s="798"/>
      <c r="D110" s="851"/>
      <c r="E110" s="798"/>
      <c r="F110" s="851"/>
      <c r="G110" s="798"/>
      <c r="H110" s="851">
        <v>1</v>
      </c>
      <c r="I110" s="798">
        <v>165</v>
      </c>
      <c r="J110" s="796"/>
      <c r="K110" s="798"/>
      <c r="L110" s="851">
        <v>1</v>
      </c>
      <c r="M110" s="798">
        <v>133.6</v>
      </c>
      <c r="N110" s="796">
        <v>2</v>
      </c>
      <c r="O110" s="798">
        <v>285.4</v>
      </c>
      <c r="P110" s="796"/>
      <c r="Q110" s="798"/>
      <c r="R110" s="796">
        <v>1</v>
      </c>
      <c r="S110" s="798">
        <v>173.6</v>
      </c>
      <c r="T110" s="796">
        <v>1</v>
      </c>
      <c r="U110" s="798">
        <v>233.6</v>
      </c>
      <c r="V110" s="796"/>
      <c r="W110" s="796"/>
      <c r="X110" s="131">
        <f t="shared" si="10"/>
        <v>6</v>
      </c>
      <c r="Y110" s="486">
        <f t="shared" si="11"/>
        <v>991.1999999999999</v>
      </c>
      <c r="Z110" s="140"/>
      <c r="AA110" s="140"/>
      <c r="AB110" s="140"/>
      <c r="AC110" s="140"/>
      <c r="AD110" s="140"/>
      <c r="AE110" s="140"/>
      <c r="AF110" s="140"/>
      <c r="AG110" s="51"/>
      <c r="AH110" s="51"/>
      <c r="AI110" s="51"/>
      <c r="AJ110" s="51"/>
      <c r="AK110" s="51"/>
      <c r="AL110" s="51"/>
      <c r="AM110" s="51"/>
      <c r="AN110" s="51"/>
      <c r="AO110" s="51"/>
      <c r="AP110" s="51"/>
      <c r="AQ110" s="51"/>
      <c r="AR110" s="51"/>
      <c r="AS110" s="51"/>
      <c r="AT110" s="51"/>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row>
    <row r="111" spans="1:25" ht="21.75">
      <c r="A111" s="10" t="s">
        <v>415</v>
      </c>
      <c r="B111" s="750"/>
      <c r="C111" s="799"/>
      <c r="D111" s="849"/>
      <c r="E111" s="799"/>
      <c r="F111" s="849"/>
      <c r="G111" s="799"/>
      <c r="H111" s="849">
        <v>2</v>
      </c>
      <c r="I111" s="799">
        <v>343.4</v>
      </c>
      <c r="J111" s="750"/>
      <c r="K111" s="799"/>
      <c r="L111" s="849"/>
      <c r="M111" s="799"/>
      <c r="N111" s="750">
        <v>2</v>
      </c>
      <c r="O111" s="799">
        <v>317.5</v>
      </c>
      <c r="P111" s="750"/>
      <c r="Q111" s="799"/>
      <c r="R111" s="750"/>
      <c r="S111" s="799"/>
      <c r="T111" s="750"/>
      <c r="U111" s="799"/>
      <c r="V111" s="750"/>
      <c r="W111" s="750"/>
      <c r="X111" s="131">
        <f t="shared" si="10"/>
        <v>4</v>
      </c>
      <c r="Y111" s="486">
        <f t="shared" si="11"/>
        <v>660.9</v>
      </c>
    </row>
    <row r="112" spans="1:25" ht="21.75">
      <c r="A112" s="10" t="s">
        <v>589</v>
      </c>
      <c r="B112" s="750"/>
      <c r="C112" s="799"/>
      <c r="D112" s="849"/>
      <c r="E112" s="799"/>
      <c r="F112" s="849"/>
      <c r="G112" s="799"/>
      <c r="H112" s="849">
        <v>1</v>
      </c>
      <c r="I112" s="799">
        <v>154.3</v>
      </c>
      <c r="J112" s="750"/>
      <c r="K112" s="799"/>
      <c r="L112" s="849"/>
      <c r="M112" s="799"/>
      <c r="N112" s="750"/>
      <c r="O112" s="799"/>
      <c r="P112" s="750"/>
      <c r="Q112" s="799"/>
      <c r="R112" s="750"/>
      <c r="S112" s="799"/>
      <c r="T112" s="750"/>
      <c r="U112" s="799"/>
      <c r="V112" s="750"/>
      <c r="W112" s="750"/>
      <c r="X112" s="131">
        <f t="shared" si="10"/>
        <v>1</v>
      </c>
      <c r="Y112" s="486">
        <f t="shared" si="11"/>
        <v>154.3</v>
      </c>
    </row>
    <row r="113" spans="1:55" s="102" customFormat="1" ht="20.25" customHeight="1">
      <c r="A113" s="10" t="s">
        <v>324</v>
      </c>
      <c r="B113" s="793">
        <v>2</v>
      </c>
      <c r="C113" s="794">
        <v>332.9</v>
      </c>
      <c r="D113" s="793"/>
      <c r="E113" s="794"/>
      <c r="F113" s="793"/>
      <c r="G113" s="794"/>
      <c r="H113" s="793"/>
      <c r="I113" s="794"/>
      <c r="J113" s="793">
        <v>3</v>
      </c>
      <c r="K113" s="794">
        <v>512.2</v>
      </c>
      <c r="L113" s="793"/>
      <c r="M113" s="794"/>
      <c r="N113" s="793"/>
      <c r="O113" s="794"/>
      <c r="P113" s="793"/>
      <c r="Q113" s="794"/>
      <c r="R113" s="793"/>
      <c r="S113" s="794"/>
      <c r="T113" s="793"/>
      <c r="U113" s="794"/>
      <c r="V113" s="793"/>
      <c r="W113" s="794"/>
      <c r="X113" s="131">
        <f t="shared" si="10"/>
        <v>5</v>
      </c>
      <c r="Y113" s="486">
        <f t="shared" si="11"/>
        <v>845.1</v>
      </c>
      <c r="Z113"/>
      <c r="AA113"/>
      <c r="AB113"/>
      <c r="AC113"/>
      <c r="AD113"/>
      <c r="AE113"/>
      <c r="AF113"/>
      <c r="AG113"/>
      <c r="AH113"/>
      <c r="AI113"/>
      <c r="AJ113"/>
      <c r="AK113"/>
      <c r="AL113"/>
      <c r="AM113"/>
      <c r="AN113"/>
      <c r="AO113"/>
      <c r="AP113"/>
      <c r="AQ113"/>
      <c r="AR113"/>
      <c r="AS113"/>
      <c r="AT113"/>
      <c r="AU113"/>
      <c r="AV113"/>
      <c r="AW113"/>
      <c r="AX113"/>
      <c r="AY113"/>
      <c r="AZ113"/>
      <c r="BA113"/>
      <c r="BB113"/>
      <c r="BC113"/>
    </row>
    <row r="114" spans="1:25" ht="21.75">
      <c r="A114" s="15" t="s">
        <v>351</v>
      </c>
      <c r="B114" s="586">
        <v>1</v>
      </c>
      <c r="C114" s="811">
        <v>175.5</v>
      </c>
      <c r="D114" s="1065"/>
      <c r="E114" s="811"/>
      <c r="F114" s="1065">
        <v>2</v>
      </c>
      <c r="G114" s="811">
        <v>261.3</v>
      </c>
      <c r="H114" s="1065"/>
      <c r="I114" s="811"/>
      <c r="J114" s="586"/>
      <c r="K114" s="811"/>
      <c r="L114" s="1065"/>
      <c r="M114" s="811"/>
      <c r="N114" s="586">
        <v>1</v>
      </c>
      <c r="O114" s="811">
        <v>174.7</v>
      </c>
      <c r="P114" s="586"/>
      <c r="Q114" s="811"/>
      <c r="R114" s="586">
        <v>3</v>
      </c>
      <c r="S114" s="811">
        <v>443.9</v>
      </c>
      <c r="T114" s="586"/>
      <c r="U114" s="811"/>
      <c r="V114" s="586"/>
      <c r="W114" s="586"/>
      <c r="X114" s="131">
        <f t="shared" si="10"/>
        <v>7</v>
      </c>
      <c r="Y114" s="486">
        <f t="shared" si="11"/>
        <v>1055.4</v>
      </c>
    </row>
    <row r="115" spans="1:25" ht="22.5" thickBot="1">
      <c r="A115" s="1222" t="s">
        <v>380</v>
      </c>
      <c r="B115" s="1311">
        <v>2</v>
      </c>
      <c r="C115" s="1312">
        <v>148.6</v>
      </c>
      <c r="D115" s="1313">
        <v>1</v>
      </c>
      <c r="E115" s="1312">
        <v>0.1</v>
      </c>
      <c r="F115" s="1313"/>
      <c r="G115" s="1312"/>
      <c r="H115" s="1313">
        <v>2</v>
      </c>
      <c r="I115" s="1312">
        <v>215.6</v>
      </c>
      <c r="J115" s="1311">
        <v>2</v>
      </c>
      <c r="K115" s="1312">
        <v>100</v>
      </c>
      <c r="L115" s="1313"/>
      <c r="M115" s="1312"/>
      <c r="N115" s="1311">
        <v>8</v>
      </c>
      <c r="O115" s="1312">
        <v>667.8</v>
      </c>
      <c r="P115" s="1311">
        <v>5</v>
      </c>
      <c r="Q115" s="1312">
        <v>355.9</v>
      </c>
      <c r="R115" s="1311">
        <v>2</v>
      </c>
      <c r="S115" s="1312">
        <v>118</v>
      </c>
      <c r="T115" s="1311">
        <v>2</v>
      </c>
      <c r="U115" s="1312">
        <v>250.3</v>
      </c>
      <c r="V115" s="1311"/>
      <c r="W115" s="1311"/>
      <c r="X115" s="939">
        <f>SUM(B115,D115,F115,L115,R115,H115,V115,J115,N115,P115,T115)</f>
        <v>24</v>
      </c>
      <c r="Y115" s="940">
        <f>SUM(C115,E115,S115,I115,W115,K115,O115,Q115,U115)</f>
        <v>1856.3</v>
      </c>
    </row>
    <row r="116" spans="1:25" ht="22.5" thickBot="1">
      <c r="A116" s="800" t="s">
        <v>53</v>
      </c>
      <c r="B116" s="804">
        <f aca="true" t="shared" si="12" ref="B116:W116">SUM(B4:B115)</f>
        <v>52</v>
      </c>
      <c r="C116" s="801">
        <f t="shared" si="12"/>
        <v>7435.4000000000015</v>
      </c>
      <c r="D116" s="804">
        <f t="shared" si="12"/>
        <v>18</v>
      </c>
      <c r="E116" s="801">
        <f t="shared" si="12"/>
        <v>2939.3</v>
      </c>
      <c r="F116" s="804">
        <f t="shared" si="12"/>
        <v>54</v>
      </c>
      <c r="G116" s="801">
        <f t="shared" si="12"/>
        <v>7928.8</v>
      </c>
      <c r="H116" s="804">
        <f t="shared" si="12"/>
        <v>51</v>
      </c>
      <c r="I116" s="801">
        <f t="shared" si="12"/>
        <v>8229.699999999999</v>
      </c>
      <c r="J116" s="804">
        <f t="shared" si="12"/>
        <v>55</v>
      </c>
      <c r="K116" s="801">
        <f t="shared" si="12"/>
        <v>9223.300000000001</v>
      </c>
      <c r="L116" s="804">
        <f t="shared" si="12"/>
        <v>36</v>
      </c>
      <c r="M116" s="801">
        <f t="shared" si="12"/>
        <v>5455.800000000001</v>
      </c>
      <c r="N116" s="804">
        <f t="shared" si="12"/>
        <v>171</v>
      </c>
      <c r="O116" s="801">
        <f t="shared" si="12"/>
        <v>27426.30000000001</v>
      </c>
      <c r="P116" s="804">
        <f t="shared" si="12"/>
        <v>39</v>
      </c>
      <c r="Q116" s="801">
        <f t="shared" si="12"/>
        <v>4377.4</v>
      </c>
      <c r="R116" s="804">
        <f t="shared" si="12"/>
        <v>101</v>
      </c>
      <c r="S116" s="801">
        <f t="shared" si="12"/>
        <v>17742.8</v>
      </c>
      <c r="T116" s="804">
        <f t="shared" si="12"/>
        <v>37</v>
      </c>
      <c r="U116" s="801">
        <f t="shared" si="12"/>
        <v>7482.1</v>
      </c>
      <c r="V116" s="804">
        <f t="shared" si="12"/>
        <v>19</v>
      </c>
      <c r="W116" s="801">
        <f t="shared" si="12"/>
        <v>2830.0000000000005</v>
      </c>
      <c r="X116" s="802">
        <f>SUM(X5:X115)</f>
        <v>633</v>
      </c>
      <c r="Y116" s="803">
        <f>SUM(Y5:Y115)</f>
        <v>101070.89999999995</v>
      </c>
    </row>
    <row r="117" ht="21.75">
      <c r="A117" s="51" t="s">
        <v>381</v>
      </c>
    </row>
    <row r="118" ht="21.75">
      <c r="A118" s="51"/>
    </row>
    <row r="119" ht="21.75">
      <c r="A119" s="51"/>
    </row>
    <row r="120" ht="21.75">
      <c r="A120" s="51"/>
    </row>
    <row r="121" ht="21.75">
      <c r="A121" s="51"/>
    </row>
    <row r="122" ht="21.75">
      <c r="A122" s="51"/>
    </row>
    <row r="123" ht="21.75">
      <c r="A123" s="51"/>
    </row>
    <row r="124" ht="21.75">
      <c r="A124" s="51"/>
    </row>
    <row r="125" ht="21.75">
      <c r="A125" s="51"/>
    </row>
    <row r="126" ht="21.75">
      <c r="A126" s="51"/>
    </row>
    <row r="127" ht="21.75">
      <c r="A127" s="51"/>
    </row>
    <row r="128" ht="21.75">
      <c r="A128" s="51"/>
    </row>
    <row r="129" ht="21.75">
      <c r="A129" s="51"/>
    </row>
    <row r="130" ht="21.75">
      <c r="A130" s="51"/>
    </row>
    <row r="131" ht="21.75">
      <c r="A131" s="51"/>
    </row>
    <row r="132" ht="21.75">
      <c r="A132" s="51"/>
    </row>
    <row r="133" ht="21.75">
      <c r="A133" s="51"/>
    </row>
    <row r="134" ht="21.75">
      <c r="A134" s="58"/>
    </row>
    <row r="135" ht="21.75">
      <c r="A135" s="58"/>
    </row>
    <row r="136" ht="21.75">
      <c r="A136" s="58"/>
    </row>
    <row r="137" ht="21.75">
      <c r="A137" s="58"/>
    </row>
    <row r="138" ht="21.75">
      <c r="A138" s="58"/>
    </row>
    <row r="139" ht="21.75">
      <c r="A139" s="58"/>
    </row>
    <row r="140" ht="21.75">
      <c r="A140" s="58"/>
    </row>
    <row r="141" ht="21.75">
      <c r="A141" s="58"/>
    </row>
    <row r="142" ht="21.75">
      <c r="A142" s="58"/>
    </row>
    <row r="143" ht="21.75">
      <c r="A143" s="58"/>
    </row>
    <row r="144" ht="21.75">
      <c r="A144" s="58"/>
    </row>
    <row r="145" ht="21.75">
      <c r="A145" s="58"/>
    </row>
    <row r="146" ht="21.75">
      <c r="A146" s="58"/>
    </row>
    <row r="147" ht="21.75">
      <c r="A147" s="58"/>
    </row>
    <row r="148" ht="21.75">
      <c r="A148" s="58"/>
    </row>
    <row r="149" ht="21.75">
      <c r="A149" s="58"/>
    </row>
    <row r="150" ht="21.75">
      <c r="A150" s="58"/>
    </row>
    <row r="151" ht="21.75">
      <c r="A151" s="58"/>
    </row>
    <row r="152" ht="21.75">
      <c r="A152" s="58"/>
    </row>
    <row r="153" ht="21.75">
      <c r="A153" s="58"/>
    </row>
    <row r="154" ht="21.75">
      <c r="A154" s="58"/>
    </row>
    <row r="155" ht="21.75">
      <c r="A155" s="58"/>
    </row>
    <row r="156" ht="21.75">
      <c r="A156" s="58"/>
    </row>
    <row r="157" ht="21.75">
      <c r="A157" s="58"/>
    </row>
    <row r="158" ht="21.75">
      <c r="A158" s="58"/>
    </row>
    <row r="159" ht="21.75">
      <c r="A159" s="58"/>
    </row>
    <row r="160" ht="21.75">
      <c r="A160" s="58"/>
    </row>
    <row r="161" ht="21.75">
      <c r="A161" s="58"/>
    </row>
    <row r="162" ht="21.75">
      <c r="A162" s="58"/>
    </row>
    <row r="163" ht="21.75">
      <c r="A163" s="58"/>
    </row>
    <row r="164" ht="21.75">
      <c r="A164" s="58"/>
    </row>
    <row r="165" ht="21.75">
      <c r="A165" s="58"/>
    </row>
    <row r="166" ht="21.75">
      <c r="A166" s="58"/>
    </row>
    <row r="167" ht="21.75">
      <c r="A167" s="58"/>
    </row>
    <row r="168" ht="21.75">
      <c r="A168" s="58"/>
    </row>
    <row r="169" ht="21.75">
      <c r="A169" s="58"/>
    </row>
    <row r="170" ht="21.75">
      <c r="A170" s="58"/>
    </row>
    <row r="171" ht="21.75">
      <c r="A171" s="58"/>
    </row>
    <row r="172" ht="21.75">
      <c r="A172" s="58"/>
    </row>
    <row r="173" ht="21.75">
      <c r="A173" s="58"/>
    </row>
    <row r="174" ht="21.75">
      <c r="A174" s="58"/>
    </row>
    <row r="175" ht="21.75">
      <c r="A175" s="58"/>
    </row>
    <row r="176" ht="21.75">
      <c r="A176" s="58"/>
    </row>
    <row r="177" ht="21.75">
      <c r="A177" s="58"/>
    </row>
    <row r="178" ht="21.75">
      <c r="A178" s="58"/>
    </row>
    <row r="179" ht="21.75">
      <c r="A179" s="58"/>
    </row>
    <row r="180" ht="21.75">
      <c r="A180" s="58"/>
    </row>
    <row r="181" ht="21.75">
      <c r="A181" s="58"/>
    </row>
    <row r="182" ht="21.75">
      <c r="A182" s="58"/>
    </row>
    <row r="476" ht="21.75">
      <c r="C476" s="194" t="s">
        <v>225</v>
      </c>
    </row>
  </sheetData>
  <sheetProtection/>
  <mergeCells count="13">
    <mergeCell ref="X2:Y2"/>
    <mergeCell ref="V2:W2"/>
    <mergeCell ref="N2:O2"/>
    <mergeCell ref="P2:Q2"/>
    <mergeCell ref="T2:U2"/>
    <mergeCell ref="R2:S2"/>
    <mergeCell ref="D2:E2"/>
    <mergeCell ref="F2:G2"/>
    <mergeCell ref="L2:M2"/>
    <mergeCell ref="H2:I2"/>
    <mergeCell ref="A2:A3"/>
    <mergeCell ref="B2:C2"/>
    <mergeCell ref="J2:K2"/>
  </mergeCells>
  <printOptions horizontalCentered="1"/>
  <pageMargins left="0" right="0" top="0.15748031496063" bottom="0.354330708661417" header="0.393700787401575" footer="0.39370078740157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u_sar</dc:creator>
  <cp:keywords/>
  <dc:description/>
  <cp:lastModifiedBy>User01</cp:lastModifiedBy>
  <cp:lastPrinted>2020-12-07T03:24:30Z</cp:lastPrinted>
  <dcterms:created xsi:type="dcterms:W3CDTF">2007-10-09T07:28:46Z</dcterms:created>
  <dcterms:modified xsi:type="dcterms:W3CDTF">2020-12-07T03:38:15Z</dcterms:modified>
  <cp:category/>
  <cp:version/>
  <cp:contentType/>
  <cp:contentStatus/>
</cp:coreProperties>
</file>